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firstSheet="3" activeTab="20"/>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shares'!$A$1:$FA$231</definedName>
    <definedName name="Expry_Roll___20" localSheetId="17">'NIFTY GRP'!$A$1:$EY$51</definedName>
    <definedName name="fii" localSheetId="18">FII!$A$1:$N$16</definedName>
    <definedName name="_xlnm.Print_Area" localSheetId="14">Disclaimar!$A$1:$A$24</definedName>
    <definedName name="stats__2" localSheetId="15">'Data Vlaue (Cr)'!$A$1:$FB$231</definedName>
  </definedNames>
  <calcPr calcId="144525"/>
</workbook>
</file>

<file path=xl/calcChain.xml><?xml version="1.0" encoding="utf-8"?>
<calcChain xmlns="http://schemas.openxmlformats.org/spreadsheetml/2006/main">
  <c r="B20" i="28" l="1"/>
  <c r="B21" i="28"/>
  <c r="B22" i="28"/>
  <c r="L3" i="21"/>
  <c r="L4" i="21"/>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59" i="18"/>
  <c r="F59" i="18"/>
  <c r="E107" i="18"/>
  <c r="F107" i="18"/>
  <c r="E17" i="18"/>
  <c r="F17" i="18"/>
  <c r="E43" i="18"/>
  <c r="F43" i="18"/>
  <c r="E214" i="18"/>
  <c r="F214" i="18"/>
  <c r="E187" i="18"/>
  <c r="F187" i="18"/>
  <c r="E222" i="18"/>
  <c r="F222" i="18"/>
  <c r="E181" i="18"/>
  <c r="F181" i="18"/>
  <c r="E77" i="18"/>
  <c r="F77" i="18"/>
  <c r="E132" i="18"/>
  <c r="F132" i="18"/>
  <c r="E173" i="18"/>
  <c r="F173" i="18"/>
  <c r="E200" i="18"/>
  <c r="F200" i="18"/>
  <c r="E109" i="18"/>
  <c r="F109" i="18"/>
  <c r="E82" i="18"/>
  <c r="F82" i="18"/>
  <c r="E202" i="18"/>
  <c r="F202" i="18"/>
  <c r="E128" i="18"/>
  <c r="F128" i="18"/>
  <c r="E130" i="18"/>
  <c r="F130" i="18"/>
  <c r="E52" i="18"/>
  <c r="F52" i="18"/>
  <c r="E88" i="18"/>
  <c r="F88" i="18"/>
  <c r="E69" i="18"/>
  <c r="F69" i="18"/>
  <c r="E25" i="18"/>
  <c r="F25" i="18"/>
  <c r="E96" i="18"/>
  <c r="F96" i="18"/>
  <c r="E144" i="18"/>
  <c r="F144" i="18"/>
  <c r="E203" i="18"/>
  <c r="F203" i="18"/>
  <c r="E51" i="18"/>
  <c r="F51" i="18"/>
  <c r="E66" i="18"/>
  <c r="F66" i="18"/>
  <c r="E143" i="18"/>
  <c r="F143" i="18"/>
  <c r="E119" i="18"/>
  <c r="F119" i="18"/>
  <c r="E195" i="18"/>
  <c r="F195" i="18"/>
  <c r="F105" i="18"/>
  <c r="E146" i="18"/>
  <c r="F146" i="18"/>
  <c r="E113" i="18"/>
  <c r="F113" i="18"/>
  <c r="E112" i="18"/>
  <c r="F112" i="18"/>
  <c r="E101" i="18"/>
  <c r="F101" i="18"/>
  <c r="E206" i="18"/>
  <c r="F206" i="18"/>
  <c r="E199" i="18"/>
  <c r="F199" i="18"/>
  <c r="E23" i="18"/>
  <c r="F23" i="18"/>
  <c r="E207" i="18"/>
  <c r="F207" i="18"/>
  <c r="E156" i="18"/>
  <c r="F156" i="18"/>
  <c r="E227" i="18"/>
  <c r="F227" i="18"/>
  <c r="E95" i="18"/>
  <c r="F95" i="18"/>
  <c r="E92" i="18"/>
  <c r="F92" i="18"/>
  <c r="E164" i="18"/>
  <c r="F164" i="18"/>
  <c r="E149" i="18"/>
  <c r="F149" i="18"/>
  <c r="E192" i="18"/>
  <c r="F192" i="18"/>
  <c r="E20" i="18"/>
  <c r="F20" i="18"/>
  <c r="E175" i="18"/>
  <c r="F175" i="18"/>
  <c r="E151" i="18"/>
  <c r="F151" i="18"/>
  <c r="E162" i="18"/>
  <c r="F162" i="18"/>
  <c r="E44" i="18"/>
  <c r="F44" i="18"/>
  <c r="E54" i="18"/>
  <c r="F54" i="18"/>
  <c r="E8" i="18"/>
  <c r="F8" i="18"/>
  <c r="E216" i="18"/>
  <c r="F216" i="18"/>
  <c r="E70" i="18"/>
  <c r="F70" i="18"/>
  <c r="E80" i="18"/>
  <c r="F80" i="18"/>
  <c r="E148" i="18"/>
  <c r="F148" i="18"/>
  <c r="E140" i="18"/>
  <c r="F140" i="18"/>
  <c r="E170" i="18"/>
  <c r="F170" i="18"/>
  <c r="E75" i="18"/>
  <c r="F75" i="18"/>
  <c r="E65" i="18"/>
  <c r="F65" i="18"/>
  <c r="E76" i="18"/>
  <c r="F76" i="18"/>
  <c r="E50" i="18"/>
  <c r="F50" i="18"/>
  <c r="E121" i="18"/>
  <c r="F121" i="18"/>
  <c r="E29" i="18"/>
  <c r="F29" i="18"/>
  <c r="E221" i="18"/>
  <c r="F221" i="18"/>
  <c r="E63" i="18"/>
  <c r="F63" i="18"/>
  <c r="E161" i="18"/>
  <c r="F161" i="18"/>
  <c r="E122" i="18"/>
  <c r="F122" i="18"/>
  <c r="E35" i="18"/>
  <c r="F35" i="18"/>
  <c r="E168" i="18"/>
  <c r="F168" i="18"/>
  <c r="E160" i="18"/>
  <c r="F160" i="18"/>
  <c r="E24" i="18"/>
  <c r="F24" i="18"/>
  <c r="E94" i="18"/>
  <c r="F94" i="18"/>
  <c r="E56" i="18"/>
  <c r="F56" i="18"/>
  <c r="E147" i="18"/>
  <c r="F147" i="18"/>
  <c r="E205" i="18"/>
  <c r="F205" i="18"/>
  <c r="E224" i="18"/>
  <c r="F224" i="18"/>
  <c r="E152" i="18"/>
  <c r="F152" i="18"/>
  <c r="E103" i="18"/>
  <c r="F103" i="18"/>
  <c r="E6" i="18"/>
  <c r="F6" i="18"/>
  <c r="E37" i="18"/>
  <c r="F37" i="18"/>
  <c r="E182" i="18"/>
  <c r="F182" i="18"/>
  <c r="E26" i="18"/>
  <c r="F26" i="18"/>
  <c r="E186" i="18"/>
  <c r="F186" i="18"/>
  <c r="E142" i="18"/>
  <c r="F142" i="18"/>
  <c r="E137" i="18"/>
  <c r="F137" i="18"/>
  <c r="E196" i="18"/>
  <c r="F196" i="18"/>
  <c r="E220" i="18"/>
  <c r="F220" i="18"/>
  <c r="E153" i="18"/>
  <c r="F153" i="18"/>
  <c r="E179" i="18"/>
  <c r="F179" i="18"/>
  <c r="E39" i="18"/>
  <c r="F39" i="18"/>
  <c r="E60" i="18"/>
  <c r="F60" i="18"/>
  <c r="E131" i="18"/>
  <c r="F131" i="18"/>
  <c r="E123" i="18"/>
  <c r="F123" i="18"/>
  <c r="E38" i="18"/>
  <c r="F38" i="18"/>
  <c r="E117" i="18"/>
  <c r="F117" i="18"/>
  <c r="E106" i="18"/>
  <c r="F106" i="18"/>
  <c r="E32" i="18"/>
  <c r="F32" i="18"/>
  <c r="E114" i="18"/>
  <c r="F114" i="18"/>
  <c r="E99" i="18"/>
  <c r="F99" i="18"/>
  <c r="E145" i="18"/>
  <c r="F145" i="18"/>
  <c r="E165" i="18"/>
  <c r="F165" i="18"/>
  <c r="E36" i="18"/>
  <c r="F36" i="18"/>
  <c r="E166" i="18"/>
  <c r="F166" i="18"/>
  <c r="E33" i="18"/>
  <c r="F33" i="18"/>
  <c r="E217" i="18"/>
  <c r="F217" i="18"/>
  <c r="F90" i="18"/>
  <c r="E194" i="18"/>
  <c r="F194" i="18"/>
  <c r="E108" i="18"/>
  <c r="F108" i="18"/>
  <c r="E197" i="18"/>
  <c r="F197" i="18"/>
  <c r="E41" i="18"/>
  <c r="F41" i="18"/>
  <c r="E135" i="18"/>
  <c r="F135" i="18"/>
  <c r="E157" i="18"/>
  <c r="F157" i="18"/>
  <c r="E22" i="18"/>
  <c r="F22" i="18"/>
  <c r="E79" i="18"/>
  <c r="F79" i="18"/>
  <c r="E116" i="18"/>
  <c r="F116" i="18"/>
  <c r="E154" i="18"/>
  <c r="F154" i="18"/>
  <c r="E226" i="18"/>
  <c r="F226" i="18"/>
  <c r="E45" i="18"/>
  <c r="F45" i="18"/>
  <c r="E201" i="18"/>
  <c r="F201" i="18"/>
  <c r="E177" i="18"/>
  <c r="F177" i="18"/>
  <c r="E97" i="18"/>
  <c r="F97" i="18"/>
  <c r="E5" i="18"/>
  <c r="F5" i="18"/>
  <c r="E14" i="18"/>
  <c r="F14" i="18"/>
  <c r="E213" i="18"/>
  <c r="F213" i="18"/>
  <c r="E48" i="18"/>
  <c r="F48" i="18"/>
  <c r="E208" i="18"/>
  <c r="F208" i="18"/>
  <c r="E58" i="18"/>
  <c r="F58" i="18"/>
  <c r="E215" i="18"/>
  <c r="F215" i="18"/>
  <c r="E111" i="18"/>
  <c r="F111" i="18"/>
  <c r="E53" i="18"/>
  <c r="F53" i="18"/>
  <c r="E172" i="18"/>
  <c r="F172" i="18"/>
  <c r="E18" i="18"/>
  <c r="F18" i="18"/>
  <c r="E155" i="18"/>
  <c r="F155" i="18"/>
  <c r="E11" i="18"/>
  <c r="F11" i="18"/>
  <c r="E198" i="18"/>
  <c r="F198" i="18"/>
  <c r="E47" i="18"/>
  <c r="F47" i="18"/>
  <c r="F21" i="18"/>
  <c r="E120" i="18"/>
  <c r="F120" i="18"/>
  <c r="E218" i="18"/>
  <c r="F218" i="18"/>
  <c r="E212" i="18"/>
  <c r="F212" i="18"/>
  <c r="E100" i="18"/>
  <c r="F100" i="18"/>
  <c r="E188" i="18"/>
  <c r="F188" i="18"/>
  <c r="E174" i="18"/>
  <c r="F174" i="18"/>
  <c r="E184" i="18"/>
  <c r="F184" i="18"/>
  <c r="E118" i="18"/>
  <c r="F118" i="18"/>
  <c r="E72" i="18"/>
  <c r="F72" i="18"/>
  <c r="E158" i="18"/>
  <c r="F158" i="18"/>
  <c r="E115" i="18"/>
  <c r="F115" i="18"/>
  <c r="E31" i="18"/>
  <c r="F31" i="18"/>
  <c r="E211" i="18"/>
  <c r="F211" i="18"/>
  <c r="E150" i="18"/>
  <c r="F150" i="18"/>
  <c r="E19" i="18"/>
  <c r="F19" i="18"/>
  <c r="E136" i="18"/>
  <c r="F136" i="18"/>
  <c r="E183" i="18"/>
  <c r="F183" i="18"/>
  <c r="E125" i="18"/>
  <c r="F125" i="18"/>
  <c r="E83" i="18"/>
  <c r="F83" i="18"/>
  <c r="E223" i="18"/>
  <c r="F223" i="18"/>
  <c r="E64" i="18"/>
  <c r="F64" i="18"/>
  <c r="E15" i="18"/>
  <c r="F15" i="18"/>
  <c r="E7" i="18"/>
  <c r="F7" i="18"/>
  <c r="E42" i="18"/>
  <c r="F42" i="18"/>
  <c r="E127" i="18"/>
  <c r="F127" i="18"/>
  <c r="E73" i="18"/>
  <c r="F73" i="18"/>
  <c r="E204" i="18"/>
  <c r="F204" i="18"/>
  <c r="E67" i="18"/>
  <c r="F67" i="18"/>
  <c r="E89" i="18"/>
  <c r="F89" i="18"/>
  <c r="E139" i="18"/>
  <c r="F139" i="18"/>
  <c r="E163" i="18"/>
  <c r="F163" i="18"/>
  <c r="E110" i="18"/>
  <c r="F110" i="18"/>
  <c r="E104" i="18"/>
  <c r="F104" i="18"/>
  <c r="E40" i="18"/>
  <c r="F40" i="18"/>
  <c r="E167" i="18"/>
  <c r="F167" i="18"/>
  <c r="E30" i="18"/>
  <c r="F30" i="18"/>
  <c r="E219" i="18"/>
  <c r="F219" i="18"/>
  <c r="E61" i="18"/>
  <c r="F61" i="18"/>
  <c r="E191" i="18"/>
  <c r="F191" i="18"/>
  <c r="E46" i="18"/>
  <c r="F46" i="18"/>
  <c r="E178" i="18"/>
  <c r="F178" i="18"/>
  <c r="E129" i="18"/>
  <c r="F129" i="18"/>
  <c r="E9" i="18"/>
  <c r="F9" i="18"/>
  <c r="E193" i="18"/>
  <c r="F193" i="18"/>
  <c r="E141" i="18"/>
  <c r="F141" i="18"/>
  <c r="E10" i="18"/>
  <c r="F10" i="18"/>
  <c r="E86" i="18"/>
  <c r="F86" i="18"/>
  <c r="E134" i="18"/>
  <c r="F134" i="18"/>
  <c r="E189" i="18"/>
  <c r="F189" i="18"/>
  <c r="E84" i="18"/>
  <c r="F84" i="18"/>
  <c r="E102" i="18"/>
  <c r="F102" i="18"/>
  <c r="E85" i="18"/>
  <c r="F85" i="18"/>
  <c r="E12" i="18"/>
  <c r="F12" i="18"/>
  <c r="E68" i="18"/>
  <c r="F68" i="18"/>
  <c r="E91" i="18"/>
  <c r="F91" i="18"/>
  <c r="F71" i="18"/>
  <c r="E49" i="18"/>
  <c r="F49" i="18"/>
  <c r="E57" i="18"/>
  <c r="F57" i="18"/>
  <c r="E133" i="18"/>
  <c r="F133" i="18"/>
  <c r="E74" i="18"/>
  <c r="F74" i="18"/>
  <c r="E62" i="18"/>
  <c r="F62" i="18"/>
  <c r="E13" i="18"/>
  <c r="F13" i="18"/>
  <c r="E78" i="18"/>
  <c r="F78" i="18"/>
  <c r="E27" i="18"/>
  <c r="F27" i="18"/>
  <c r="E138" i="18"/>
  <c r="F138" i="18"/>
  <c r="E176" i="18"/>
  <c r="F176" i="18"/>
  <c r="E81" i="18"/>
  <c r="F81" i="18"/>
  <c r="E34" i="18"/>
  <c r="F34" i="18"/>
  <c r="E171" i="18"/>
  <c r="F171" i="18"/>
  <c r="E55" i="18"/>
  <c r="F55" i="18"/>
  <c r="E228" i="18"/>
  <c r="F228" i="18"/>
  <c r="E209" i="18"/>
  <c r="F209" i="18"/>
  <c r="E210" i="18"/>
  <c r="F210" i="18"/>
  <c r="E87" i="18"/>
  <c r="F87" i="18"/>
  <c r="E180" i="18"/>
  <c r="F180" i="18"/>
  <c r="E124" i="18"/>
  <c r="F124" i="18"/>
  <c r="E126" i="18"/>
  <c r="F126" i="18"/>
  <c r="E169" i="18"/>
  <c r="F169" i="18"/>
  <c r="E16" i="18"/>
  <c r="F16" i="18"/>
  <c r="E93" i="18"/>
  <c r="F93" i="18"/>
  <c r="E98" i="18"/>
  <c r="F98" i="18"/>
  <c r="E225" i="18"/>
  <c r="F225" i="18"/>
  <c r="E28" i="18"/>
  <c r="F28" i="18"/>
  <c r="A7" i="14"/>
  <c r="C7" i="14" s="1"/>
  <c r="B7" i="14"/>
  <c r="A8" i="14"/>
  <c r="B8" i="14" s="1"/>
  <c r="A9" i="14"/>
  <c r="B9" i="14" s="1"/>
  <c r="A10" i="14"/>
  <c r="C10" i="14" s="1"/>
  <c r="A11" i="14"/>
  <c r="C11" i="14" s="1"/>
  <c r="A12" i="14"/>
  <c r="B12" i="14" s="1"/>
  <c r="A13" i="14"/>
  <c r="D13" i="14" s="1"/>
  <c r="E13" i="14"/>
  <c r="A14" i="14"/>
  <c r="C14" i="14" s="1"/>
  <c r="A15" i="14"/>
  <c r="C15" i="14" s="1"/>
  <c r="A16" i="14"/>
  <c r="B16" i="14" s="1"/>
  <c r="A17" i="14"/>
  <c r="D17" i="14" s="1"/>
  <c r="A18" i="14"/>
  <c r="C18" i="14" s="1"/>
  <c r="A19" i="14"/>
  <c r="C19" i="14" s="1"/>
  <c r="F19" i="14"/>
  <c r="A20" i="14"/>
  <c r="B20" i="14" s="1"/>
  <c r="A21" i="14"/>
  <c r="D21" i="14" s="1"/>
  <c r="A22" i="14"/>
  <c r="A23" i="14"/>
  <c r="C23" i="14" s="1"/>
  <c r="A24" i="14"/>
  <c r="C24" i="14" s="1"/>
  <c r="A25" i="14"/>
  <c r="D25" i="14" s="1"/>
  <c r="E25" i="14"/>
  <c r="A26" i="14"/>
  <c r="C26" i="14" s="1"/>
  <c r="A27" i="14"/>
  <c r="C27" i="14" s="1"/>
  <c r="A28" i="14"/>
  <c r="C28" i="14" s="1"/>
  <c r="E28" i="14"/>
  <c r="A29" i="14"/>
  <c r="C29" i="14" s="1"/>
  <c r="A30" i="14"/>
  <c r="E30" i="14" s="1"/>
  <c r="C30" i="14"/>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C44" i="14"/>
  <c r="A45" i="14"/>
  <c r="A46" i="14"/>
  <c r="E46" i="14" s="1"/>
  <c r="A47" i="14"/>
  <c r="F47" i="14" s="1"/>
  <c r="A48" i="14"/>
  <c r="D48" i="14" s="1"/>
  <c r="A49" i="14"/>
  <c r="C49" i="14" s="1"/>
  <c r="A50" i="14"/>
  <c r="E50" i="14" s="1"/>
  <c r="D50" i="14"/>
  <c r="A51" i="14"/>
  <c r="C51" i="14" s="1"/>
  <c r="A52" i="14"/>
  <c r="D52" i="14" s="1"/>
  <c r="B52" i="14"/>
  <c r="A53" i="14"/>
  <c r="D53" i="14" s="1"/>
  <c r="A54" i="14"/>
  <c r="C54" i="14" s="1"/>
  <c r="A55" i="14"/>
  <c r="C55" i="14" s="1"/>
  <c r="F55" i="14"/>
  <c r="A56" i="14"/>
  <c r="D56" i="14" s="1"/>
  <c r="A57" i="14"/>
  <c r="D57" i="14" s="1"/>
  <c r="A58" i="14"/>
  <c r="A59" i="14"/>
  <c r="C59" i="14" s="1"/>
  <c r="A60" i="14"/>
  <c r="D60" i="14" s="1"/>
  <c r="A61" i="14"/>
  <c r="C61" i="14" s="1"/>
  <c r="F61" i="14"/>
  <c r="A62" i="14"/>
  <c r="C62" i="14" s="1"/>
  <c r="A63" i="14"/>
  <c r="C63" i="14" s="1"/>
  <c r="B63" i="14"/>
  <c r="A64" i="14"/>
  <c r="A65" i="14"/>
  <c r="C65" i="14" s="1"/>
  <c r="F65" i="14"/>
  <c r="A66" i="14"/>
  <c r="C66" i="14" s="1"/>
  <c r="A67" i="14"/>
  <c r="C67" i="14" s="1"/>
  <c r="B67" i="14"/>
  <c r="A68" i="14"/>
  <c r="A69" i="14"/>
  <c r="C69" i="14" s="1"/>
  <c r="A70" i="14"/>
  <c r="C70" i="14" s="1"/>
  <c r="E70" i="14"/>
  <c r="A71" i="14"/>
  <c r="C71" i="14" s="1"/>
  <c r="A72" i="14"/>
  <c r="A73" i="14"/>
  <c r="C73" i="14" s="1"/>
  <c r="A74" i="14"/>
  <c r="C74" i="14" s="1"/>
  <c r="E74" i="14"/>
  <c r="A75" i="14"/>
  <c r="C75" i="14" s="1"/>
  <c r="A76" i="14"/>
  <c r="A77" i="14"/>
  <c r="C77" i="14" s="1"/>
  <c r="F77" i="14"/>
  <c r="A78" i="14"/>
  <c r="C78" i="14" s="1"/>
  <c r="A79" i="14"/>
  <c r="C79" i="14" s="1"/>
  <c r="B79" i="14"/>
  <c r="A80" i="14"/>
  <c r="A81" i="14"/>
  <c r="E81" i="14" s="1"/>
  <c r="A82" i="14"/>
  <c r="E82" i="14" s="1"/>
  <c r="A83" i="14"/>
  <c r="F83" i="14" s="1"/>
  <c r="A84" i="14"/>
  <c r="B84" i="14" s="1"/>
  <c r="C84" i="14"/>
  <c r="A85" i="14"/>
  <c r="E85" i="14" s="1"/>
  <c r="A86" i="14"/>
  <c r="C86" i="14" s="1"/>
  <c r="A87" i="14"/>
  <c r="C87" i="14" s="1"/>
  <c r="F87" i="14"/>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D111" i="14"/>
  <c r="A112" i="14"/>
  <c r="C112" i="14" s="1"/>
  <c r="A113" i="14"/>
  <c r="D113" i="14" s="1"/>
  <c r="E113" i="14"/>
  <c r="A114" i="14"/>
  <c r="C114" i="14" s="1"/>
  <c r="A115" i="14"/>
  <c r="C115" i="14" s="1"/>
  <c r="F115" i="14"/>
  <c r="A116" i="14"/>
  <c r="A117" i="14"/>
  <c r="C117" i="14" s="1"/>
  <c r="A118" i="14"/>
  <c r="C118" i="14" s="1"/>
  <c r="A119" i="14"/>
  <c r="C119" i="14" s="1"/>
  <c r="E119" i="14"/>
  <c r="A120" i="14"/>
  <c r="C120" i="14" s="1"/>
  <c r="A121" i="14"/>
  <c r="A122" i="14"/>
  <c r="A123" i="14"/>
  <c r="C123" i="14" s="1"/>
  <c r="A124" i="14"/>
  <c r="C124" i="14" s="1"/>
  <c r="A125" i="14"/>
  <c r="C125" i="14" s="1"/>
  <c r="B125" i="14"/>
  <c r="D125" i="14"/>
  <c r="E125" i="14"/>
  <c r="F125" i="14"/>
  <c r="A126" i="14"/>
  <c r="C126" i="14" s="1"/>
  <c r="A127" i="14"/>
  <c r="C127" i="14" s="1"/>
  <c r="A128" i="14"/>
  <c r="A129" i="14"/>
  <c r="B129" i="14" s="1"/>
  <c r="E129" i="14"/>
  <c r="A130" i="14"/>
  <c r="C130" i="14" s="1"/>
  <c r="A131" i="14"/>
  <c r="D131" i="14" s="1"/>
  <c r="A132" i="14"/>
  <c r="A133" i="14"/>
  <c r="C133" i="14" s="1"/>
  <c r="A134" i="14"/>
  <c r="A135" i="14"/>
  <c r="D135" i="14" s="1"/>
  <c r="A136" i="14"/>
  <c r="D136" i="14" s="1"/>
  <c r="A137" i="14"/>
  <c r="C137" i="14" s="1"/>
  <c r="E137" i="14"/>
  <c r="A138" i="14"/>
  <c r="C138" i="14" s="1"/>
  <c r="A139" i="14"/>
  <c r="C139" i="14" s="1"/>
  <c r="D139" i="14"/>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F152" i="14"/>
  <c r="A153" i="14"/>
  <c r="C153" i="14" s="1"/>
  <c r="A154" i="14"/>
  <c r="A155" i="14"/>
  <c r="A156" i="14"/>
  <c r="D156" i="14" s="1"/>
  <c r="A157" i="14"/>
  <c r="C157" i="14" s="1"/>
  <c r="A158" i="14"/>
  <c r="C158" i="14" s="1"/>
  <c r="A159" i="14"/>
  <c r="B159" i="14" s="1"/>
  <c r="A160" i="14"/>
  <c r="D160" i="14" s="1"/>
  <c r="A161" i="14"/>
  <c r="D161" i="14" s="1"/>
  <c r="B161" i="14"/>
  <c r="C161" i="14"/>
  <c r="E161" i="14"/>
  <c r="F161" i="14"/>
  <c r="A162" i="14"/>
  <c r="A163" i="14"/>
  <c r="A164" i="14"/>
  <c r="A165" i="14"/>
  <c r="B165" i="14" s="1"/>
  <c r="A166" i="14"/>
  <c r="A167" i="14"/>
  <c r="D167" i="14" s="1"/>
  <c r="A168" i="14"/>
  <c r="F168" i="14" s="1"/>
  <c r="A169" i="14"/>
  <c r="C169" i="14" s="1"/>
  <c r="E169" i="14"/>
  <c r="A170" i="14"/>
  <c r="A171" i="14"/>
  <c r="C171" i="14" s="1"/>
  <c r="A172" i="14"/>
  <c r="C172" i="14" s="1"/>
  <c r="E172" i="14"/>
  <c r="A173" i="14"/>
  <c r="E173" i="14" s="1"/>
  <c r="A174" i="14"/>
  <c r="E174" i="14" s="1"/>
  <c r="A175" i="14"/>
  <c r="E175" i="14"/>
  <c r="A176" i="14"/>
  <c r="E176" i="14" s="1"/>
  <c r="A177" i="14"/>
  <c r="E177" i="14" s="1"/>
  <c r="B177" i="14"/>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G9" i="13"/>
  <c r="A10" i="13"/>
  <c r="A11" i="13"/>
  <c r="D11" i="13" s="1"/>
  <c r="A12" i="13"/>
  <c r="C12" i="13" s="1"/>
  <c r="A13" i="13"/>
  <c r="D13" i="13" s="1"/>
  <c r="F13" i="13"/>
  <c r="A14" i="13"/>
  <c r="C14" i="13" s="1"/>
  <c r="A15" i="13"/>
  <c r="A16" i="13"/>
  <c r="A17" i="13"/>
  <c r="A18" i="13"/>
  <c r="C18" i="13" s="1"/>
  <c r="E18" i="13"/>
  <c r="A19" i="13"/>
  <c r="E19" i="13" s="1"/>
  <c r="A20" i="13"/>
  <c r="E20" i="13" s="1"/>
  <c r="G20" i="13"/>
  <c r="A21" i="13"/>
  <c r="E21" i="13" s="1"/>
  <c r="A22" i="13"/>
  <c r="C22" i="13" s="1"/>
  <c r="A23" i="13"/>
  <c r="D23" i="13" s="1"/>
  <c r="A24" i="13"/>
  <c r="C24" i="13" s="1"/>
  <c r="A25" i="13"/>
  <c r="C25" i="13" s="1"/>
  <c r="A26" i="13"/>
  <c r="A27" i="13"/>
  <c r="D27" i="13" s="1"/>
  <c r="A28" i="13"/>
  <c r="C28" i="13" s="1"/>
  <c r="A29" i="13"/>
  <c r="D29" i="13" s="1"/>
  <c r="B29" i="13"/>
  <c r="F29" i="13"/>
  <c r="A30" i="13"/>
  <c r="C30" i="13" s="1"/>
  <c r="A31" i="13"/>
  <c r="A32" i="13"/>
  <c r="A33" i="13"/>
  <c r="A34" i="13"/>
  <c r="C34" i="13" s="1"/>
  <c r="A35" i="13"/>
  <c r="F35" i="13" s="1"/>
  <c r="A36" i="13"/>
  <c r="D36" i="13" s="1"/>
  <c r="A37" i="13"/>
  <c r="E37" i="13" s="1"/>
  <c r="B37" i="13"/>
  <c r="A38" i="13"/>
  <c r="D38" i="13" s="1"/>
  <c r="A39" i="13"/>
  <c r="A40" i="13"/>
  <c r="D40" i="13" s="1"/>
  <c r="G40" i="13"/>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C69" i="13"/>
  <c r="A70" i="13"/>
  <c r="D70" i="13" s="1"/>
  <c r="A71" i="13"/>
  <c r="A72" i="13"/>
  <c r="G72" i="13" s="1"/>
  <c r="A73" i="13"/>
  <c r="E73" i="13" s="1"/>
  <c r="D73" i="13"/>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E86" i="13"/>
  <c r="A87" i="13"/>
  <c r="C87" i="13" s="1"/>
  <c r="A88" i="13"/>
  <c r="A89" i="13"/>
  <c r="E89" i="13" s="1"/>
  <c r="A90" i="13"/>
  <c r="C90" i="13" s="1"/>
  <c r="A91" i="13"/>
  <c r="C91" i="13" s="1"/>
  <c r="A92" i="13"/>
  <c r="C92" i="13" s="1"/>
  <c r="A93" i="13"/>
  <c r="E93" i="13" s="1"/>
  <c r="A94" i="13"/>
  <c r="C94" i="13" s="1"/>
  <c r="A95" i="13"/>
  <c r="C95" i="13" s="1"/>
  <c r="A96" i="13"/>
  <c r="C96" i="13" s="1"/>
  <c r="A97" i="13"/>
  <c r="A98" i="13"/>
  <c r="C98" i="13" s="1"/>
  <c r="F98" i="13"/>
  <c r="A99" i="13"/>
  <c r="C99" i="13" s="1"/>
  <c r="A100" i="13"/>
  <c r="C100" i="13" s="1"/>
  <c r="A101" i="13"/>
  <c r="A102" i="13"/>
  <c r="F102" i="13" s="1"/>
  <c r="A103" i="13"/>
  <c r="C103" i="13" s="1"/>
  <c r="A104" i="13"/>
  <c r="C104" i="13" s="1"/>
  <c r="B104" i="13"/>
  <c r="A105" i="13"/>
  <c r="A106" i="13"/>
  <c r="F106" i="13" s="1"/>
  <c r="A107" i="13"/>
  <c r="C107" i="13" s="1"/>
  <c r="A108" i="13"/>
  <c r="C108" i="13" s="1"/>
  <c r="A109" i="13"/>
  <c r="A110" i="13"/>
  <c r="D110" i="13" s="1"/>
  <c r="B110" i="13"/>
  <c r="F110" i="13"/>
  <c r="G110" i="13"/>
  <c r="A111" i="13"/>
  <c r="C111" i="13" s="1"/>
  <c r="A112" i="13"/>
  <c r="C112" i="13" s="1"/>
  <c r="D112" i="13"/>
  <c r="A113" i="13"/>
  <c r="A114" i="13"/>
  <c r="E114" i="13" s="1"/>
  <c r="A115" i="13"/>
  <c r="C115" i="13" s="1"/>
  <c r="A116" i="13"/>
  <c r="C116" i="13" s="1"/>
  <c r="E116" i="13"/>
  <c r="A117" i="13"/>
  <c r="A118" i="13"/>
  <c r="B118" i="13" s="1"/>
  <c r="A119" i="13"/>
  <c r="C119" i="13" s="1"/>
  <c r="A120" i="13"/>
  <c r="A121" i="13"/>
  <c r="A122" i="13"/>
  <c r="C122" i="13" s="1"/>
  <c r="F122" i="13"/>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E134" i="13"/>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E154" i="13"/>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E177" i="13"/>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c r="A30" i="12"/>
  <c r="C30" i="12" s="1"/>
  <c r="A31" i="12"/>
  <c r="C31" i="12" s="1"/>
  <c r="A32" i="12"/>
  <c r="C32" i="12" s="1"/>
  <c r="A33" i="12"/>
  <c r="A34" i="12"/>
  <c r="G34" i="12" s="1"/>
  <c r="C34" i="12"/>
  <c r="A35" i="12"/>
  <c r="A36" i="12"/>
  <c r="B36" i="12" s="1"/>
  <c r="A37" i="12"/>
  <c r="A38" i="12"/>
  <c r="D38" i="12" s="1"/>
  <c r="A39" i="12"/>
  <c r="E39" i="12" s="1"/>
  <c r="A40" i="12"/>
  <c r="C40" i="12" s="1"/>
  <c r="A41" i="12"/>
  <c r="A42" i="12"/>
  <c r="A43" i="12"/>
  <c r="B43" i="12" s="1"/>
  <c r="A44" i="12"/>
  <c r="A45" i="12"/>
  <c r="B45" i="12" s="1"/>
  <c r="A46" i="12"/>
  <c r="E46" i="12" s="1"/>
  <c r="A47" i="12"/>
  <c r="D47" i="12" s="1"/>
  <c r="F47" i="12"/>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F77" i="12"/>
  <c r="A78" i="12"/>
  <c r="C78" i="12" s="1"/>
  <c r="B78" i="12"/>
  <c r="E78" i="12"/>
  <c r="F78" i="12"/>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B107" i="12"/>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F167" i="12"/>
  <c r="A168" i="12"/>
  <c r="C168" i="12" s="1"/>
  <c r="A169" i="12"/>
  <c r="G169" i="12" s="1"/>
  <c r="A170" i="12"/>
  <c r="G170" i="12" s="1"/>
  <c r="C170" i="12"/>
  <c r="A171" i="12"/>
  <c r="E171" i="12" s="1"/>
  <c r="A172" i="12"/>
  <c r="C172" i="12" s="1"/>
  <c r="A173" i="12"/>
  <c r="D173" i="12" s="1"/>
  <c r="B173" i="12"/>
  <c r="E173" i="12"/>
  <c r="F173" i="12"/>
  <c r="G173" i="12"/>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L32" i="11"/>
  <c r="A33" i="11"/>
  <c r="K33" i="11" s="1"/>
  <c r="A34" i="11"/>
  <c r="B34" i="11" s="1"/>
  <c r="A35" i="11"/>
  <c r="C35" i="11" s="1"/>
  <c r="A36" i="11"/>
  <c r="N36" i="11" s="1"/>
  <c r="A37" i="11"/>
  <c r="A38" i="11"/>
  <c r="C38" i="11" s="1"/>
  <c r="A39" i="11"/>
  <c r="C39" i="11" s="1"/>
  <c r="A40" i="11"/>
  <c r="B40" i="11" s="1"/>
  <c r="A41" i="11"/>
  <c r="B41" i="11" s="1"/>
  <c r="A42" i="11"/>
  <c r="C42" i="11" s="1"/>
  <c r="A43" i="11"/>
  <c r="D43" i="11" s="1"/>
  <c r="G43" i="11"/>
  <c r="K43" i="11"/>
  <c r="A44" i="11"/>
  <c r="B44" i="11" s="1"/>
  <c r="A45" i="11"/>
  <c r="B45" i="11" s="1"/>
  <c r="A46" i="11"/>
  <c r="B46" i="11" s="1"/>
  <c r="A47" i="11"/>
  <c r="A48" i="11"/>
  <c r="C48" i="11" s="1"/>
  <c r="A49" i="11"/>
  <c r="A50" i="11"/>
  <c r="F50" i="11" s="1"/>
  <c r="A51" i="11"/>
  <c r="B51" i="11" s="1"/>
  <c r="A52" i="11"/>
  <c r="I52" i="11" s="1"/>
  <c r="A53" i="11"/>
  <c r="D53" i="11" s="1"/>
  <c r="O53" i="11"/>
  <c r="A54" i="11"/>
  <c r="E54" i="11" s="1"/>
  <c r="A55" i="11"/>
  <c r="B55" i="11" s="1"/>
  <c r="A56" i="11"/>
  <c r="A57" i="11"/>
  <c r="D57" i="11" s="1"/>
  <c r="A58" i="11"/>
  <c r="C58" i="11" s="1"/>
  <c r="A59" i="11"/>
  <c r="A60" i="11"/>
  <c r="C60" i="11" s="1"/>
  <c r="D60" i="11"/>
  <c r="N60" i="11"/>
  <c r="A61" i="11"/>
  <c r="K61" i="11" s="1"/>
  <c r="A62" i="11"/>
  <c r="F62" i="11" s="1"/>
  <c r="H62" i="11"/>
  <c r="N62" i="11"/>
  <c r="A63" i="11"/>
  <c r="E63" i="11" s="1"/>
  <c r="A64" i="11"/>
  <c r="B64" i="11" s="1"/>
  <c r="A65" i="11"/>
  <c r="I65" i="11" s="1"/>
  <c r="A66" i="11"/>
  <c r="E66" i="11" s="1"/>
  <c r="A67" i="11"/>
  <c r="E67" i="11" s="1"/>
  <c r="A68" i="11"/>
  <c r="C68" i="11" s="1"/>
  <c r="A69" i="11"/>
  <c r="I69" i="11" s="1"/>
  <c r="A70" i="11"/>
  <c r="E70" i="11" s="1"/>
  <c r="A71" i="11"/>
  <c r="C71" i="11" s="1"/>
  <c r="A72" i="11"/>
  <c r="C72" i="11" s="1"/>
  <c r="D72" i="11"/>
  <c r="I72" i="11"/>
  <c r="L72" i="11"/>
  <c r="N72" i="11"/>
  <c r="A73" i="11"/>
  <c r="G73" i="11" s="1"/>
  <c r="A74" i="11"/>
  <c r="E74" i="11" s="1"/>
  <c r="K74" i="11"/>
  <c r="A75" i="11"/>
  <c r="C75" i="11" s="1"/>
  <c r="A76" i="11"/>
  <c r="C76" i="11" s="1"/>
  <c r="A77" i="11"/>
  <c r="E77" i="11" s="1"/>
  <c r="A78" i="11"/>
  <c r="A79" i="11"/>
  <c r="A80" i="11"/>
  <c r="C80" i="11" s="1"/>
  <c r="F80" i="1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O94" i="11"/>
  <c r="A95" i="11"/>
  <c r="E95" i="11" s="1"/>
  <c r="A96" i="11"/>
  <c r="F96" i="11" s="1"/>
  <c r="A97" i="11"/>
  <c r="N97" i="11" s="1"/>
  <c r="I97" i="1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L108" i="11"/>
  <c r="A109" i="11"/>
  <c r="K109" i="11" s="1"/>
  <c r="A110" i="11"/>
  <c r="L110" i="11" s="1"/>
  <c r="A111" i="11"/>
  <c r="E111" i="11" s="1"/>
  <c r="A112" i="11"/>
  <c r="F112" i="11" s="1"/>
  <c r="A113" i="11"/>
  <c r="C113" i="11" s="1"/>
  <c r="K113" i="11"/>
  <c r="A114" i="11"/>
  <c r="E114" i="11" s="1"/>
  <c r="A115" i="11"/>
  <c r="G115" i="11" s="1"/>
  <c r="A116" i="11"/>
  <c r="B116" i="11" s="1"/>
  <c r="A117" i="11"/>
  <c r="C117" i="11" s="1"/>
  <c r="A118" i="11"/>
  <c r="E118" i="11" s="1"/>
  <c r="A119" i="11"/>
  <c r="H119" i="11" s="1"/>
  <c r="A120" i="11"/>
  <c r="A121" i="11"/>
  <c r="G121" i="11" s="1"/>
  <c r="A122" i="11"/>
  <c r="B122" i="11" s="1"/>
  <c r="A123" i="11"/>
  <c r="C123" i="11" s="1"/>
  <c r="L123" i="1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M146" i="11"/>
  <c r="A147" i="11"/>
  <c r="B147" i="11" s="1"/>
  <c r="D147" i="11"/>
  <c r="A148" i="11"/>
  <c r="B148" i="11" s="1"/>
  <c r="A149" i="11"/>
  <c r="A150" i="11"/>
  <c r="E150" i="11" s="1"/>
  <c r="K150" i="11"/>
  <c r="A151" i="11"/>
  <c r="L151" i="11" s="1"/>
  <c r="A152" i="11"/>
  <c r="B152" i="11" s="1"/>
  <c r="A153" i="11"/>
  <c r="D153" i="11" s="1"/>
  <c r="A154" i="11"/>
  <c r="C154" i="11" s="1"/>
  <c r="A155" i="11"/>
  <c r="B155" i="11" s="1"/>
  <c r="L155" i="1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L13" i="10"/>
  <c r="M13" i="10"/>
  <c r="A14" i="10"/>
  <c r="B14" i="10" s="1"/>
  <c r="A15" i="10"/>
  <c r="B15" i="10" s="1"/>
  <c r="M15" i="10"/>
  <c r="A16" i="10"/>
  <c r="G16" i="10" s="1"/>
  <c r="A17" i="10"/>
  <c r="B17" i="10" s="1"/>
  <c r="A18" i="10"/>
  <c r="F18" i="10"/>
  <c r="A19" i="10"/>
  <c r="E19" i="10" s="1"/>
  <c r="A20" i="10"/>
  <c r="C20" i="10" s="1"/>
  <c r="A21" i="10"/>
  <c r="F21" i="10" s="1"/>
  <c r="A22" i="10"/>
  <c r="B22" i="10" s="1"/>
  <c r="A23" i="10"/>
  <c r="A24" i="10"/>
  <c r="D24" i="10" s="1"/>
  <c r="A25" i="10"/>
  <c r="C25" i="10" s="1"/>
  <c r="B25" i="10"/>
  <c r="H25" i="10"/>
  <c r="I25" i="10"/>
  <c r="N25" i="10"/>
  <c r="A26" i="10"/>
  <c r="B26" i="10" s="1"/>
  <c r="A27" i="10"/>
  <c r="A28" i="10"/>
  <c r="A29" i="10"/>
  <c r="E29" i="10" s="1"/>
  <c r="A30" i="10"/>
  <c r="B30" i="10" s="1"/>
  <c r="A31" i="10"/>
  <c r="E31" i="10" s="1"/>
  <c r="A32" i="10"/>
  <c r="F32" i="10" s="1"/>
  <c r="A33" i="10"/>
  <c r="E33" i="10" s="1"/>
  <c r="I33" i="10"/>
  <c r="A34" i="10"/>
  <c r="B34" i="10" s="1"/>
  <c r="I34" i="10"/>
  <c r="L34" i="10"/>
  <c r="A35" i="10"/>
  <c r="A36" i="10"/>
  <c r="A37" i="10"/>
  <c r="C37" i="10" s="1"/>
  <c r="I37" i="10"/>
  <c r="A38" i="10"/>
  <c r="B38" i="10" s="1"/>
  <c r="L38" i="10"/>
  <c r="A39" i="10"/>
  <c r="E39" i="10" s="1"/>
  <c r="A40" i="10"/>
  <c r="D40" i="10" s="1"/>
  <c r="A41" i="10"/>
  <c r="B41" i="10" s="1"/>
  <c r="A42" i="10"/>
  <c r="B42" i="10" s="1"/>
  <c r="A43" i="10"/>
  <c r="A44" i="10"/>
  <c r="D44" i="10" s="1"/>
  <c r="A45" i="10"/>
  <c r="D45" i="10" s="1"/>
  <c r="A46" i="10"/>
  <c r="B46" i="10" s="1"/>
  <c r="A47" i="10"/>
  <c r="A48" i="10"/>
  <c r="N48" i="10" s="1"/>
  <c r="A49" i="10"/>
  <c r="B49" i="10" s="1"/>
  <c r="O49" i="10"/>
  <c r="A50" i="10"/>
  <c r="B50" i="10" s="1"/>
  <c r="A51" i="10"/>
  <c r="A52" i="10"/>
  <c r="D52" i="10" s="1"/>
  <c r="A53" i="10"/>
  <c r="B53" i="10" s="1"/>
  <c r="A54" i="10"/>
  <c r="E54" i="10" s="1"/>
  <c r="A55" i="10"/>
  <c r="E55" i="10" s="1"/>
  <c r="A56" i="10"/>
  <c r="D56" i="10" s="1"/>
  <c r="E56" i="10"/>
  <c r="F56" i="10"/>
  <c r="K56" i="10"/>
  <c r="O56" i="10"/>
  <c r="A57" i="10"/>
  <c r="B57" i="10" s="1"/>
  <c r="A58" i="10"/>
  <c r="A59" i="10"/>
  <c r="A60" i="10"/>
  <c r="C60" i="10" s="1"/>
  <c r="A61" i="10"/>
  <c r="B61" i="10" s="1"/>
  <c r="I61" i="10"/>
  <c r="A62" i="10"/>
  <c r="B62" i="10" s="1"/>
  <c r="D62" i="10"/>
  <c r="I62" i="10"/>
  <c r="A63" i="10"/>
  <c r="E63" i="10" s="1"/>
  <c r="A64" i="10"/>
  <c r="A65" i="10"/>
  <c r="B65" i="10" s="1"/>
  <c r="A66" i="10"/>
  <c r="A67" i="10"/>
  <c r="A68" i="10"/>
  <c r="D68" i="10" s="1"/>
  <c r="A69" i="10"/>
  <c r="D69" i="10" s="1"/>
  <c r="A70" i="10"/>
  <c r="B70" i="10" s="1"/>
  <c r="A71" i="10"/>
  <c r="E71" i="10" s="1"/>
  <c r="A72" i="10"/>
  <c r="D72" i="10" s="1"/>
  <c r="E72" i="10"/>
  <c r="K72" i="10"/>
  <c r="M72" i="10"/>
  <c r="A73" i="10"/>
  <c r="A74" i="10"/>
  <c r="A75" i="10"/>
  <c r="A76" i="10"/>
  <c r="K76" i="10" s="1"/>
  <c r="A77" i="10"/>
  <c r="C77" i="10" s="1"/>
  <c r="A78" i="10"/>
  <c r="A79" i="10"/>
  <c r="E79" i="10" s="1"/>
  <c r="A80" i="10"/>
  <c r="D80" i="10" s="1"/>
  <c r="A81" i="10"/>
  <c r="I81" i="10" s="1"/>
  <c r="A82" i="10"/>
  <c r="E82" i="10" s="1"/>
  <c r="A83" i="10"/>
  <c r="A84" i="10"/>
  <c r="C84" i="10" s="1"/>
  <c r="I84" i="10"/>
  <c r="K84" i="10"/>
  <c r="A85" i="10"/>
  <c r="C85" i="10" s="1"/>
  <c r="A86" i="10"/>
  <c r="B86" i="10" s="1"/>
  <c r="I86" i="10"/>
  <c r="A87" i="10"/>
  <c r="E87" i="10" s="1"/>
  <c r="A88" i="10"/>
  <c r="D88" i="10" s="1"/>
  <c r="F88" i="10"/>
  <c r="A89" i="10"/>
  <c r="C89" i="10" s="1"/>
  <c r="H89" i="10"/>
  <c r="M89" i="10"/>
  <c r="A90" i="10"/>
  <c r="I90" i="10" s="1"/>
  <c r="A91" i="10"/>
  <c r="A92" i="10"/>
  <c r="A93" i="10"/>
  <c r="B93" i="10" s="1"/>
  <c r="A94" i="10"/>
  <c r="B94" i="10" s="1"/>
  <c r="L94" i="10"/>
  <c r="A95" i="10"/>
  <c r="A96" i="10"/>
  <c r="D96" i="10" s="1"/>
  <c r="I96" i="10"/>
  <c r="K96" i="10"/>
  <c r="A97" i="10"/>
  <c r="I97" i="10"/>
  <c r="A98" i="10"/>
  <c r="L98" i="10" s="1"/>
  <c r="A99" i="10"/>
  <c r="A100" i="10"/>
  <c r="B100" i="10" s="1"/>
  <c r="J100" i="10"/>
  <c r="A101" i="10"/>
  <c r="I101" i="10" s="1"/>
  <c r="A102" i="10"/>
  <c r="A103" i="10"/>
  <c r="E103" i="10" s="1"/>
  <c r="A104" i="10"/>
  <c r="E104" i="10" s="1"/>
  <c r="F104" i="10"/>
  <c r="A105" i="10"/>
  <c r="A106" i="10"/>
  <c r="E106" i="10" s="1"/>
  <c r="A107" i="10"/>
  <c r="A108" i="10"/>
  <c r="C108" i="10" s="1"/>
  <c r="A109" i="10"/>
  <c r="C109" i="10" s="1"/>
  <c r="E109" i="10"/>
  <c r="A110" i="10"/>
  <c r="B110" i="10" s="1"/>
  <c r="E110" i="10"/>
  <c r="I110" i="10"/>
  <c r="L110" i="10"/>
  <c r="A111" i="10"/>
  <c r="A112" i="10"/>
  <c r="A113" i="10"/>
  <c r="C113" i="10" s="1"/>
  <c r="A114" i="10"/>
  <c r="B114" i="10" s="1"/>
  <c r="A115" i="10"/>
  <c r="A116" i="10"/>
  <c r="A117" i="10"/>
  <c r="E117" i="10" s="1"/>
  <c r="A118" i="10"/>
  <c r="A119" i="10"/>
  <c r="B119" i="10" s="1"/>
  <c r="A120" i="10"/>
  <c r="D120" i="10" s="1"/>
  <c r="F120" i="10"/>
  <c r="K120" i="10"/>
  <c r="A121" i="10"/>
  <c r="C121" i="10" s="1"/>
  <c r="E121" i="10"/>
  <c r="I121" i="10"/>
  <c r="M121" i="10"/>
  <c r="A122" i="10"/>
  <c r="H122" i="10" s="1"/>
  <c r="A123" i="10"/>
  <c r="I123" i="10" s="1"/>
  <c r="A124" i="10"/>
  <c r="A125" i="10"/>
  <c r="C125" i="10" s="1"/>
  <c r="A126" i="10"/>
  <c r="H126" i="10" s="1"/>
  <c r="A127" i="10"/>
  <c r="I127" i="10" s="1"/>
  <c r="A128" i="10"/>
  <c r="I128" i="10" s="1"/>
  <c r="A129" i="10"/>
  <c r="I129" i="10" s="1"/>
  <c r="C129" i="10"/>
  <c r="A130" i="10"/>
  <c r="A131" i="10"/>
  <c r="A132" i="10"/>
  <c r="D132" i="10" s="1"/>
  <c r="F132" i="10"/>
  <c r="K132" i="10"/>
  <c r="A133" i="10"/>
  <c r="B133" i="10" s="1"/>
  <c r="E133" i="10"/>
  <c r="I133" i="10"/>
  <c r="M133" i="10"/>
  <c r="A134" i="10"/>
  <c r="E134" i="10" s="1"/>
  <c r="A135" i="10"/>
  <c r="A136" i="10"/>
  <c r="B136" i="10" s="1"/>
  <c r="A137" i="10"/>
  <c r="L137" i="10" s="1"/>
  <c r="A138" i="10"/>
  <c r="D138" i="10" s="1"/>
  <c r="A139" i="10"/>
  <c r="A140" i="10"/>
  <c r="A141" i="10"/>
  <c r="E141" i="10" s="1"/>
  <c r="C141" i="10"/>
  <c r="D141" i="10"/>
  <c r="G141" i="10"/>
  <c r="H141" i="10"/>
  <c r="I141" i="10"/>
  <c r="L141" i="10"/>
  <c r="M141" i="10"/>
  <c r="O141" i="10"/>
  <c r="A142" i="10"/>
  <c r="D142" i="10" s="1"/>
  <c r="A143" i="10"/>
  <c r="E143" i="10" s="1"/>
  <c r="A144" i="10"/>
  <c r="C144" i="10"/>
  <c r="A145" i="10"/>
  <c r="C145" i="10" s="1"/>
  <c r="L145" i="10"/>
  <c r="A146" i="10"/>
  <c r="A147" i="10"/>
  <c r="A148" i="10"/>
  <c r="A149" i="10"/>
  <c r="A150" i="10"/>
  <c r="A151" i="10"/>
  <c r="L151" i="10" s="1"/>
  <c r="A152" i="10"/>
  <c r="A153" i="10"/>
  <c r="B153" i="10" s="1"/>
  <c r="D153" i="10"/>
  <c r="F153" i="10"/>
  <c r="A154" i="10"/>
  <c r="D154" i="10" s="1"/>
  <c r="A155" i="10"/>
  <c r="F155" i="10" s="1"/>
  <c r="H155" i="10"/>
  <c r="A156" i="10"/>
  <c r="C156" i="10" s="1"/>
  <c r="I156" i="10"/>
  <c r="A157" i="10"/>
  <c r="D157" i="10" s="1"/>
  <c r="B157" i="10"/>
  <c r="I157" i="10"/>
  <c r="J157" i="10"/>
  <c r="A158" i="10"/>
  <c r="E158" i="10" s="1"/>
  <c r="A159" i="10"/>
  <c r="L159" i="10" s="1"/>
  <c r="A160" i="10"/>
  <c r="A161" i="10"/>
  <c r="B161" i="10" s="1"/>
  <c r="C161" i="10"/>
  <c r="E161" i="10"/>
  <c r="K161" i="10"/>
  <c r="M161" i="10"/>
  <c r="A162" i="10"/>
  <c r="A163" i="10"/>
  <c r="A164" i="10"/>
  <c r="C164" i="10" s="1"/>
  <c r="N164" i="10"/>
  <c r="A165" i="10"/>
  <c r="A166" i="10"/>
  <c r="L166" i="10" s="1"/>
  <c r="A167" i="10"/>
  <c r="D167" i="10" s="1"/>
  <c r="A168" i="10"/>
  <c r="A169" i="10"/>
  <c r="C169" i="10" s="1"/>
  <c r="A170" i="10"/>
  <c r="A171" i="10"/>
  <c r="D171" i="10" s="1"/>
  <c r="E171" i="10"/>
  <c r="H171" i="10"/>
  <c r="A172" i="10"/>
  <c r="C172" i="10" s="1"/>
  <c r="A173" i="10"/>
  <c r="A174" i="10"/>
  <c r="E174" i="10" s="1"/>
  <c r="A175" i="10"/>
  <c r="A176" i="10"/>
  <c r="B176" i="10" s="1"/>
  <c r="E176" i="10"/>
  <c r="O176" i="10"/>
  <c r="A177" i="10"/>
  <c r="A178" i="10"/>
  <c r="L178" i="10" s="1"/>
  <c r="A179" i="10"/>
  <c r="M179" i="10" s="1"/>
  <c r="A180" i="10"/>
  <c r="C180" i="10" s="1"/>
  <c r="A181" i="10"/>
  <c r="I181" i="10" s="1"/>
  <c r="A182" i="10"/>
  <c r="H182" i="10" s="1"/>
  <c r="A183" i="10"/>
  <c r="A184" i="10"/>
  <c r="M184" i="10" s="1"/>
  <c r="A185" i="10"/>
  <c r="C185" i="10" s="1"/>
  <c r="I185" i="10"/>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F18" i="8"/>
  <c r="I18" i="8"/>
  <c r="A19" i="8"/>
  <c r="D19" i="8" s="1"/>
  <c r="G19" i="8"/>
  <c r="I19" i="8"/>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8" i="6"/>
  <c r="C8" i="6" s="1"/>
  <c r="F8" i="6"/>
  <c r="J8" i="6"/>
  <c r="M8" i="6"/>
  <c r="A9" i="6"/>
  <c r="E9" i="6"/>
  <c r="A10" i="6"/>
  <c r="G10" i="6" s="1"/>
  <c r="A11" i="6"/>
  <c r="B11" i="6" s="1"/>
  <c r="H11" i="6"/>
  <c r="L11" i="6"/>
  <c r="A12" i="6"/>
  <c r="A13" i="6"/>
  <c r="I13" i="6"/>
  <c r="A14" i="6"/>
  <c r="A15" i="6"/>
  <c r="A16" i="6"/>
  <c r="C16" i="6" s="1"/>
  <c r="B16" i="6"/>
  <c r="E16" i="6"/>
  <c r="G16" i="6"/>
  <c r="J16" i="6"/>
  <c r="K16" i="6"/>
  <c r="O16" i="6"/>
  <c r="A17" i="6"/>
  <c r="B17" i="6" s="1"/>
  <c r="A18" i="6"/>
  <c r="A19" i="6"/>
  <c r="A20" i="6"/>
  <c r="A21" i="6"/>
  <c r="D21" i="6" s="1"/>
  <c r="H21" i="6"/>
  <c r="I21" i="6"/>
  <c r="A22" i="6"/>
  <c r="D22" i="6" s="1"/>
  <c r="A23" i="6"/>
  <c r="I23" i="6" s="1"/>
  <c r="L23" i="6"/>
  <c r="A24" i="6"/>
  <c r="E24" i="6" s="1"/>
  <c r="A25" i="6"/>
  <c r="D25" i="6" s="1"/>
  <c r="I25" i="6"/>
  <c r="A26" i="6"/>
  <c r="G26" i="6" s="1"/>
  <c r="A27" i="6"/>
  <c r="A28" i="6"/>
  <c r="A29" i="6"/>
  <c r="F29" i="6" s="1"/>
  <c r="A30" i="6"/>
  <c r="M30" i="6" s="1"/>
  <c r="A31" i="6"/>
  <c r="A32" i="6"/>
  <c r="L32" i="6" s="1"/>
  <c r="A33" i="6"/>
  <c r="B33" i="6" s="1"/>
  <c r="A34" i="6"/>
  <c r="C34" i="6" s="1"/>
  <c r="A35" i="6"/>
  <c r="C35" i="6" s="1"/>
  <c r="N35" i="6"/>
  <c r="A36" i="6"/>
  <c r="G36" i="6" s="1"/>
  <c r="M36" i="6"/>
  <c r="O36" i="6"/>
  <c r="A37" i="6"/>
  <c r="L37" i="6" s="1"/>
  <c r="A38" i="6"/>
  <c r="B38" i="6" s="1"/>
  <c r="M38" i="6"/>
  <c r="A39" i="6"/>
  <c r="C39" i="6" s="1"/>
  <c r="G39" i="6"/>
  <c r="A40" i="6"/>
  <c r="L40" i="6" s="1"/>
  <c r="A41" i="6"/>
  <c r="A42" i="6"/>
  <c r="A43" i="6"/>
  <c r="C43" i="6" s="1"/>
  <c r="A44" i="6"/>
  <c r="L44" i="6"/>
  <c r="A45" i="6"/>
  <c r="D45" i="6" s="1"/>
  <c r="A46" i="6"/>
  <c r="I46" i="6" s="1"/>
  <c r="A47" i="6"/>
  <c r="D47" i="6" s="1"/>
  <c r="A48" i="6"/>
  <c r="I48" i="6" s="1"/>
  <c r="O48" i="6"/>
  <c r="A49" i="6"/>
  <c r="L49" i="6" s="1"/>
  <c r="A50" i="6"/>
  <c r="K50" i="6" s="1"/>
  <c r="A51" i="6"/>
  <c r="K51" i="6" s="1"/>
  <c r="A52" i="6"/>
  <c r="E52" i="6" s="1"/>
  <c r="A53" i="6"/>
  <c r="I53" i="6" s="1"/>
  <c r="A54" i="6"/>
  <c r="A55" i="6"/>
  <c r="B55" i="6" s="1"/>
  <c r="M55" i="6"/>
  <c r="A56" i="6"/>
  <c r="O56" i="6" s="1"/>
  <c r="A57" i="6"/>
  <c r="F57" i="6" s="1"/>
  <c r="A58" i="6"/>
  <c r="K58" i="6" s="1"/>
  <c r="A59" i="6"/>
  <c r="F59" i="6"/>
  <c r="A60" i="6"/>
  <c r="E60" i="6" s="1"/>
  <c r="A61" i="6"/>
  <c r="L61" i="6" s="1"/>
  <c r="A62" i="6"/>
  <c r="A63" i="6"/>
  <c r="A64" i="6"/>
  <c r="A65" i="6"/>
  <c r="E65" i="6" s="1"/>
  <c r="A66" i="6"/>
  <c r="A67" i="6"/>
  <c r="E67" i="6" s="1"/>
  <c r="A68" i="6"/>
  <c r="K68" i="6" s="1"/>
  <c r="A69" i="6"/>
  <c r="F69" i="6"/>
  <c r="L69" i="6"/>
  <c r="A70" i="6"/>
  <c r="I70" i="6" s="1"/>
  <c r="A71" i="6"/>
  <c r="A72" i="6"/>
  <c r="A73" i="6"/>
  <c r="J73" i="6" s="1"/>
  <c r="A74" i="6"/>
  <c r="I74" i="6" s="1"/>
  <c r="A75" i="6"/>
  <c r="E75" i="6" s="1"/>
  <c r="A76" i="6"/>
  <c r="A77" i="6"/>
  <c r="D77" i="6" s="1"/>
  <c r="N77" i="6"/>
  <c r="A78" i="6"/>
  <c r="I78" i="6" s="1"/>
  <c r="A79" i="6"/>
  <c r="A80" i="6"/>
  <c r="C80" i="6"/>
  <c r="O80" i="6"/>
  <c r="A81" i="6"/>
  <c r="A82" i="6"/>
  <c r="I82" i="6" s="1"/>
  <c r="A83" i="6"/>
  <c r="A84" i="6"/>
  <c r="C84" i="6" s="1"/>
  <c r="A85" i="6"/>
  <c r="F85" i="6" s="1"/>
  <c r="A86" i="6"/>
  <c r="I86" i="6" s="1"/>
  <c r="A87" i="6"/>
  <c r="L87" i="6" s="1"/>
  <c r="A88" i="6"/>
  <c r="C88" i="6" s="1"/>
  <c r="A89" i="6"/>
  <c r="B89" i="6" s="1"/>
  <c r="A90" i="6"/>
  <c r="I90" i="6" s="1"/>
  <c r="A91" i="6"/>
  <c r="C91" i="6" s="1"/>
  <c r="A92" i="6"/>
  <c r="G92" i="6" s="1"/>
  <c r="A93" i="6"/>
  <c r="A94" i="6"/>
  <c r="M94" i="6" s="1"/>
  <c r="I94" i="6"/>
  <c r="A95" i="6"/>
  <c r="A96" i="6"/>
  <c r="I96" i="6"/>
  <c r="K96" i="6"/>
  <c r="A97" i="6"/>
  <c r="E97" i="6" s="1"/>
  <c r="A98" i="6"/>
  <c r="I98" i="6" s="1"/>
  <c r="A99" i="6"/>
  <c r="E99" i="6" s="1"/>
  <c r="A100" i="6"/>
  <c r="G100" i="6" s="1"/>
  <c r="A101" i="6"/>
  <c r="L101" i="6"/>
  <c r="A102" i="6"/>
  <c r="A103" i="6"/>
  <c r="D103" i="6" s="1"/>
  <c r="E103" i="6"/>
  <c r="L103" i="6"/>
  <c r="A104" i="6"/>
  <c r="C104" i="6" s="1"/>
  <c r="K104" i="6"/>
  <c r="A105" i="6"/>
  <c r="B105" i="6" s="1"/>
  <c r="A106" i="6"/>
  <c r="I106" i="6" s="1"/>
  <c r="A107" i="6"/>
  <c r="C107" i="6" s="1"/>
  <c r="L107" i="6"/>
  <c r="A108" i="6"/>
  <c r="G108" i="6" s="1"/>
  <c r="A109" i="6"/>
  <c r="E109" i="6" s="1"/>
  <c r="B109" i="6"/>
  <c r="F109" i="6"/>
  <c r="L109" i="6"/>
  <c r="M109" i="6"/>
  <c r="A110" i="6"/>
  <c r="A111" i="6"/>
  <c r="C111" i="6" s="1"/>
  <c r="F111" i="6"/>
  <c r="O111" i="6"/>
  <c r="A112" i="6"/>
  <c r="A113" i="6"/>
  <c r="F113" i="6" s="1"/>
  <c r="A114" i="6"/>
  <c r="J114" i="6"/>
  <c r="O114" i="6"/>
  <c r="A115" i="6"/>
  <c r="B115" i="6" s="1"/>
  <c r="A116" i="6"/>
  <c r="G116" i="6" s="1"/>
  <c r="A117" i="6"/>
  <c r="D117" i="6" s="1"/>
  <c r="A118" i="6"/>
  <c r="F118" i="6" s="1"/>
  <c r="A119" i="6"/>
  <c r="B119" i="6" s="1"/>
  <c r="E119" i="6"/>
  <c r="F119" i="6"/>
  <c r="J119" i="6"/>
  <c r="K119" i="6"/>
  <c r="O119" i="6"/>
  <c r="A120" i="6"/>
  <c r="E120" i="6" s="1"/>
  <c r="L120" i="6"/>
  <c r="A121" i="6"/>
  <c r="I121" i="6" s="1"/>
  <c r="A122" i="6"/>
  <c r="C122" i="6" s="1"/>
  <c r="F122" i="6"/>
  <c r="G122" i="6"/>
  <c r="A123" i="6"/>
  <c r="B123" i="6" s="1"/>
  <c r="A124" i="6"/>
  <c r="G124" i="6" s="1"/>
  <c r="A125" i="6"/>
  <c r="A126" i="6"/>
  <c r="F126" i="6" s="1"/>
  <c r="A127" i="6"/>
  <c r="C127" i="6" s="1"/>
  <c r="A128" i="6"/>
  <c r="O128" i="6" s="1"/>
  <c r="K128" i="6"/>
  <c r="A129" i="6"/>
  <c r="L129" i="6" s="1"/>
  <c r="A130" i="6"/>
  <c r="B130" i="6" s="1"/>
  <c r="G130" i="6"/>
  <c r="A131" i="6"/>
  <c r="C131" i="6" s="1"/>
  <c r="F131" i="6"/>
  <c r="A132" i="6"/>
  <c r="C132" i="6" s="1"/>
  <c r="L132" i="6"/>
  <c r="A133" i="6"/>
  <c r="D133" i="6" s="1"/>
  <c r="A134" i="6"/>
  <c r="K134" i="6" s="1"/>
  <c r="A135" i="6"/>
  <c r="A136" i="6"/>
  <c r="E136" i="6" s="1"/>
  <c r="A137" i="6"/>
  <c r="B137" i="6" s="1"/>
  <c r="A138" i="6"/>
  <c r="A139" i="6"/>
  <c r="B139" i="6" s="1"/>
  <c r="A140" i="6"/>
  <c r="G140" i="6" s="1"/>
  <c r="A141" i="6"/>
  <c r="A142" i="6"/>
  <c r="B142" i="6" s="1"/>
  <c r="A143" i="6"/>
  <c r="A144" i="6"/>
  <c r="H144" i="6" s="1"/>
  <c r="A145" i="6"/>
  <c r="F145" i="6" s="1"/>
  <c r="A146" i="6"/>
  <c r="E146" i="6" s="1"/>
  <c r="A147" i="6"/>
  <c r="A148" i="6"/>
  <c r="I148" i="6" s="1"/>
  <c r="A149" i="6"/>
  <c r="E149" i="6" s="1"/>
  <c r="A150" i="6"/>
  <c r="A151" i="6"/>
  <c r="F151" i="6" s="1"/>
  <c r="A152" i="6"/>
  <c r="A153" i="6"/>
  <c r="C153" i="6" s="1"/>
  <c r="A154" i="6"/>
  <c r="E154" i="6" s="1"/>
  <c r="A155" i="6"/>
  <c r="B155" i="6" s="1"/>
  <c r="E155" i="6"/>
  <c r="F155" i="6"/>
  <c r="J155" i="6"/>
  <c r="L155" i="6"/>
  <c r="A156" i="6"/>
  <c r="B156" i="6" s="1"/>
  <c r="A157" i="6"/>
  <c r="A158" i="6"/>
  <c r="E158" i="6" s="1"/>
  <c r="A159" i="6"/>
  <c r="D159" i="6" s="1"/>
  <c r="A160" i="6"/>
  <c r="A161" i="6"/>
  <c r="N161" i="6" s="1"/>
  <c r="A162" i="6"/>
  <c r="E162" i="6" s="1"/>
  <c r="A163" i="6"/>
  <c r="D163" i="6" s="1"/>
  <c r="A164" i="6"/>
  <c r="A165" i="6"/>
  <c r="H165" i="6"/>
  <c r="M165" i="6"/>
  <c r="A166" i="6"/>
  <c r="E166" i="6" s="1"/>
  <c r="A167" i="6"/>
  <c r="D167" i="6" s="1"/>
  <c r="B167" i="6"/>
  <c r="H167" i="6"/>
  <c r="J167" i="6"/>
  <c r="M167" i="6"/>
  <c r="A168" i="6"/>
  <c r="B168" i="6" s="1"/>
  <c r="E168" i="6"/>
  <c r="A169" i="6"/>
  <c r="B169" i="6" s="1"/>
  <c r="A170" i="6"/>
  <c r="E170" i="6" s="1"/>
  <c r="A171" i="6"/>
  <c r="F171" i="6" s="1"/>
  <c r="A172" i="6"/>
  <c r="A173" i="6"/>
  <c r="G173" i="6" s="1"/>
  <c r="A174" i="6"/>
  <c r="E174" i="6" s="1"/>
  <c r="A175" i="6"/>
  <c r="C175" i="6" s="1"/>
  <c r="L175" i="6"/>
  <c r="A176" i="6"/>
  <c r="C176" i="6" s="1"/>
  <c r="A177" i="6"/>
  <c r="B177" i="6" s="1"/>
  <c r="F177" i="6"/>
  <c r="I177" i="6"/>
  <c r="A178" i="6"/>
  <c r="E178" i="6" s="1"/>
  <c r="A179" i="6"/>
  <c r="D179" i="6" s="1"/>
  <c r="L179" i="6"/>
  <c r="A180" i="6"/>
  <c r="D180" i="6" s="1"/>
  <c r="A181" i="6"/>
  <c r="B181" i="6" s="1"/>
  <c r="C181" i="6"/>
  <c r="H181" i="6"/>
  <c r="O181" i="6"/>
  <c r="A182" i="6"/>
  <c r="E182" i="6" s="1"/>
  <c r="A183" i="6"/>
  <c r="C183" i="6" s="1"/>
  <c r="J183" i="6"/>
  <c r="A184" i="6"/>
  <c r="I184" i="6" s="1"/>
  <c r="A185" i="6"/>
  <c r="A186" i="6"/>
  <c r="E186" i="6" s="1"/>
  <c r="A187" i="6"/>
  <c r="A188" i="6"/>
  <c r="I188" i="6"/>
  <c r="A189" i="6"/>
  <c r="A7" i="7"/>
  <c r="C7" i="7" s="1"/>
  <c r="A8" i="7"/>
  <c r="I8" i="7" s="1"/>
  <c r="A9" i="7"/>
  <c r="A10" i="7"/>
  <c r="C10" i="7" s="1"/>
  <c r="L10" i="7"/>
  <c r="A11" i="7"/>
  <c r="I11" i="7" s="1"/>
  <c r="A12" i="7"/>
  <c r="E12" i="7" s="1"/>
  <c r="A13" i="7"/>
  <c r="A14" i="7"/>
  <c r="A16" i="7"/>
  <c r="A17" i="7"/>
  <c r="G17" i="7" s="1"/>
  <c r="K17" i="7"/>
  <c r="A18" i="7"/>
  <c r="H18" i="7" s="1"/>
  <c r="M18" i="7"/>
  <c r="A19" i="7"/>
  <c r="A20" i="7"/>
  <c r="I20" i="7" s="1"/>
  <c r="A21" i="7"/>
  <c r="E21" i="7" s="1"/>
  <c r="G21" i="7"/>
  <c r="A22" i="7"/>
  <c r="F22" i="7" s="1"/>
  <c r="A23" i="7"/>
  <c r="C23" i="7" s="1"/>
  <c r="A24" i="7"/>
  <c r="E24" i="7" s="1"/>
  <c r="A25" i="7"/>
  <c r="C25" i="7"/>
  <c r="K25" i="7"/>
  <c r="A26" i="7"/>
  <c r="B26" i="7" s="1"/>
  <c r="A27" i="7"/>
  <c r="B27" i="7" s="1"/>
  <c r="C27" i="7"/>
  <c r="I27" i="7"/>
  <c r="J27" i="7"/>
  <c r="O27" i="7"/>
  <c r="A29" i="7"/>
  <c r="L29" i="7" s="1"/>
  <c r="A30" i="7"/>
  <c r="B30" i="7" s="1"/>
  <c r="J30" i="7"/>
  <c r="A31" i="7"/>
  <c r="B31" i="7" s="1"/>
  <c r="N31" i="7"/>
  <c r="A33" i="7"/>
  <c r="C33" i="7" s="1"/>
  <c r="E33" i="7"/>
  <c r="L33" i="7"/>
  <c r="A34" i="7"/>
  <c r="L34" i="7" s="1"/>
  <c r="A35" i="7"/>
  <c r="B35" i="7" s="1"/>
  <c r="A36" i="7"/>
  <c r="A37" i="7"/>
  <c r="O37" i="7" s="1"/>
  <c r="A38" i="7"/>
  <c r="B38" i="7" s="1"/>
  <c r="A39" i="7"/>
  <c r="K39" i="7"/>
  <c r="A41" i="7"/>
  <c r="H41" i="7" s="1"/>
  <c r="A42" i="7"/>
  <c r="B42" i="7" s="1"/>
  <c r="A43" i="7"/>
  <c r="K43" i="7" s="1"/>
  <c r="A44" i="7"/>
  <c r="K44" i="7" s="1"/>
  <c r="A45" i="7"/>
  <c r="I45" i="7" s="1"/>
  <c r="A46" i="7"/>
  <c r="J46" i="7" s="1"/>
  <c r="A47" i="7"/>
  <c r="A48" i="7"/>
  <c r="C48" i="7" s="1"/>
  <c r="E48" i="7"/>
  <c r="M48" i="7"/>
  <c r="O48" i="7"/>
  <c r="A49" i="7"/>
  <c r="E49" i="7" s="1"/>
  <c r="A50" i="7"/>
  <c r="F50" i="7" s="1"/>
  <c r="A51" i="7"/>
  <c r="A52" i="7"/>
  <c r="F52" i="7" s="1"/>
  <c r="A53" i="7"/>
  <c r="L53" i="7" s="1"/>
  <c r="A55" i="7"/>
  <c r="F55" i="7" s="1"/>
  <c r="A56" i="7"/>
  <c r="K56" i="7" s="1"/>
  <c r="A57" i="7"/>
  <c r="H57" i="7" s="1"/>
  <c r="A58" i="7"/>
  <c r="A59" i="7"/>
  <c r="C59" i="7" s="1"/>
  <c r="A60" i="7"/>
  <c r="A61" i="7"/>
  <c r="C61" i="7" s="1"/>
  <c r="A63" i="7"/>
  <c r="A64" i="7"/>
  <c r="C64" i="7" s="1"/>
  <c r="A65" i="7"/>
  <c r="G65" i="7" s="1"/>
  <c r="M65" i="7"/>
  <c r="A67" i="7"/>
  <c r="O67" i="7" s="1"/>
  <c r="A68" i="7"/>
  <c r="A69" i="7"/>
  <c r="L69" i="7" s="1"/>
  <c r="A70" i="7"/>
  <c r="B70" i="7" s="1"/>
  <c r="L70" i="7"/>
  <c r="A71" i="7"/>
  <c r="C71" i="7" s="1"/>
  <c r="F71" i="7"/>
  <c r="K71" i="7"/>
  <c r="A72" i="7"/>
  <c r="L72" i="7" s="1"/>
  <c r="A73" i="7"/>
  <c r="G73" i="7" s="1"/>
  <c r="K73" i="7"/>
  <c r="M73" i="7"/>
  <c r="A74" i="7"/>
  <c r="F74" i="7" s="1"/>
  <c r="A75" i="7"/>
  <c r="A77" i="7"/>
  <c r="L77" i="7" s="1"/>
  <c r="A78" i="7"/>
  <c r="J78" i="7" s="1"/>
  <c r="A79" i="7"/>
  <c r="F79" i="7" s="1"/>
  <c r="A80" i="7"/>
  <c r="K80" i="7" s="1"/>
  <c r="A81" i="7"/>
  <c r="L81" i="7" s="1"/>
  <c r="G81" i="7"/>
  <c r="A82" i="7"/>
  <c r="F82" i="7" s="1"/>
  <c r="A83" i="7"/>
  <c r="A84" i="7"/>
  <c r="A85" i="7"/>
  <c r="C85" i="7" s="1"/>
  <c r="A86" i="7"/>
  <c r="L86" i="7" s="1"/>
  <c r="A88" i="7"/>
  <c r="B88" i="7" s="1"/>
  <c r="A89" i="7"/>
  <c r="G89" i="7" s="1"/>
  <c r="H89" i="7"/>
  <c r="K89" i="7"/>
  <c r="A90" i="7"/>
  <c r="A91" i="7"/>
  <c r="C91" i="7" s="1"/>
  <c r="J91" i="7"/>
  <c r="A92" i="7"/>
  <c r="C92" i="7" s="1"/>
  <c r="A93" i="7"/>
  <c r="O93" i="7" s="1"/>
  <c r="A94" i="7"/>
  <c r="F94" i="7" s="1"/>
  <c r="H94" i="7"/>
  <c r="A95" i="7"/>
  <c r="B95" i="7" s="1"/>
  <c r="F95" i="7"/>
  <c r="K95" i="7"/>
  <c r="A96" i="7"/>
  <c r="G96" i="7" s="1"/>
  <c r="O96" i="7"/>
  <c r="A97" i="7"/>
  <c r="G97" i="7" s="1"/>
  <c r="C97" i="7"/>
  <c r="E97" i="7"/>
  <c r="L97" i="7"/>
  <c r="A98" i="7"/>
  <c r="L98" i="7" s="1"/>
  <c r="N98" i="7"/>
  <c r="A99" i="7"/>
  <c r="A100" i="7"/>
  <c r="F100" i="7" s="1"/>
  <c r="N100" i="7"/>
  <c r="A101" i="7"/>
  <c r="A103" i="7"/>
  <c r="C103" i="7" s="1"/>
  <c r="A104" i="7"/>
  <c r="C104" i="7" s="1"/>
  <c r="A105" i="7"/>
  <c r="C105" i="7" s="1"/>
  <c r="A106" i="7"/>
  <c r="A107" i="7"/>
  <c r="A108" i="7"/>
  <c r="B108" i="7" s="1"/>
  <c r="A109" i="7"/>
  <c r="A111" i="7"/>
  <c r="B111" i="7" s="1"/>
  <c r="F111" i="7"/>
  <c r="A112" i="7"/>
  <c r="H112" i="7" s="1"/>
  <c r="G112" i="7"/>
  <c r="O112" i="7"/>
  <c r="A113" i="7"/>
  <c r="C113" i="7" s="1"/>
  <c r="M113" i="7"/>
  <c r="A114" i="7"/>
  <c r="D114" i="7" s="1"/>
  <c r="A115" i="7"/>
  <c r="F115" i="7" s="1"/>
  <c r="E115" i="7"/>
  <c r="K115" i="7"/>
  <c r="M115" i="7"/>
  <c r="A116" i="7"/>
  <c r="D116" i="7" s="1"/>
  <c r="B116" i="7"/>
  <c r="C116" i="7"/>
  <c r="F116" i="7"/>
  <c r="G116" i="7"/>
  <c r="I116" i="7"/>
  <c r="J116" i="7"/>
  <c r="K116" i="7"/>
  <c r="M116" i="7"/>
  <c r="N116" i="7"/>
  <c r="O116" i="7"/>
  <c r="A117" i="7"/>
  <c r="L117" i="7" s="1"/>
  <c r="A118" i="7"/>
  <c r="H118" i="7" s="1"/>
  <c r="B118" i="7"/>
  <c r="A119" i="7"/>
  <c r="N119" i="7" s="1"/>
  <c r="A120" i="7"/>
  <c r="A121" i="7"/>
  <c r="E121" i="7" s="1"/>
  <c r="A122" i="7"/>
  <c r="B122" i="7" s="1"/>
  <c r="F122" i="7"/>
  <c r="L122" i="7"/>
  <c r="A123" i="7"/>
  <c r="J123" i="7" s="1"/>
  <c r="K123" i="7"/>
  <c r="A126" i="7"/>
  <c r="H126" i="7" s="1"/>
  <c r="J126" i="7"/>
  <c r="A127" i="7"/>
  <c r="B127" i="7" s="1"/>
  <c r="F127" i="7"/>
  <c r="K127" i="7"/>
  <c r="A128" i="7"/>
  <c r="B128" i="7" s="1"/>
  <c r="A129" i="7"/>
  <c r="A130" i="7"/>
  <c r="B130" i="7" s="1"/>
  <c r="A131" i="7"/>
  <c r="B131" i="7" s="1"/>
  <c r="G131" i="7"/>
  <c r="O131" i="7"/>
  <c r="A132" i="7"/>
  <c r="J132" i="7" s="1"/>
  <c r="A133" i="7"/>
  <c r="C133" i="7" s="1"/>
  <c r="A134" i="7"/>
  <c r="E134" i="7" s="1"/>
  <c r="A136" i="7"/>
  <c r="O136" i="7" s="1"/>
  <c r="A137" i="7"/>
  <c r="G137" i="7" s="1"/>
  <c r="A138" i="7"/>
  <c r="F138" i="7" s="1"/>
  <c r="A139" i="7"/>
  <c r="C139" i="7" s="1"/>
  <c r="A142" i="7"/>
  <c r="B142" i="7" s="1"/>
  <c r="A143" i="7"/>
  <c r="F143" i="7" s="1"/>
  <c r="A144" i="7"/>
  <c r="I144" i="7" s="1"/>
  <c r="A145" i="7"/>
  <c r="A146" i="7"/>
  <c r="D146" i="7" s="1"/>
  <c r="L146" i="7"/>
  <c r="A148" i="7"/>
  <c r="I148" i="7" s="1"/>
  <c r="A149" i="7"/>
  <c r="G149" i="7" s="1"/>
  <c r="A151" i="7"/>
  <c r="I151" i="7" s="1"/>
  <c r="A152" i="7"/>
  <c r="G152" i="7" s="1"/>
  <c r="N152" i="7"/>
  <c r="A153" i="7"/>
  <c r="C153" i="7" s="1"/>
  <c r="A154" i="7"/>
  <c r="L154" i="7" s="1"/>
  <c r="A155" i="7"/>
  <c r="J155" i="7" s="1"/>
  <c r="A156" i="7"/>
  <c r="E156" i="7" s="1"/>
  <c r="A157" i="7"/>
  <c r="A158" i="7"/>
  <c r="H158" i="7" s="1"/>
  <c r="A159" i="7"/>
  <c r="A161" i="7"/>
  <c r="L161" i="7"/>
  <c r="A162" i="7"/>
  <c r="E162" i="7" s="1"/>
  <c r="A163" i="7"/>
  <c r="B163" i="7" s="1"/>
  <c r="A165" i="7"/>
  <c r="A166" i="7"/>
  <c r="I166" i="7" s="1"/>
  <c r="A167" i="7"/>
  <c r="E167" i="7" s="1"/>
  <c r="K167" i="7"/>
  <c r="A168" i="7"/>
  <c r="I168" i="7" s="1"/>
  <c r="A169" i="7"/>
  <c r="F169" i="7" s="1"/>
  <c r="A170" i="7"/>
  <c r="A171" i="7"/>
  <c r="D171" i="7" s="1"/>
  <c r="A173" i="7"/>
  <c r="L173" i="7" s="1"/>
  <c r="A174" i="7"/>
  <c r="E174" i="7" s="1"/>
  <c r="A175" i="7"/>
  <c r="C175" i="7" s="1"/>
  <c r="G175" i="7"/>
  <c r="I175" i="7"/>
  <c r="N175" i="7"/>
  <c r="A176" i="7"/>
  <c r="A177" i="7"/>
  <c r="E177" i="7" s="1"/>
  <c r="A178" i="7"/>
  <c r="A179" i="7"/>
  <c r="A180" i="7"/>
  <c r="C180" i="7" s="1"/>
  <c r="A181" i="7"/>
  <c r="H181" i="7" s="1"/>
  <c r="A182" i="7"/>
  <c r="M182" i="7" s="1"/>
  <c r="A183" i="7"/>
  <c r="I183" i="7" s="1"/>
  <c r="A184" i="7"/>
  <c r="A185" i="7"/>
  <c r="F185" i="7" s="1"/>
  <c r="A186" i="7"/>
  <c r="E186" i="7" s="1"/>
  <c r="A188" i="7"/>
  <c r="E188" i="7" s="1"/>
  <c r="A189" i="7"/>
  <c r="B189" i="7" s="1"/>
  <c r="A7" i="5"/>
  <c r="B7" i="5"/>
  <c r="A8" i="5"/>
  <c r="B8" i="5"/>
  <c r="D8" i="5" s="1"/>
  <c r="A9" i="5"/>
  <c r="B9" i="5"/>
  <c r="D9" i="5" s="1"/>
  <c r="A10" i="5"/>
  <c r="B10" i="5"/>
  <c r="D10" i="5" s="1"/>
  <c r="A11" i="5"/>
  <c r="B11" i="5"/>
  <c r="D11" i="5" s="1"/>
  <c r="A12" i="5"/>
  <c r="B12" i="5"/>
  <c r="N12" i="5" s="1"/>
  <c r="A13" i="5"/>
  <c r="B13" i="5"/>
  <c r="D13" i="5" s="1"/>
  <c r="I13" i="5"/>
  <c r="A14" i="5"/>
  <c r="B14" i="5"/>
  <c r="D14" i="5" s="1"/>
  <c r="A15" i="5"/>
  <c r="B15" i="5"/>
  <c r="D15" i="5" s="1"/>
  <c r="A16" i="5"/>
  <c r="B16" i="5"/>
  <c r="D16" i="5" s="1"/>
  <c r="A17" i="5"/>
  <c r="B17" i="5"/>
  <c r="D17" i="5" s="1"/>
  <c r="A18" i="5"/>
  <c r="B18" i="5"/>
  <c r="D18" i="5" s="1"/>
  <c r="C18" i="5"/>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I29" i="5"/>
  <c r="A30" i="5"/>
  <c r="B30" i="5"/>
  <c r="D30" i="5" s="1"/>
  <c r="A31" i="5"/>
  <c r="B31" i="5"/>
  <c r="D31" i="5" s="1"/>
  <c r="A32" i="5"/>
  <c r="B32" i="5"/>
  <c r="D32" i="5" s="1"/>
  <c r="A33" i="5"/>
  <c r="B33" i="5"/>
  <c r="D33" i="5" s="1"/>
  <c r="A34" i="5"/>
  <c r="B34" i="5"/>
  <c r="D34" i="5" s="1"/>
  <c r="A35" i="5"/>
  <c r="B35" i="5"/>
  <c r="D35" i="5" s="1"/>
  <c r="A36" i="5"/>
  <c r="B36" i="5"/>
  <c r="D36" i="5" s="1"/>
  <c r="I36" i="5"/>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K65" i="5"/>
  <c r="O65" i="5"/>
  <c r="A66" i="5"/>
  <c r="B66" i="5"/>
  <c r="C66" i="5" s="1"/>
  <c r="A67" i="5"/>
  <c r="B67" i="5"/>
  <c r="I67" i="5" s="1"/>
  <c r="A68" i="5"/>
  <c r="B68" i="5"/>
  <c r="I68" i="5" s="1"/>
  <c r="A69" i="5"/>
  <c r="B69" i="5"/>
  <c r="I69" i="5" s="1"/>
  <c r="A70" i="5"/>
  <c r="B70" i="5"/>
  <c r="C70" i="5" s="1"/>
  <c r="A71" i="5"/>
  <c r="B71" i="5"/>
  <c r="I71" i="5" s="1"/>
  <c r="K71" i="5"/>
  <c r="A72" i="5"/>
  <c r="B72" i="5"/>
  <c r="I72" i="5" s="1"/>
  <c r="A73" i="5"/>
  <c r="B73" i="5"/>
  <c r="I73" i="5" s="1"/>
  <c r="K73" i="5"/>
  <c r="O73" i="5"/>
  <c r="A74" i="5"/>
  <c r="B74" i="5"/>
  <c r="C74" i="5" s="1"/>
  <c r="A75" i="5"/>
  <c r="B75" i="5"/>
  <c r="I75" i="5" s="1"/>
  <c r="A76" i="5"/>
  <c r="B76" i="5"/>
  <c r="I76" i="5" s="1"/>
  <c r="A77" i="5"/>
  <c r="B77" i="5"/>
  <c r="I77" i="5" s="1"/>
  <c r="N77" i="5"/>
  <c r="A78" i="5"/>
  <c r="B78" i="5"/>
  <c r="C78" i="5" s="1"/>
  <c r="A79" i="5"/>
  <c r="B79" i="5"/>
  <c r="I79" i="5" s="1"/>
  <c r="K79" i="5"/>
  <c r="A80" i="5"/>
  <c r="B80" i="5"/>
  <c r="I80" i="5" s="1"/>
  <c r="A81" i="5"/>
  <c r="B81" i="5"/>
  <c r="I81" i="5" s="1"/>
  <c r="A82" i="5"/>
  <c r="B82" i="5"/>
  <c r="C82" i="5" s="1"/>
  <c r="A83" i="5"/>
  <c r="B83" i="5"/>
  <c r="I83" i="5" s="1"/>
  <c r="O83" i="5"/>
  <c r="A84" i="5"/>
  <c r="B84" i="5"/>
  <c r="I84" i="5" s="1"/>
  <c r="A85" i="5"/>
  <c r="B85" i="5"/>
  <c r="I85" i="5" s="1"/>
  <c r="N85" i="5"/>
  <c r="A86" i="5"/>
  <c r="B86" i="5"/>
  <c r="C86" i="5" s="1"/>
  <c r="A87" i="5"/>
  <c r="B87" i="5"/>
  <c r="I87" i="5" s="1"/>
  <c r="A88" i="5"/>
  <c r="B88" i="5"/>
  <c r="I88" i="5" s="1"/>
  <c r="A89" i="5"/>
  <c r="B89" i="5"/>
  <c r="I89" i="5" s="1"/>
  <c r="A90" i="5"/>
  <c r="B90" i="5"/>
  <c r="C90" i="5" s="1"/>
  <c r="A91" i="5"/>
  <c r="B91" i="5"/>
  <c r="I91" i="5" s="1"/>
  <c r="A92" i="5"/>
  <c r="B92" i="5"/>
  <c r="I92" i="5" s="1"/>
  <c r="A93" i="5"/>
  <c r="B93" i="5"/>
  <c r="I93" i="5" s="1"/>
  <c r="K93" i="5"/>
  <c r="O93" i="5"/>
  <c r="A94" i="5"/>
  <c r="B94" i="5"/>
  <c r="C94" i="5" s="1"/>
  <c r="A95" i="5"/>
  <c r="B95" i="5"/>
  <c r="I95" i="5" s="1"/>
  <c r="A96" i="5"/>
  <c r="B96" i="5"/>
  <c r="I96" i="5" s="1"/>
  <c r="A97" i="5"/>
  <c r="B97" i="5"/>
  <c r="I97" i="5" s="1"/>
  <c r="A98" i="5"/>
  <c r="B98" i="5"/>
  <c r="C98" i="5" s="1"/>
  <c r="A99" i="5"/>
  <c r="B99" i="5"/>
  <c r="I99" i="5" s="1"/>
  <c r="A100" i="5"/>
  <c r="B100" i="5"/>
  <c r="I100" i="5" s="1"/>
  <c r="A101" i="5"/>
  <c r="B101" i="5"/>
  <c r="I101" i="5" s="1"/>
  <c r="K101" i="5"/>
  <c r="O101" i="5"/>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O109" i="5"/>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I122" i="5"/>
  <c r="A123" i="5"/>
  <c r="B123" i="5"/>
  <c r="I123" i="5" s="1"/>
  <c r="A124" i="5"/>
  <c r="B124" i="5"/>
  <c r="N124" i="5" s="1"/>
  <c r="A125" i="5"/>
  <c r="B125" i="5"/>
  <c r="K125" i="5" s="1"/>
  <c r="A126" i="5"/>
  <c r="B126" i="5"/>
  <c r="C126" i="5" s="1"/>
  <c r="A127" i="5"/>
  <c r="B127" i="5"/>
  <c r="I127" i="5" s="1"/>
  <c r="A128" i="5"/>
  <c r="B128" i="5"/>
  <c r="N128" i="5" s="1"/>
  <c r="A129" i="5"/>
  <c r="B129" i="5"/>
  <c r="K129" i="5" s="1"/>
  <c r="N129" i="5"/>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O141" i="5"/>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C163" i="5"/>
  <c r="N163" i="5"/>
  <c r="O163" i="5"/>
  <c r="A164" i="5"/>
  <c r="B164" i="5"/>
  <c r="I164" i="5" s="1"/>
  <c r="A165" i="5"/>
  <c r="B165" i="5"/>
  <c r="C165" i="5"/>
  <c r="E165" i="5"/>
  <c r="I165" i="5"/>
  <c r="K165" i="5"/>
  <c r="N165" i="5"/>
  <c r="O165" i="5"/>
  <c r="A166" i="5"/>
  <c r="B166" i="5"/>
  <c r="I166" i="5" s="1"/>
  <c r="A7" i="3"/>
  <c r="C7" i="3" s="1"/>
  <c r="M7" i="3"/>
  <c r="A8" i="3"/>
  <c r="O8" i="3" s="1"/>
  <c r="A9" i="3"/>
  <c r="C9" i="3" s="1"/>
  <c r="A10" i="3"/>
  <c r="M10" i="3" s="1"/>
  <c r="D10" i="3"/>
  <c r="A11" i="3"/>
  <c r="Q11" i="3" s="1"/>
  <c r="A12" i="3"/>
  <c r="G12" i="3" s="1"/>
  <c r="B12" i="3"/>
  <c r="J12" i="3"/>
  <c r="L12" i="3"/>
  <c r="O12" i="3"/>
  <c r="A13" i="3"/>
  <c r="B13" i="3" s="1"/>
  <c r="A14" i="3"/>
  <c r="I14" i="3" s="1"/>
  <c r="N14" i="3"/>
  <c r="A15" i="3"/>
  <c r="D15" i="3" s="1"/>
  <c r="M15" i="3"/>
  <c r="A16" i="3"/>
  <c r="B16" i="3" s="1"/>
  <c r="P16" i="3"/>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F30" i="3"/>
  <c r="A31" i="3"/>
  <c r="C31" i="3" s="1"/>
  <c r="A32" i="3"/>
  <c r="B32" i="3" s="1"/>
  <c r="O32" i="3"/>
  <c r="A33" i="3"/>
  <c r="F33" i="3"/>
  <c r="A34" i="3"/>
  <c r="B34" i="3" s="1"/>
  <c r="A35" i="3"/>
  <c r="D35" i="3" s="1"/>
  <c r="A36" i="3"/>
  <c r="B36" i="3" s="1"/>
  <c r="D36" i="3"/>
  <c r="L36" i="3"/>
  <c r="O36" i="3"/>
  <c r="P36" i="3"/>
  <c r="A37" i="3"/>
  <c r="C37" i="3" s="1"/>
  <c r="M37" i="3"/>
  <c r="A38" i="3"/>
  <c r="L38" i="3" s="1"/>
  <c r="A39" i="3"/>
  <c r="P39" i="3" s="1"/>
  <c r="A40" i="3"/>
  <c r="B40" i="3" s="1"/>
  <c r="A41" i="3"/>
  <c r="A42" i="3"/>
  <c r="D42" i="3" s="1"/>
  <c r="B42" i="3"/>
  <c r="N42" i="3"/>
  <c r="P42" i="3"/>
  <c r="A43" i="3"/>
  <c r="C43" i="3" s="1"/>
  <c r="A44" i="3"/>
  <c r="D44" i="3" s="1"/>
  <c r="F44" i="3"/>
  <c r="A45" i="3"/>
  <c r="G45" i="3" s="1"/>
  <c r="A46" i="3"/>
  <c r="I46" i="3" s="1"/>
  <c r="A47" i="3"/>
  <c r="D47" i="3" s="1"/>
  <c r="A48" i="3"/>
  <c r="C48" i="3" s="1"/>
  <c r="A49" i="3"/>
  <c r="B49" i="3" s="1"/>
  <c r="A50" i="3"/>
  <c r="A51" i="3"/>
  <c r="I51" i="3" s="1"/>
  <c r="A52" i="3"/>
  <c r="Q52" i="3" s="1"/>
  <c r="G52" i="3"/>
  <c r="A53" i="3"/>
  <c r="F53" i="3" s="1"/>
  <c r="N53" i="3"/>
  <c r="A54" i="3"/>
  <c r="B54" i="3" s="1"/>
  <c r="A55" i="3"/>
  <c r="A56" i="3"/>
  <c r="C56" i="3" s="1"/>
  <c r="B56" i="3"/>
  <c r="L56" i="3"/>
  <c r="O56" i="3"/>
  <c r="A57" i="3"/>
  <c r="I57" i="3" s="1"/>
  <c r="A58" i="3"/>
  <c r="I58" i="3" s="1"/>
  <c r="A59" i="3"/>
  <c r="C59" i="3" s="1"/>
  <c r="A60" i="3"/>
  <c r="G60" i="3" s="1"/>
  <c r="A61" i="3"/>
  <c r="G61" i="3" s="1"/>
  <c r="A62" i="3"/>
  <c r="I62" i="3" s="1"/>
  <c r="A63" i="3"/>
  <c r="I63" i="3" s="1"/>
  <c r="A64" i="3"/>
  <c r="D64" i="3" s="1"/>
  <c r="I64" i="3"/>
  <c r="A65" i="3"/>
  <c r="B65" i="3" s="1"/>
  <c r="A66" i="3"/>
  <c r="F66" i="3" s="1"/>
  <c r="A67" i="3"/>
  <c r="G67" i="3" s="1"/>
  <c r="A68" i="3"/>
  <c r="D68" i="3" s="1"/>
  <c r="I68" i="3"/>
  <c r="Q68" i="3"/>
  <c r="A69" i="3"/>
  <c r="F69" i="3" s="1"/>
  <c r="N69" i="3"/>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Q85" i="3"/>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c r="A107" i="3"/>
  <c r="A108" i="3"/>
  <c r="D108" i="3" s="1"/>
  <c r="G108" i="3"/>
  <c r="N108" i="3"/>
  <c r="A109" i="3"/>
  <c r="G109" i="3" s="1"/>
  <c r="A110" i="3"/>
  <c r="I110" i="3" s="1"/>
  <c r="A111" i="3"/>
  <c r="C111" i="3" s="1"/>
  <c r="A112" i="3"/>
  <c r="D112" i="3" s="1"/>
  <c r="A113" i="3"/>
  <c r="F113" i="3" s="1"/>
  <c r="A114" i="3"/>
  <c r="J114" i="3" s="1"/>
  <c r="Q114" i="3"/>
  <c r="A115" i="3"/>
  <c r="I115" i="3" s="1"/>
  <c r="A116" i="3"/>
  <c r="B116" i="3" s="1"/>
  <c r="A117" i="3"/>
  <c r="F117" i="3" s="1"/>
  <c r="J117" i="3"/>
  <c r="A118" i="3"/>
  <c r="F118" i="3" s="1"/>
  <c r="A119" i="3"/>
  <c r="L119" i="3" s="1"/>
  <c r="A120" i="3"/>
  <c r="I120" i="3" s="1"/>
  <c r="A121" i="3"/>
  <c r="Q121" i="3" s="1"/>
  <c r="A122" i="3"/>
  <c r="B122" i="3" s="1"/>
  <c r="A123" i="3"/>
  <c r="D123" i="3" s="1"/>
  <c r="A124" i="3"/>
  <c r="M124" i="3" s="1"/>
  <c r="A125" i="3"/>
  <c r="J125" i="3" s="1"/>
  <c r="A126" i="3"/>
  <c r="A127" i="3"/>
  <c r="F127" i="3" s="1"/>
  <c r="Q127" i="3"/>
  <c r="A128" i="3"/>
  <c r="Q128" i="3" s="1"/>
  <c r="A129" i="3"/>
  <c r="F129" i="3" s="1"/>
  <c r="A130" i="3"/>
  <c r="D130" i="3" s="1"/>
  <c r="A131" i="3"/>
  <c r="D131" i="3" s="1"/>
  <c r="A132" i="3"/>
  <c r="B132" i="3" s="1"/>
  <c r="A133" i="3"/>
  <c r="I133" i="3" s="1"/>
  <c r="A134" i="3"/>
  <c r="O134" i="3" s="1"/>
  <c r="A135" i="3"/>
  <c r="C135" i="3" s="1"/>
  <c r="B135" i="3"/>
  <c r="G135" i="3"/>
  <c r="J135" i="3"/>
  <c r="L135" i="3"/>
  <c r="P135" i="3"/>
  <c r="Q135" i="3"/>
  <c r="A136" i="3"/>
  <c r="B136" i="3" s="1"/>
  <c r="A137" i="3"/>
  <c r="M137" i="3" s="1"/>
  <c r="I137" i="3"/>
  <c r="A138" i="3"/>
  <c r="C138" i="3" s="1"/>
  <c r="A139" i="3"/>
  <c r="C139" i="3" s="1"/>
  <c r="A140" i="3"/>
  <c r="M140" i="3" s="1"/>
  <c r="I140" i="3"/>
  <c r="A141" i="3"/>
  <c r="A142" i="3"/>
  <c r="P142" i="3" s="1"/>
  <c r="A143" i="3"/>
  <c r="F143" i="3" s="1"/>
  <c r="D143" i="3"/>
  <c r="G143" i="3"/>
  <c r="Q143" i="3"/>
  <c r="A144" i="3"/>
  <c r="Q144" i="3" s="1"/>
  <c r="I144" i="3"/>
  <c r="A145" i="3"/>
  <c r="A146" i="3"/>
  <c r="M146" i="3" s="1"/>
  <c r="A147" i="3"/>
  <c r="C147" i="3" s="1"/>
  <c r="Q147" i="3"/>
  <c r="A148" i="3"/>
  <c r="Q148" i="3"/>
  <c r="A149" i="3"/>
  <c r="A150" i="3"/>
  <c r="A151" i="3"/>
  <c r="O151" i="3"/>
  <c r="A152" i="3"/>
  <c r="I152" i="3" s="1"/>
  <c r="B152" i="3"/>
  <c r="A153" i="3"/>
  <c r="M153" i="3"/>
  <c r="A154" i="3"/>
  <c r="D154" i="3"/>
  <c r="A155" i="3"/>
  <c r="J155" i="3"/>
  <c r="A156" i="3"/>
  <c r="B156" i="3" s="1"/>
  <c r="I156" i="3"/>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L170" i="3"/>
  <c r="O170" i="3"/>
  <c r="A171" i="3"/>
  <c r="B171" i="3" s="1"/>
  <c r="I171" i="3"/>
  <c r="O171" i="3"/>
  <c r="A172" i="3"/>
  <c r="Q172" i="3" s="1"/>
  <c r="A173" i="3"/>
  <c r="A174" i="3"/>
  <c r="D174" i="3" s="1"/>
  <c r="A175" i="3"/>
  <c r="D175" i="3" s="1"/>
  <c r="A176" i="3"/>
  <c r="M176" i="3" s="1"/>
  <c r="A177" i="3"/>
  <c r="Q177" i="3" s="1"/>
  <c r="A178" i="3"/>
  <c r="B178" i="3" s="1"/>
  <c r="M178" i="3"/>
  <c r="A179" i="3"/>
  <c r="P179" i="3" s="1"/>
  <c r="L179" i="3"/>
  <c r="A180" i="3"/>
  <c r="Q180" i="3" s="1"/>
  <c r="A181" i="3"/>
  <c r="I181" i="3" s="1"/>
  <c r="A182" i="3"/>
  <c r="C182" i="3" s="1"/>
  <c r="P182" i="3"/>
  <c r="A183" i="3"/>
  <c r="B183" i="3" s="1"/>
  <c r="C183" i="3"/>
  <c r="I183" i="3"/>
  <c r="J183" i="3"/>
  <c r="L183" i="3"/>
  <c r="P183" i="3"/>
  <c r="A184" i="3"/>
  <c r="I184" i="3" s="1"/>
  <c r="A185" i="3"/>
  <c r="I185" i="3" s="1"/>
  <c r="A186" i="3"/>
  <c r="G186" i="3" s="1"/>
  <c r="C186" i="3"/>
  <c r="O186" i="3"/>
  <c r="A187" i="3"/>
  <c r="C187" i="3" s="1"/>
  <c r="F187" i="3"/>
  <c r="L187" i="3"/>
  <c r="O187" i="3"/>
  <c r="A188" i="3"/>
  <c r="G188" i="3" s="1"/>
  <c r="A189" i="3"/>
  <c r="C10" i="2"/>
  <c r="B6" i="3" s="1"/>
  <c r="D6" i="5" s="1"/>
  <c r="D10" i="2"/>
  <c r="R10" i="2" s="1"/>
  <c r="A11" i="2"/>
  <c r="Q11" i="2" s="1"/>
  <c r="A12" i="2"/>
  <c r="D12" i="2" s="1"/>
  <c r="A13" i="2"/>
  <c r="L13" i="2" s="1"/>
  <c r="A14" i="2"/>
  <c r="L14" i="2" s="1"/>
  <c r="A15" i="2"/>
  <c r="I15" i="2" s="1"/>
  <c r="A16" i="2"/>
  <c r="E16" i="2" s="1"/>
  <c r="C16" i="2"/>
  <c r="I16" i="2"/>
  <c r="M16" i="2"/>
  <c r="Q16" i="2"/>
  <c r="A17" i="2"/>
  <c r="Q17" i="2" s="1"/>
  <c r="A18" i="2"/>
  <c r="I18" i="2" s="1"/>
  <c r="A19" i="2"/>
  <c r="Q19" i="2" s="1"/>
  <c r="A20" i="2"/>
  <c r="C20" i="2" s="1"/>
  <c r="E20" i="2"/>
  <c r="Q20" i="2"/>
  <c r="R20" i="2"/>
  <c r="A21" i="2"/>
  <c r="L21" i="2" s="1"/>
  <c r="I21" i="2"/>
  <c r="Q21" i="2"/>
  <c r="A22" i="2"/>
  <c r="Q22" i="2" s="1"/>
  <c r="A23" i="2"/>
  <c r="C23" i="2"/>
  <c r="A24" i="2"/>
  <c r="A25" i="2"/>
  <c r="A26" i="2"/>
  <c r="L26" i="2" s="1"/>
  <c r="A27" i="2"/>
  <c r="C27" i="2" s="1"/>
  <c r="A28" i="2"/>
  <c r="D28" i="2" s="1"/>
  <c r="I28" i="2"/>
  <c r="A29" i="2"/>
  <c r="I29" i="2" s="1"/>
  <c r="A30" i="2"/>
  <c r="A31" i="2"/>
  <c r="Q31" i="2" s="1"/>
  <c r="A32" i="2"/>
  <c r="E32" i="2" s="1"/>
  <c r="L32" i="2"/>
  <c r="A33" i="2"/>
  <c r="D33" i="2"/>
  <c r="A34" i="2"/>
  <c r="I34" i="2" s="1"/>
  <c r="A35" i="2"/>
  <c r="S35" i="2" s="1"/>
  <c r="A36" i="2"/>
  <c r="B36" i="2" s="1"/>
  <c r="Q36" i="2"/>
  <c r="A37" i="2"/>
  <c r="L37" i="2" s="1"/>
  <c r="A38" i="2"/>
  <c r="D38" i="2" s="1"/>
  <c r="A39" i="2"/>
  <c r="C39" i="2" s="1"/>
  <c r="A40" i="2"/>
  <c r="Q40" i="2" s="1"/>
  <c r="I40" i="2"/>
  <c r="A41" i="2"/>
  <c r="L41" i="2" s="1"/>
  <c r="D41" i="2"/>
  <c r="A42" i="2"/>
  <c r="L42" i="2" s="1"/>
  <c r="A43" i="2"/>
  <c r="I43" i="2" s="1"/>
  <c r="A44" i="2"/>
  <c r="H44" i="2" s="1"/>
  <c r="A45" i="2"/>
  <c r="I45" i="2" s="1"/>
  <c r="A46" i="2"/>
  <c r="A47" i="2"/>
  <c r="C47" i="2" s="1"/>
  <c r="A48" i="2"/>
  <c r="B48" i="2" s="1"/>
  <c r="H48" i="2"/>
  <c r="Q48" i="2"/>
  <c r="A49" i="2"/>
  <c r="A50" i="2"/>
  <c r="I50" i="2" s="1"/>
  <c r="D50" i="2"/>
  <c r="A51" i="2"/>
  <c r="S51" i="2" s="1"/>
  <c r="A52" i="2"/>
  <c r="B52" i="2" s="1"/>
  <c r="A53" i="2"/>
  <c r="D53" i="2" s="1"/>
  <c r="A54" i="2"/>
  <c r="D54" i="2" s="1"/>
  <c r="A55" i="2"/>
  <c r="C55" i="2" s="1"/>
  <c r="A56" i="2"/>
  <c r="B56" i="2" s="1"/>
  <c r="C56" i="2"/>
  <c r="L56" i="2"/>
  <c r="P56" i="2"/>
  <c r="A57" i="2"/>
  <c r="Q57" i="2" s="1"/>
  <c r="L57" i="2"/>
  <c r="A58" i="2"/>
  <c r="D58" i="2" s="1"/>
  <c r="A59" i="2"/>
  <c r="C59" i="2" s="1"/>
  <c r="A60" i="2"/>
  <c r="P60" i="2" s="1"/>
  <c r="Q60" i="2"/>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C76" i="2"/>
  <c r="E76" i="2"/>
  <c r="I76" i="2"/>
  <c r="L76" i="2"/>
  <c r="Q76" i="2"/>
  <c r="S76" i="2"/>
  <c r="A77" i="2"/>
  <c r="D77" i="2" s="1"/>
  <c r="A78" i="2"/>
  <c r="A79" i="2"/>
  <c r="A80" i="2"/>
  <c r="C80" i="2" s="1"/>
  <c r="E80" i="2"/>
  <c r="A81" i="2"/>
  <c r="I81" i="2" s="1"/>
  <c r="A82" i="2"/>
  <c r="I82" i="2" s="1"/>
  <c r="A83" i="2"/>
  <c r="A84" i="2"/>
  <c r="I84" i="2"/>
  <c r="A85" i="2"/>
  <c r="D85" i="2" s="1"/>
  <c r="I85" i="2"/>
  <c r="A86" i="2"/>
  <c r="D86" i="2" s="1"/>
  <c r="A87" i="2"/>
  <c r="I87" i="2" s="1"/>
  <c r="A88" i="2"/>
  <c r="C88" i="2" s="1"/>
  <c r="A89" i="2"/>
  <c r="I89" i="2" s="1"/>
  <c r="D89" i="2"/>
  <c r="A90" i="2"/>
  <c r="A91" i="2"/>
  <c r="C91" i="2" s="1"/>
  <c r="A92" i="2"/>
  <c r="H92" i="2" s="1"/>
  <c r="L92" i="2"/>
  <c r="A93" i="2"/>
  <c r="A94" i="2"/>
  <c r="D94" i="2" s="1"/>
  <c r="A95" i="2"/>
  <c r="I95" i="2" s="1"/>
  <c r="A96" i="2"/>
  <c r="D96" i="2" s="1"/>
  <c r="A97" i="2"/>
  <c r="I97" i="2" s="1"/>
  <c r="A98" i="2"/>
  <c r="I98" i="2" s="1"/>
  <c r="Q98" i="2"/>
  <c r="A99" i="2"/>
  <c r="I99" i="2"/>
  <c r="A100" i="2"/>
  <c r="C100" i="2" s="1"/>
  <c r="A101" i="2"/>
  <c r="D101" i="2" s="1"/>
  <c r="A102" i="2"/>
  <c r="D102" i="2" s="1"/>
  <c r="A103" i="2"/>
  <c r="I103" i="2" s="1"/>
  <c r="A104" i="2"/>
  <c r="D104" i="2" s="1"/>
  <c r="B104" i="2"/>
  <c r="S104" i="2"/>
  <c r="A105" i="2"/>
  <c r="I105" i="2" s="1"/>
  <c r="A106" i="2"/>
  <c r="I106" i="2" s="1"/>
  <c r="A107" i="2"/>
  <c r="A108" i="2"/>
  <c r="E108" i="2"/>
  <c r="A109" i="2"/>
  <c r="D109" i="2" s="1"/>
  <c r="A110" i="2"/>
  <c r="D110" i="2" s="1"/>
  <c r="A111" i="2"/>
  <c r="I111" i="2" s="1"/>
  <c r="Q111" i="2"/>
  <c r="A112" i="2"/>
  <c r="E112" i="2"/>
  <c r="A113" i="2"/>
  <c r="D113" i="2"/>
  <c r="A114" i="2"/>
  <c r="L114" i="2" s="1"/>
  <c r="A115" i="2"/>
  <c r="C115" i="2" s="1"/>
  <c r="A116" i="2"/>
  <c r="R116" i="2" s="1"/>
  <c r="L116" i="2"/>
  <c r="A117" i="2"/>
  <c r="D117" i="2" s="1"/>
  <c r="A118" i="2"/>
  <c r="D118" i="2" s="1"/>
  <c r="A119" i="2"/>
  <c r="A120" i="2"/>
  <c r="D120" i="2" s="1"/>
  <c r="H120" i="2"/>
  <c r="Q120" i="2"/>
  <c r="A121" i="2"/>
  <c r="I121" i="2" s="1"/>
  <c r="A122" i="2"/>
  <c r="L122" i="2" s="1"/>
  <c r="A123" i="2"/>
  <c r="C123" i="2" s="1"/>
  <c r="A124" i="2"/>
  <c r="D124" i="2" s="1"/>
  <c r="L124" i="2"/>
  <c r="A125" i="2"/>
  <c r="D125" i="2" s="1"/>
  <c r="A126" i="2"/>
  <c r="D126" i="2" s="1"/>
  <c r="A127" i="2"/>
  <c r="I127" i="2" s="1"/>
  <c r="A128" i="2"/>
  <c r="D128" i="2" s="1"/>
  <c r="L128" i="2"/>
  <c r="A129" i="2"/>
  <c r="I129" i="2" s="1"/>
  <c r="A130" i="2"/>
  <c r="I130" i="2" s="1"/>
  <c r="A131" i="2"/>
  <c r="C131" i="2" s="1"/>
  <c r="A132" i="2"/>
  <c r="C132" i="2" s="1"/>
  <c r="A133" i="2"/>
  <c r="D133" i="2" s="1"/>
  <c r="A134" i="2"/>
  <c r="A135" i="2"/>
  <c r="I135" i="2" s="1"/>
  <c r="A136" i="2"/>
  <c r="D136" i="2" s="1"/>
  <c r="A137" i="2"/>
  <c r="I137" i="2" s="1"/>
  <c r="Q137" i="2"/>
  <c r="A138" i="2"/>
  <c r="Q138" i="2" s="1"/>
  <c r="A139" i="2"/>
  <c r="C139" i="2" s="1"/>
  <c r="A140" i="2"/>
  <c r="C140" i="2" s="1"/>
  <c r="D140" i="2"/>
  <c r="M140" i="2"/>
  <c r="P140" i="2"/>
  <c r="Q140" i="2"/>
  <c r="A141" i="2"/>
  <c r="D141" i="2" s="1"/>
  <c r="A142" i="2"/>
  <c r="A143" i="2"/>
  <c r="I143" i="2" s="1"/>
  <c r="C143" i="2"/>
  <c r="A144" i="2"/>
  <c r="I144" i="2" s="1"/>
  <c r="D144" i="2"/>
  <c r="Q144" i="2"/>
  <c r="A145" i="2"/>
  <c r="D145" i="2" s="1"/>
  <c r="A146" i="2"/>
  <c r="C146" i="2" s="1"/>
  <c r="A147" i="2"/>
  <c r="D147" i="2" s="1"/>
  <c r="R147" i="2"/>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I161" i="2"/>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M174" i="2"/>
  <c r="A175" i="2"/>
  <c r="C175" i="2" s="1"/>
  <c r="A176" i="2"/>
  <c r="I176" i="2" s="1"/>
  <c r="A177" i="2"/>
  <c r="D177" i="2" s="1"/>
  <c r="A178" i="2"/>
  <c r="C178" i="2" s="1"/>
  <c r="A179" i="2"/>
  <c r="H179" i="2" s="1"/>
  <c r="A180" i="2"/>
  <c r="A181" i="2"/>
  <c r="D181" i="2" s="1"/>
  <c r="B181" i="2"/>
  <c r="A182" i="2"/>
  <c r="E182" i="2" s="1"/>
  <c r="A183" i="2"/>
  <c r="A184" i="2"/>
  <c r="E184" i="2" s="1"/>
  <c r="A185" i="2"/>
  <c r="E185" i="2" s="1"/>
  <c r="A186" i="2"/>
  <c r="C186" i="2" s="1"/>
  <c r="A187" i="2"/>
  <c r="C187" i="2" s="1"/>
  <c r="D187" i="2"/>
  <c r="L187" i="2"/>
  <c r="Q187" i="2"/>
  <c r="A188" i="2"/>
  <c r="C188" i="2" s="1"/>
  <c r="I188" i="2"/>
  <c r="A189" i="2"/>
  <c r="D189" i="2" s="1"/>
  <c r="A190" i="2"/>
  <c r="I190" i="2" s="1"/>
  <c r="A191" i="2"/>
  <c r="C191" i="2" s="1"/>
  <c r="A192" i="2"/>
  <c r="E192" i="2" s="1"/>
  <c r="S192" i="2"/>
  <c r="A193" i="2"/>
  <c r="Q193" i="2" s="1"/>
  <c r="E193" i="2"/>
  <c r="E234" i="2"/>
  <c r="C240" i="2"/>
  <c r="F240" i="2" s="1"/>
  <c r="G240" i="2"/>
  <c r="C241" i="2"/>
  <c r="D241" i="2"/>
  <c r="F241" i="2"/>
  <c r="G241" i="2"/>
  <c r="C242" i="2"/>
  <c r="D242" i="2"/>
  <c r="F242" i="2"/>
  <c r="H242" i="2" s="1"/>
  <c r="G242" i="2"/>
  <c r="C243" i="2"/>
  <c r="D243" i="2"/>
  <c r="E243" i="2" s="1"/>
  <c r="F243" i="2"/>
  <c r="G243" i="2"/>
  <c r="C244" i="2"/>
  <c r="D244" i="2"/>
  <c r="F244" i="2"/>
  <c r="H244" i="2" s="1"/>
  <c r="G244" i="2"/>
  <c r="H55" i="8" l="1"/>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G161" i="14"/>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B31" i="14"/>
  <c r="F29" i="14"/>
  <c r="D15" i="14"/>
  <c r="C13" i="14"/>
  <c r="I168" i="2"/>
  <c r="C166" i="2"/>
  <c r="D157" i="2"/>
  <c r="C147" i="2"/>
  <c r="D137" i="2"/>
  <c r="P128" i="2"/>
  <c r="L80" i="2"/>
  <c r="P76" i="2"/>
  <c r="I75" i="2"/>
  <c r="R68" i="2"/>
  <c r="D66" i="2"/>
  <c r="H52" i="2"/>
  <c r="H40" i="2"/>
  <c r="I32" i="2"/>
  <c r="S16" i="2"/>
  <c r="J188" i="3"/>
  <c r="M187" i="3"/>
  <c r="D187" i="3"/>
  <c r="O183" i="3"/>
  <c r="D183" i="3"/>
  <c r="B179" i="3"/>
  <c r="D178" i="3"/>
  <c r="O175" i="3"/>
  <c r="I172" i="3"/>
  <c r="N171" i="3"/>
  <c r="F171" i="3"/>
  <c r="Q168" i="3"/>
  <c r="O166" i="3"/>
  <c r="I163" i="3"/>
  <c r="P157" i="3"/>
  <c r="O135" i="3"/>
  <c r="D135" i="3"/>
  <c r="J129" i="3"/>
  <c r="P127" i="3"/>
  <c r="M122" i="3"/>
  <c r="Q108" i="3"/>
  <c r="C108" i="3"/>
  <c r="P103" i="3"/>
  <c r="J93" i="3"/>
  <c r="P87" i="3"/>
  <c r="I85" i="3"/>
  <c r="J82" i="3"/>
  <c r="M79" i="3"/>
  <c r="M71" i="3"/>
  <c r="G68" i="3"/>
  <c r="G64" i="3"/>
  <c r="F56" i="3"/>
  <c r="L48" i="3"/>
  <c r="N46" i="3"/>
  <c r="I42" i="3"/>
  <c r="F36" i="3"/>
  <c r="G32" i="3"/>
  <c r="N20" i="3"/>
  <c r="Q12" i="3"/>
  <c r="D12" i="3"/>
  <c r="M180" i="7"/>
  <c r="L177" i="7"/>
  <c r="B175" i="7"/>
  <c r="L171" i="7"/>
  <c r="M156" i="7"/>
  <c r="F154" i="7"/>
  <c r="M128" i="7"/>
  <c r="L113" i="7"/>
  <c r="M100" i="7"/>
  <c r="M96" i="7"/>
  <c r="D84" i="7"/>
  <c r="H84" i="7"/>
  <c r="R191" i="2"/>
  <c r="Q173" i="2"/>
  <c r="L171" i="3"/>
  <c r="D171" i="3"/>
  <c r="G127" i="3"/>
  <c r="Q72" i="3"/>
  <c r="L189" i="7"/>
  <c r="F177" i="7"/>
  <c r="I171" i="7"/>
  <c r="L169" i="7"/>
  <c r="D156" i="7"/>
  <c r="I128" i="7"/>
  <c r="M118" i="7"/>
  <c r="G113" i="7"/>
  <c r="M112" i="7"/>
  <c r="G100" i="7"/>
  <c r="H96" i="7"/>
  <c r="B90" i="7"/>
  <c r="F90" i="7"/>
  <c r="L90" i="7"/>
  <c r="I191" i="2"/>
  <c r="Q188" i="2"/>
  <c r="S181" i="2"/>
  <c r="C173" i="2"/>
  <c r="R167" i="2"/>
  <c r="E3" i="21" s="1"/>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P68" i="3"/>
  <c r="L67" i="3"/>
  <c r="Q64" i="3"/>
  <c r="G59" i="3"/>
  <c r="P47" i="3"/>
  <c r="J28" i="3"/>
  <c r="H189" i="7"/>
  <c r="N181" i="7"/>
  <c r="E171" i="7"/>
  <c r="G136" i="7"/>
  <c r="E128" i="7"/>
  <c r="E118" i="7"/>
  <c r="E116" i="7"/>
  <c r="E113" i="7"/>
  <c r="S75" i="2"/>
  <c r="D100" i="7"/>
  <c r="B100" i="7"/>
  <c r="I100" i="7"/>
  <c r="C100" i="7"/>
  <c r="K100" i="7"/>
  <c r="C96" i="7"/>
  <c r="I96" i="7"/>
  <c r="D96" i="7"/>
  <c r="L96" i="7"/>
  <c r="G72" i="7"/>
  <c r="C72" i="7"/>
  <c r="O72" i="7"/>
  <c r="D72" i="7"/>
  <c r="I72" i="7"/>
  <c r="I12" i="10"/>
  <c r="L18" i="7"/>
  <c r="J10" i="7"/>
  <c r="I183" i="6"/>
  <c r="K169" i="6"/>
  <c r="L52" i="6"/>
  <c r="M187" i="10"/>
  <c r="L133" i="10"/>
  <c r="H133" i="10"/>
  <c r="D133" i="10"/>
  <c r="O132" i="10"/>
  <c r="J132" i="10"/>
  <c r="E132" i="10"/>
  <c r="J125" i="10"/>
  <c r="N69" i="10"/>
  <c r="O68" i="10"/>
  <c r="L57" i="10"/>
  <c r="M49" i="10"/>
  <c r="I48" i="7"/>
  <c r="K33" i="7"/>
  <c r="F18" i="7"/>
  <c r="F10"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M52" i="7"/>
  <c r="G48" i="7"/>
  <c r="G33" i="7"/>
  <c r="I21" i="7"/>
  <c r="B18" i="7"/>
  <c r="E10"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G13" i="14" s="1"/>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E14" i="14"/>
  <c r="E12" i="14"/>
  <c r="C165" i="6"/>
  <c r="E165" i="6"/>
  <c r="B138" i="6"/>
  <c r="K138" i="6"/>
  <c r="G140" i="2"/>
  <c r="P120" i="2"/>
  <c r="E120" i="2"/>
  <c r="P48" i="2"/>
  <c r="E48" i="2"/>
  <c r="Q34" i="2"/>
  <c r="L182" i="3"/>
  <c r="M166" i="3"/>
  <c r="M157" i="3"/>
  <c r="N147" i="3"/>
  <c r="Q133" i="3"/>
  <c r="O104" i="3"/>
  <c r="I94" i="3"/>
  <c r="Q93" i="3"/>
  <c r="G93" i="3"/>
  <c r="Q92" i="3"/>
  <c r="G92" i="3"/>
  <c r="O85" i="3"/>
  <c r="G85" i="3"/>
  <c r="L47" i="3"/>
  <c r="P40" i="3"/>
  <c r="Q39" i="3"/>
  <c r="K186" i="7"/>
  <c r="L128" i="7"/>
  <c r="H128" i="7"/>
  <c r="D128" i="7"/>
  <c r="I91" i="7"/>
  <c r="H70" i="7"/>
  <c r="O61" i="7"/>
  <c r="L165" i="6"/>
  <c r="F165" i="6"/>
  <c r="C161" i="6"/>
  <c r="I161" i="6"/>
  <c r="F161" i="6"/>
  <c r="E112" i="6"/>
  <c r="L112" i="6"/>
  <c r="I112" i="6"/>
  <c r="C95" i="6"/>
  <c r="L95" i="6"/>
  <c r="E73" i="6"/>
  <c r="H73" i="6"/>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186" i="7"/>
  <c r="M175" i="7"/>
  <c r="F175" i="7"/>
  <c r="L156" i="7"/>
  <c r="K153" i="7"/>
  <c r="K139" i="7"/>
  <c r="O128" i="7"/>
  <c r="K128" i="7"/>
  <c r="G128" i="7"/>
  <c r="C128" i="7"/>
  <c r="I93" i="7"/>
  <c r="O91" i="7"/>
  <c r="E91" i="7"/>
  <c r="N84" i="7"/>
  <c r="F70" i="7"/>
  <c r="L61" i="7"/>
  <c r="N27" i="7"/>
  <c r="F27" i="7"/>
  <c r="N26" i="7"/>
  <c r="M181" i="6"/>
  <c r="G181" i="6"/>
  <c r="M180" i="6"/>
  <c r="O169" i="6"/>
  <c r="G169" i="6"/>
  <c r="M168" i="6"/>
  <c r="F167" i="6"/>
  <c r="J165" i="6"/>
  <c r="D165" i="6"/>
  <c r="E128" i="6"/>
  <c r="H128" i="6"/>
  <c r="G128" i="6"/>
  <c r="B101" i="6"/>
  <c r="F101" i="6"/>
  <c r="I101" i="6"/>
  <c r="E101" i="6"/>
  <c r="N101" i="6"/>
  <c r="I72" i="6"/>
  <c r="K72" i="6"/>
  <c r="G72" i="6"/>
  <c r="C44" i="6"/>
  <c r="G44" i="6"/>
  <c r="H44" i="6"/>
  <c r="E44" i="6"/>
  <c r="M44" i="6"/>
  <c r="I31" i="6"/>
  <c r="O31" i="6"/>
  <c r="G31" i="6"/>
  <c r="I177" i="10"/>
  <c r="H177" i="10"/>
  <c r="B149" i="10"/>
  <c r="K149" i="10"/>
  <c r="F149" i="10"/>
  <c r="G120" i="2"/>
  <c r="I173" i="2"/>
  <c r="M147" i="2"/>
  <c r="L144" i="2"/>
  <c r="I184" i="2"/>
  <c r="I182" i="2"/>
  <c r="D175" i="2"/>
  <c r="S173" i="2"/>
  <c r="E173" i="2"/>
  <c r="H147" i="2"/>
  <c r="L145" i="2"/>
  <c r="L143" i="2"/>
  <c r="H140" i="2"/>
  <c r="R128" i="2"/>
  <c r="E128" i="2"/>
  <c r="L126" i="2"/>
  <c r="S120" i="2"/>
  <c r="I120" i="2"/>
  <c r="B120" i="2"/>
  <c r="L117" i="2"/>
  <c r="E104" i="2"/>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F40" i="3"/>
  <c r="C39" i="3"/>
  <c r="J36" i="3"/>
  <c r="Q35" i="3"/>
  <c r="Q28" i="3"/>
  <c r="I24" i="3"/>
  <c r="N21" i="3"/>
  <c r="M188" i="7"/>
  <c r="H183" i="7"/>
  <c r="K175" i="7"/>
  <c r="O168" i="7"/>
  <c r="H153" i="7"/>
  <c r="N146" i="7"/>
  <c r="G139" i="7"/>
  <c r="N128" i="7"/>
  <c r="J128" i="7"/>
  <c r="F128" i="7"/>
  <c r="L118" i="7"/>
  <c r="H113" i="7"/>
  <c r="O108" i="7"/>
  <c r="O100" i="7"/>
  <c r="J100" i="7"/>
  <c r="E100" i="7"/>
  <c r="K97" i="7"/>
  <c r="J94" i="7"/>
  <c r="D93" i="7"/>
  <c r="K91" i="7"/>
  <c r="I84" i="7"/>
  <c r="H72" i="7"/>
  <c r="N71" i="7"/>
  <c r="M70" i="7"/>
  <c r="E70" i="7"/>
  <c r="I61" i="7"/>
  <c r="K27" i="7"/>
  <c r="E27" i="7"/>
  <c r="L26" i="7"/>
  <c r="K21" i="7"/>
  <c r="O17" i="7"/>
  <c r="L181" i="6"/>
  <c r="D181" i="6"/>
  <c r="I180" i="6"/>
  <c r="M169" i="6"/>
  <c r="E169" i="6"/>
  <c r="I168" i="6"/>
  <c r="L167" i="6"/>
  <c r="E167" i="6"/>
  <c r="N165" i="6"/>
  <c r="I165" i="6"/>
  <c r="B165" i="6"/>
  <c r="B114" i="6"/>
  <c r="G114" i="6"/>
  <c r="E114" i="6"/>
  <c r="C71" i="6"/>
  <c r="K71" i="6"/>
  <c r="O71" i="6"/>
  <c r="G71" i="6"/>
  <c r="D69" i="6"/>
  <c r="I69" i="6"/>
  <c r="N69" i="6"/>
  <c r="E69" i="6"/>
  <c r="J69" i="6"/>
  <c r="B69" i="6"/>
  <c r="H69" i="6"/>
  <c r="M69" i="6"/>
  <c r="B41" i="6"/>
  <c r="I41" i="6"/>
  <c r="N41" i="6"/>
  <c r="H41" i="6"/>
  <c r="E27" i="6"/>
  <c r="I27" i="6"/>
  <c r="K27" i="6"/>
  <c r="G27" i="6"/>
  <c r="C166" i="10"/>
  <c r="G166" i="10"/>
  <c r="K166" i="10"/>
  <c r="E166" i="10"/>
  <c r="B148" i="10"/>
  <c r="G148" i="10"/>
  <c r="N148" i="10"/>
  <c r="C148" i="10"/>
  <c r="I122" i="6"/>
  <c r="I111" i="6"/>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C117" i="5"/>
  <c r="K151" i="5"/>
  <c r="K149" i="5"/>
  <c r="N139" i="5"/>
  <c r="O127" i="5"/>
  <c r="I125" i="5"/>
  <c r="C125" i="5"/>
  <c r="N125" i="5"/>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F4" i="21" s="1"/>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149" i="14" s="1"/>
  <c r="B148" i="14"/>
  <c r="G129" i="14"/>
  <c r="B127" i="14"/>
  <c r="G127" i="14" s="1"/>
  <c r="B115" i="14"/>
  <c r="F113" i="14"/>
  <c r="B113" i="14"/>
  <c r="G113" i="14" s="1"/>
  <c r="F111" i="14"/>
  <c r="E109" i="14"/>
  <c r="F107" i="14"/>
  <c r="E97" i="14"/>
  <c r="E95" i="14"/>
  <c r="E94" i="14"/>
  <c r="D59" i="14"/>
  <c r="D55" i="14"/>
  <c r="E53" i="14"/>
  <c r="E52" i="14"/>
  <c r="G41" i="14"/>
  <c r="B39" i="14"/>
  <c r="G39" i="14" s="1"/>
  <c r="C37" i="14"/>
  <c r="B33" i="14"/>
  <c r="E31" i="14"/>
  <c r="B29" i="14"/>
  <c r="F27" i="14"/>
  <c r="E20" i="14"/>
  <c r="D11" i="14"/>
  <c r="C9" i="14"/>
  <c r="E7" i="14"/>
  <c r="E80" i="13"/>
  <c r="G38" i="13"/>
  <c r="E156" i="14"/>
  <c r="F148" i="14"/>
  <c r="F127" i="14"/>
  <c r="E115" i="14"/>
  <c r="G107" i="14"/>
  <c r="F39" i="14"/>
  <c r="E33" i="14"/>
  <c r="E29" i="14"/>
  <c r="P191" i="2"/>
  <c r="H191" i="2"/>
  <c r="Q190" i="2"/>
  <c r="S189" i="2"/>
  <c r="C184" i="2"/>
  <c r="M182" i="2"/>
  <c r="S177" i="2"/>
  <c r="C177" i="2"/>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I72" i="2"/>
  <c r="Q72" i="2"/>
  <c r="I39" i="2"/>
  <c r="Q39" i="2"/>
  <c r="C36" i="2"/>
  <c r="D36" i="2"/>
  <c r="M36" i="2"/>
  <c r="E36" i="2"/>
  <c r="P36" i="2"/>
  <c r="L189" i="3"/>
  <c r="F189" i="3"/>
  <c r="Q189" i="3"/>
  <c r="C188" i="3"/>
  <c r="M188" i="3"/>
  <c r="F188" i="3"/>
  <c r="N188" i="3"/>
  <c r="C125" i="3"/>
  <c r="B125" i="3"/>
  <c r="M125" i="3"/>
  <c r="F125" i="3"/>
  <c r="N125" i="3"/>
  <c r="I125" i="3"/>
  <c r="P125" i="3"/>
  <c r="D78" i="3"/>
  <c r="L78" i="3"/>
  <c r="M191" i="2"/>
  <c r="D191" i="2"/>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N36" i="2" s="1"/>
  <c r="O36" i="2" s="1"/>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M179" i="7"/>
  <c r="E179" i="7"/>
  <c r="B176" i="7"/>
  <c r="O176" i="7"/>
  <c r="C165" i="7"/>
  <c r="E165" i="7"/>
  <c r="C161" i="7"/>
  <c r="H161" i="7"/>
  <c r="C157" i="7"/>
  <c r="L157" i="7"/>
  <c r="D152" i="7"/>
  <c r="E152" i="7"/>
  <c r="J152" i="7"/>
  <c r="O152" i="7"/>
  <c r="C145" i="7"/>
  <c r="G145" i="7"/>
  <c r="D136" i="7"/>
  <c r="C136" i="7"/>
  <c r="I136" i="7"/>
  <c r="N136" i="7"/>
  <c r="C120" i="7"/>
  <c r="G120" i="7"/>
  <c r="L120" i="7"/>
  <c r="C109" i="7"/>
  <c r="D109" i="7"/>
  <c r="O109" i="7"/>
  <c r="G109" i="7"/>
  <c r="B107" i="7"/>
  <c r="N107" i="7"/>
  <c r="C75" i="7"/>
  <c r="B75" i="7"/>
  <c r="G75" i="7"/>
  <c r="I75" i="7"/>
  <c r="E36" i="7"/>
  <c r="C36" i="7"/>
  <c r="I36" i="7"/>
  <c r="K36" i="7"/>
  <c r="E13" i="7"/>
  <c r="G13" i="7"/>
  <c r="I13" i="7"/>
  <c r="K13" i="7"/>
  <c r="B187" i="6"/>
  <c r="M187" i="6"/>
  <c r="F187" i="6"/>
  <c r="H187" i="6"/>
  <c r="M172" i="6"/>
  <c r="A172" i="7"/>
  <c r="I172" i="7" s="1"/>
  <c r="I164" i="6"/>
  <c r="K164" i="6"/>
  <c r="A164" i="7"/>
  <c r="B147" i="6"/>
  <c r="F147" i="6"/>
  <c r="I147" i="6"/>
  <c r="L147" i="6"/>
  <c r="B135" i="6"/>
  <c r="F135" i="6"/>
  <c r="J135" i="6"/>
  <c r="N135" i="6"/>
  <c r="C135" i="6"/>
  <c r="G135" i="6"/>
  <c r="K135" i="6"/>
  <c r="O135" i="6"/>
  <c r="D135" i="6"/>
  <c r="H135" i="6"/>
  <c r="L135" i="6"/>
  <c r="B125" i="6"/>
  <c r="E125" i="6"/>
  <c r="H125" i="6"/>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N140" i="2" s="1"/>
  <c r="O140" i="2" s="1"/>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C71" i="3"/>
  <c r="G69" i="3"/>
  <c r="N68" i="3"/>
  <c r="C68" i="3"/>
  <c r="D67" i="3"/>
  <c r="N64" i="3"/>
  <c r="C64" i="3"/>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A187" i="7"/>
  <c r="G186" i="7"/>
  <c r="C186" i="7"/>
  <c r="M186" i="7"/>
  <c r="M181" i="7"/>
  <c r="E180" i="7"/>
  <c r="C177" i="7"/>
  <c r="J177" i="7"/>
  <c r="D175" i="7"/>
  <c r="E175" i="7"/>
  <c r="J175" i="7"/>
  <c r="O175" i="7"/>
  <c r="M171" i="7"/>
  <c r="J169" i="7"/>
  <c r="G168" i="7"/>
  <c r="I161" i="7"/>
  <c r="B156" i="7"/>
  <c r="I156" i="7"/>
  <c r="E153" i="7"/>
  <c r="M152" i="7"/>
  <c r="F152" i="7"/>
  <c r="J148" i="7"/>
  <c r="L144" i="7"/>
  <c r="N139" i="7"/>
  <c r="F139" i="7"/>
  <c r="M137" i="7"/>
  <c r="M136" i="7"/>
  <c r="F136" i="7"/>
  <c r="A135" i="7"/>
  <c r="B135" i="7" s="1"/>
  <c r="K132" i="7"/>
  <c r="C129" i="7"/>
  <c r="K129" i="7"/>
  <c r="L129" i="7"/>
  <c r="F114" i="7"/>
  <c r="E112" i="7"/>
  <c r="C112" i="7"/>
  <c r="I112" i="7"/>
  <c r="D112" i="7"/>
  <c r="L112" i="7"/>
  <c r="E99" i="7"/>
  <c r="M99" i="7"/>
  <c r="J83" i="7"/>
  <c r="B83" i="7"/>
  <c r="C81" i="7"/>
  <c r="H81" i="7"/>
  <c r="M81" i="7"/>
  <c r="D81" i="7"/>
  <c r="I81" i="7"/>
  <c r="O81" i="7"/>
  <c r="E81" i="7"/>
  <c r="K81" i="7"/>
  <c r="B63" i="7"/>
  <c r="F63" i="7"/>
  <c r="K63" i="7"/>
  <c r="E46" i="7"/>
  <c r="B46" i="7"/>
  <c r="M46" i="7"/>
  <c r="F46" i="7"/>
  <c r="H46" i="7"/>
  <c r="E150" i="6"/>
  <c r="A150" i="7"/>
  <c r="M135" i="6"/>
  <c r="I66" i="6"/>
  <c r="A66" i="7"/>
  <c r="C62" i="6"/>
  <c r="A62" i="7"/>
  <c r="B13" i="6"/>
  <c r="F13" i="6"/>
  <c r="J13" i="6"/>
  <c r="N13" i="6"/>
  <c r="C13" i="6"/>
  <c r="G13" i="6"/>
  <c r="K13" i="6"/>
  <c r="O13" i="6"/>
  <c r="D13" i="6"/>
  <c r="L13" i="6"/>
  <c r="E13" i="6"/>
  <c r="M13" i="6"/>
  <c r="H13" i="6"/>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L62" i="5"/>
  <c r="M189" i="7"/>
  <c r="E189" i="7"/>
  <c r="F181" i="7"/>
  <c r="I176" i="7"/>
  <c r="B171" i="7"/>
  <c r="H171" i="7"/>
  <c r="E169" i="7"/>
  <c r="L165" i="7"/>
  <c r="D161" i="7"/>
  <c r="B158" i="7"/>
  <c r="L153" i="7"/>
  <c r="K152" i="7"/>
  <c r="C152" i="7"/>
  <c r="B151" i="7"/>
  <c r="K151" i="7"/>
  <c r="A147" i="7"/>
  <c r="B146" i="7"/>
  <c r="F146" i="7"/>
  <c r="M139" i="7"/>
  <c r="K136" i="7"/>
  <c r="E136" i="7"/>
  <c r="F126" i="7"/>
  <c r="B126" i="7"/>
  <c r="L126" i="7"/>
  <c r="E126" i="7"/>
  <c r="B123" i="7"/>
  <c r="E123" i="7"/>
  <c r="O123" i="7"/>
  <c r="F123" i="7"/>
  <c r="L121" i="7"/>
  <c r="C119" i="7"/>
  <c r="F119" i="7"/>
  <c r="L109" i="7"/>
  <c r="C77" i="7"/>
  <c r="D77" i="7"/>
  <c r="O77" i="7"/>
  <c r="G77" i="7"/>
  <c r="I77" i="7"/>
  <c r="C8" i="7"/>
  <c r="D8" i="7"/>
  <c r="J8" i="7"/>
  <c r="E8" i="7"/>
  <c r="L8" i="7"/>
  <c r="F8" i="7"/>
  <c r="N8" i="7"/>
  <c r="E185" i="6"/>
  <c r="I185" i="6"/>
  <c r="M185" i="6"/>
  <c r="B141" i="6"/>
  <c r="L141" i="6"/>
  <c r="A141" i="7"/>
  <c r="I135" i="6"/>
  <c r="C76" i="6"/>
  <c r="O76" i="6"/>
  <c r="A76" i="7"/>
  <c r="F15" i="6"/>
  <c r="L15" i="6"/>
  <c r="A15" i="7"/>
  <c r="C15" i="7" s="1"/>
  <c r="C168" i="10"/>
  <c r="B168" i="10"/>
  <c r="K168" i="10"/>
  <c r="E168" i="10"/>
  <c r="O168" i="10"/>
  <c r="G168" i="10"/>
  <c r="J168" i="10"/>
  <c r="L51" i="3"/>
  <c r="F49" i="3"/>
  <c r="M48" i="3"/>
  <c r="B48" i="3"/>
  <c r="Q46" i="3"/>
  <c r="D46" i="3"/>
  <c r="B45" i="3"/>
  <c r="Q40" i="3"/>
  <c r="M40" i="3"/>
  <c r="G40" i="3"/>
  <c r="H40" i="3" s="1"/>
  <c r="P32" i="3"/>
  <c r="J32" i="3"/>
  <c r="L28" i="3"/>
  <c r="L26" i="3"/>
  <c r="L24" i="3"/>
  <c r="P20" i="3"/>
  <c r="B20" i="3"/>
  <c r="Q14" i="3"/>
  <c r="D14" i="3"/>
  <c r="P7" i="3"/>
  <c r="I182" i="7"/>
  <c r="E182" i="7"/>
  <c r="B180" i="7"/>
  <c r="K180" i="7"/>
  <c r="G176" i="7"/>
  <c r="E170" i="7"/>
  <c r="M170" i="7"/>
  <c r="F165" i="7"/>
  <c r="I163" i="7"/>
  <c r="N161" i="7"/>
  <c r="B161" i="7"/>
  <c r="G153" i="7"/>
  <c r="M153" i="7"/>
  <c r="I152" i="7"/>
  <c r="B152" i="7"/>
  <c r="E148" i="7"/>
  <c r="B148" i="7"/>
  <c r="L145" i="7"/>
  <c r="B144" i="7"/>
  <c r="D144" i="7"/>
  <c r="E139" i="7"/>
  <c r="B139" i="7"/>
  <c r="I139" i="7"/>
  <c r="C137" i="7"/>
  <c r="H137" i="7"/>
  <c r="J136" i="7"/>
  <c r="B136" i="7"/>
  <c r="B134" i="7"/>
  <c r="L134" i="7"/>
  <c r="D132" i="7"/>
  <c r="E132" i="7"/>
  <c r="O132" i="7"/>
  <c r="F132" i="7"/>
  <c r="L130" i="7"/>
  <c r="I109" i="7"/>
  <c r="C107" i="7"/>
  <c r="H104" i="7"/>
  <c r="D86" i="7"/>
  <c r="B86" i="7"/>
  <c r="M86" i="7"/>
  <c r="F86" i="7"/>
  <c r="H86" i="7"/>
  <c r="N75" i="7"/>
  <c r="D68" i="7"/>
  <c r="E68" i="7"/>
  <c r="I68" i="7"/>
  <c r="M68" i="7"/>
  <c r="C37" i="7"/>
  <c r="D37" i="7"/>
  <c r="I37" i="7"/>
  <c r="L37" i="7"/>
  <c r="B14" i="7"/>
  <c r="H14" i="7"/>
  <c r="L187" i="6"/>
  <c r="K160" i="6"/>
  <c r="A160" i="7"/>
  <c r="I160" i="7" s="1"/>
  <c r="B152" i="6"/>
  <c r="I152" i="6"/>
  <c r="E135" i="6"/>
  <c r="F110" i="6"/>
  <c r="I110" i="6"/>
  <c r="K110" i="6"/>
  <c r="A110" i="7"/>
  <c r="I102" i="6"/>
  <c r="A102" i="7"/>
  <c r="C87" i="6"/>
  <c r="H87" i="6"/>
  <c r="M87" i="6"/>
  <c r="D87" i="6"/>
  <c r="I87" i="6"/>
  <c r="O87" i="6"/>
  <c r="E87" i="6"/>
  <c r="G87" i="6"/>
  <c r="A87" i="7"/>
  <c r="F87" i="7" s="1"/>
  <c r="K87" i="6"/>
  <c r="E83" i="6"/>
  <c r="G83" i="6"/>
  <c r="I83" i="6"/>
  <c r="C83" i="6"/>
  <c r="K83" i="6"/>
  <c r="O83" i="6"/>
  <c r="B51" i="6"/>
  <c r="G51" i="6"/>
  <c r="M51" i="6"/>
  <c r="C51" i="6"/>
  <c r="I51" i="6"/>
  <c r="N51" i="6"/>
  <c r="E51" i="6"/>
  <c r="O51" i="6"/>
  <c r="F51" i="6"/>
  <c r="J51" i="6"/>
  <c r="E28" i="6"/>
  <c r="A28" i="7"/>
  <c r="K173" i="10"/>
  <c r="F98" i="7"/>
  <c r="E94" i="7"/>
  <c r="E89" i="7"/>
  <c r="B84" i="7"/>
  <c r="F80" i="7"/>
  <c r="C73" i="7"/>
  <c r="J70" i="7"/>
  <c r="K65" i="7"/>
  <c r="D61" i="7"/>
  <c r="L52" i="7"/>
  <c r="F42" i="7"/>
  <c r="J35" i="7"/>
  <c r="O33" i="7"/>
  <c r="I33" i="7"/>
  <c r="D33" i="7"/>
  <c r="K31" i="7"/>
  <c r="M27" i="7"/>
  <c r="G27" i="7"/>
  <c r="I26" i="7"/>
  <c r="O21" i="7"/>
  <c r="C21" i="7"/>
  <c r="I17" i="7"/>
  <c r="M12" i="7"/>
  <c r="N10" i="7"/>
  <c r="I10" i="7"/>
  <c r="D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L56" i="6"/>
  <c r="D56" i="6"/>
  <c r="I56" i="6"/>
  <c r="F42" i="6"/>
  <c r="I42" i="6"/>
  <c r="H36" i="6"/>
  <c r="C31" i="6"/>
  <c r="K31" i="6"/>
  <c r="E31" i="6"/>
  <c r="M31" i="6"/>
  <c r="H29" i="6"/>
  <c r="G18" i="6"/>
  <c r="L18" i="6"/>
  <c r="C9" i="6"/>
  <c r="I9" i="6"/>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J118" i="7"/>
  <c r="L100" i="7"/>
  <c r="H100" i="7"/>
  <c r="D98" i="7"/>
  <c r="H97" i="7"/>
  <c r="L94" i="7"/>
  <c r="B94" i="7"/>
  <c r="L89" i="7"/>
  <c r="C89" i="7"/>
  <c r="C65" i="7"/>
  <c r="G57" i="7"/>
  <c r="B52" i="7"/>
  <c r="L49" i="7"/>
  <c r="L38" i="7"/>
  <c r="M33" i="7"/>
  <c r="H33" i="7"/>
  <c r="I31" i="7"/>
  <c r="C17" i="7"/>
  <c r="I12" i="7"/>
  <c r="M10" i="7"/>
  <c r="H10" i="7"/>
  <c r="B10" i="7"/>
  <c r="N183" i="6"/>
  <c r="F183" i="6"/>
  <c r="K181" i="6"/>
  <c r="E181" i="6"/>
  <c r="O180" i="6"/>
  <c r="E180" i="6"/>
  <c r="J177" i="6"/>
  <c r="F175" i="6"/>
  <c r="J161" i="6"/>
  <c r="D161" i="6"/>
  <c r="M155" i="6"/>
  <c r="H155" i="6"/>
  <c r="I139" i="6"/>
  <c r="F138" i="6"/>
  <c r="L133" i="6"/>
  <c r="K123" i="6"/>
  <c r="G120" i="6"/>
  <c r="M119" i="6"/>
  <c r="G119" i="6"/>
  <c r="O112" i="6"/>
  <c r="B111" i="6"/>
  <c r="E111" i="6"/>
  <c r="K111" i="6"/>
  <c r="C99" i="6"/>
  <c r="G99" i="6"/>
  <c r="K99" i="6"/>
  <c r="B93" i="6"/>
  <c r="F93" i="6"/>
  <c r="L93" i="6"/>
  <c r="E81" i="6"/>
  <c r="L81" i="6"/>
  <c r="I68" i="6"/>
  <c r="O68" i="6"/>
  <c r="C52" i="6"/>
  <c r="H52" i="6"/>
  <c r="M52" i="6"/>
  <c r="D52" i="6"/>
  <c r="I52" i="6"/>
  <c r="O52" i="6"/>
  <c r="F50" i="6"/>
  <c r="I50" i="6"/>
  <c r="E41" i="6"/>
  <c r="D41" i="6"/>
  <c r="L41" i="6"/>
  <c r="F41" i="6"/>
  <c r="M41" i="6"/>
  <c r="F34" i="6"/>
  <c r="C17" i="6"/>
  <c r="D17" i="6"/>
  <c r="L17" i="6"/>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D85" i="6"/>
  <c r="I85" i="6"/>
  <c r="N85" i="6"/>
  <c r="I63" i="6"/>
  <c r="M63" i="6"/>
  <c r="H60" i="6"/>
  <c r="L60" i="6"/>
  <c r="E36" i="6"/>
  <c r="C36" i="6"/>
  <c r="I36" i="6"/>
  <c r="D36" i="6"/>
  <c r="L36" i="6"/>
  <c r="E30" i="6"/>
  <c r="I30" i="6"/>
  <c r="C29" i="6"/>
  <c r="B29" i="6"/>
  <c r="J29" i="6"/>
  <c r="E29" i="6"/>
  <c r="L29" i="6"/>
  <c r="I20" i="6"/>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O84" i="6"/>
  <c r="F77" i="6"/>
  <c r="M75" i="6"/>
  <c r="M67" i="6"/>
  <c r="F45" i="6"/>
  <c r="K44" i="6"/>
  <c r="D39" i="6"/>
  <c r="K35" i="6"/>
  <c r="O27" i="6"/>
  <c r="C27" i="6"/>
  <c r="H25" i="6"/>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E135" i="3"/>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G29" i="14"/>
  <c r="I60" i="11"/>
  <c r="I53" i="11"/>
  <c r="E151" i="12"/>
  <c r="F109" i="12"/>
  <c r="E99" i="12"/>
  <c r="E87" i="12"/>
  <c r="F63" i="12"/>
  <c r="G49" i="12"/>
  <c r="E40" i="12"/>
  <c r="C126" i="13"/>
  <c r="B122" i="13"/>
  <c r="G52" i="14"/>
  <c r="G9" i="14"/>
  <c r="G183" i="14"/>
  <c r="G109" i="14"/>
  <c r="Q189" i="2"/>
  <c r="I189" i="2"/>
  <c r="C189" i="2"/>
  <c r="Q163" i="2"/>
  <c r="I152" i="2"/>
  <c r="S150" i="2"/>
  <c r="S139" i="2"/>
  <c r="S136" i="2"/>
  <c r="E136" i="2"/>
  <c r="Q124" i="2"/>
  <c r="P189" i="2"/>
  <c r="H189" i="2"/>
  <c r="B189" i="2"/>
  <c r="I187" i="2"/>
  <c r="I186" i="2"/>
  <c r="S184" i="2"/>
  <c r="S182" i="2"/>
  <c r="M181" i="2"/>
  <c r="H177" i="2"/>
  <c r="J177" i="2" s="1"/>
  <c r="K177" i="2" s="1"/>
  <c r="Q176" i="2"/>
  <c r="P175" i="2"/>
  <c r="H175" i="2"/>
  <c r="J175" i="2" s="1"/>
  <c r="K175" i="2" s="1"/>
  <c r="Q174" i="2"/>
  <c r="R171" i="2"/>
  <c r="I169" i="2"/>
  <c r="S166" i="2"/>
  <c r="L163" i="2"/>
  <c r="D160" i="2"/>
  <c r="E159" i="2"/>
  <c r="R155" i="2"/>
  <c r="D152" i="2"/>
  <c r="C150" i="2"/>
  <c r="L148" i="2"/>
  <c r="Q147" i="2"/>
  <c r="E147" i="2"/>
  <c r="S140" i="2"/>
  <c r="I140" i="2"/>
  <c r="J140" i="2" s="1"/>
  <c r="K140" i="2" s="1"/>
  <c r="I139" i="2"/>
  <c r="L137" i="2"/>
  <c r="R136" i="2"/>
  <c r="B136" i="2"/>
  <c r="S131" i="2"/>
  <c r="M128" i="2"/>
  <c r="C128" i="2"/>
  <c r="I125" i="2"/>
  <c r="M124" i="2"/>
  <c r="B124" i="2"/>
  <c r="D122" i="2"/>
  <c r="S116" i="2"/>
  <c r="M116" i="2"/>
  <c r="N116" i="2" s="1"/>
  <c r="O116" i="2" s="1"/>
  <c r="E116" i="2"/>
  <c r="I115" i="2"/>
  <c r="D114" i="2"/>
  <c r="L110" i="2"/>
  <c r="R108" i="2"/>
  <c r="M108" i="2"/>
  <c r="N108" i="2" s="1"/>
  <c r="O108" i="2" s="1"/>
  <c r="H108" i="2"/>
  <c r="B108" i="2"/>
  <c r="D106" i="2"/>
  <c r="D105" i="2"/>
  <c r="I101" i="2"/>
  <c r="E100" i="2"/>
  <c r="S96" i="2"/>
  <c r="L96" i="2"/>
  <c r="B96" i="2"/>
  <c r="L94" i="2"/>
  <c r="N92" i="2"/>
  <c r="O92" i="2" s="1"/>
  <c r="G92" i="2"/>
  <c r="R88" i="2"/>
  <c r="L88" i="2"/>
  <c r="D88" i="2"/>
  <c r="G88" i="2" s="1"/>
  <c r="Q87" i="2"/>
  <c r="L85" i="2"/>
  <c r="R84" i="2"/>
  <c r="L84" i="2"/>
  <c r="D78" i="2"/>
  <c r="L78" i="2"/>
  <c r="B76" i="2"/>
  <c r="H76" i="2"/>
  <c r="J76" i="2" s="1"/>
  <c r="K76" i="2" s="1"/>
  <c r="M76" i="2"/>
  <c r="N76" i="2" s="1"/>
  <c r="O76" i="2" s="1"/>
  <c r="R76" i="2"/>
  <c r="I74" i="2"/>
  <c r="R72" i="2"/>
  <c r="H72" i="2"/>
  <c r="S68" i="2"/>
  <c r="L68" i="2"/>
  <c r="Q64" i="2"/>
  <c r="S59" i="2"/>
  <c r="E56" i="2"/>
  <c r="H56" i="2"/>
  <c r="S56" i="2"/>
  <c r="D48" i="2"/>
  <c r="G48" i="2" s="1"/>
  <c r="L48" i="2"/>
  <c r="R48" i="2"/>
  <c r="I44" i="2"/>
  <c r="D40" i="2"/>
  <c r="C40" i="2"/>
  <c r="R40" i="2"/>
  <c r="L38" i="2"/>
  <c r="E28" i="2"/>
  <c r="Q28" i="2"/>
  <c r="C28" i="2"/>
  <c r="L28" i="2"/>
  <c r="D26" i="2"/>
  <c r="I26" i="2"/>
  <c r="D16" i="2"/>
  <c r="L16" i="2"/>
  <c r="N16" i="2" s="1"/>
  <c r="O16" i="2" s="1"/>
  <c r="R16" i="2"/>
  <c r="B16" i="2"/>
  <c r="H16" i="2"/>
  <c r="P16" i="2"/>
  <c r="D177" i="3"/>
  <c r="I177" i="3"/>
  <c r="L175" i="3"/>
  <c r="P174" i="3"/>
  <c r="D173" i="3"/>
  <c r="P173" i="3"/>
  <c r="Q165" i="3"/>
  <c r="B164" i="3"/>
  <c r="I164" i="3"/>
  <c r="J160" i="3"/>
  <c r="Q160" i="3"/>
  <c r="F160" i="3"/>
  <c r="D158" i="3"/>
  <c r="M158" i="3"/>
  <c r="D153" i="3"/>
  <c r="I153" i="3"/>
  <c r="Q153" i="3"/>
  <c r="F147" i="3"/>
  <c r="B147" i="3"/>
  <c r="L147" i="3"/>
  <c r="G147" i="3"/>
  <c r="P147" i="3"/>
  <c r="D84" i="2"/>
  <c r="E84" i="2"/>
  <c r="L82" i="2"/>
  <c r="D82" i="2"/>
  <c r="I71" i="2"/>
  <c r="Q71" i="2"/>
  <c r="C68" i="2"/>
  <c r="I68" i="2"/>
  <c r="J68" i="2" s="1"/>
  <c r="K68" i="2" s="1"/>
  <c r="Q68" i="2"/>
  <c r="D45" i="2"/>
  <c r="L45" i="2"/>
  <c r="Q25" i="2"/>
  <c r="L25" i="2"/>
  <c r="B180" i="3"/>
  <c r="I180" i="3"/>
  <c r="I175" i="3"/>
  <c r="L174" i="3"/>
  <c r="M165" i="3"/>
  <c r="C163" i="3"/>
  <c r="J163" i="3"/>
  <c r="K163" i="3" s="1"/>
  <c r="P163" i="3"/>
  <c r="F163" i="3"/>
  <c r="N163" i="3"/>
  <c r="C162" i="3"/>
  <c r="M162" i="3"/>
  <c r="I162" i="3"/>
  <c r="Q162" i="3"/>
  <c r="N159" i="3"/>
  <c r="F155" i="3"/>
  <c r="G155" i="3"/>
  <c r="P155" i="3"/>
  <c r="B155" i="3"/>
  <c r="L155" i="3"/>
  <c r="N124" i="2"/>
  <c r="O124" i="2" s="1"/>
  <c r="C192" i="2"/>
  <c r="R189" i="2"/>
  <c r="L189" i="2"/>
  <c r="P187" i="2"/>
  <c r="B187" i="2"/>
  <c r="L185" i="2"/>
  <c r="R177" i="2"/>
  <c r="L177" i="2"/>
  <c r="N177" i="2" s="1"/>
  <c r="O177" i="2" s="1"/>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C95" i="2"/>
  <c r="P88" i="2"/>
  <c r="H88" i="2"/>
  <c r="H84" i="2"/>
  <c r="J84" i="2" s="1"/>
  <c r="K84" i="2" s="1"/>
  <c r="C83" i="2"/>
  <c r="I83" i="2"/>
  <c r="C79" i="2"/>
  <c r="G76" i="2"/>
  <c r="L72" i="2"/>
  <c r="P68" i="2"/>
  <c r="E68" i="2"/>
  <c r="L54" i="2"/>
  <c r="I47" i="2"/>
  <c r="Q47" i="2"/>
  <c r="R44" i="2"/>
  <c r="D30" i="2"/>
  <c r="L30" i="2"/>
  <c r="B24" i="2"/>
  <c r="P24" i="2"/>
  <c r="B15" i="2"/>
  <c r="S15" i="2"/>
  <c r="C15" i="2"/>
  <c r="F176" i="3"/>
  <c r="N176" i="3"/>
  <c r="B176" i="3"/>
  <c r="B167" i="3"/>
  <c r="G167" i="3"/>
  <c r="L163" i="3"/>
  <c r="P162" i="3"/>
  <c r="O155" i="3"/>
  <c r="B154" i="3"/>
  <c r="C154" i="3"/>
  <c r="L154" i="3"/>
  <c r="Q154" i="3"/>
  <c r="G154" i="3"/>
  <c r="O154" i="3"/>
  <c r="C151" i="3"/>
  <c r="I151" i="3"/>
  <c r="G146" i="3"/>
  <c r="D146" i="3"/>
  <c r="O146" i="3"/>
  <c r="B142" i="3"/>
  <c r="C142" i="3"/>
  <c r="L142" i="3"/>
  <c r="Q142" i="3"/>
  <c r="D142" i="3"/>
  <c r="M142" i="3"/>
  <c r="G142" i="3"/>
  <c r="O142" i="3"/>
  <c r="I160" i="2"/>
  <c r="M159" i="2"/>
  <c r="L125" i="2"/>
  <c r="E124" i="2"/>
  <c r="G124" i="2" s="1"/>
  <c r="Q122" i="2"/>
  <c r="J116" i="2"/>
  <c r="K116" i="2" s="1"/>
  <c r="G116" i="2"/>
  <c r="I114" i="2"/>
  <c r="S108" i="2"/>
  <c r="I108" i="2"/>
  <c r="L105" i="2"/>
  <c r="L100" i="2"/>
  <c r="M96" i="2"/>
  <c r="C96" i="2"/>
  <c r="S84" i="2"/>
  <c r="M84" i="2"/>
  <c r="C84" i="2"/>
  <c r="Q82" i="2"/>
  <c r="L73" i="2"/>
  <c r="D73" i="2"/>
  <c r="E72" i="2"/>
  <c r="P72" i="2"/>
  <c r="M68" i="2"/>
  <c r="N68" i="2" s="1"/>
  <c r="O68" i="2" s="1"/>
  <c r="D68" i="2"/>
  <c r="G68" i="2" s="1"/>
  <c r="E44" i="2"/>
  <c r="C44" i="2"/>
  <c r="Q44" i="2"/>
  <c r="C35" i="2"/>
  <c r="I35" i="2"/>
  <c r="B18" i="2"/>
  <c r="Q18" i="2"/>
  <c r="D18" i="2"/>
  <c r="C175" i="3"/>
  <c r="J175" i="3"/>
  <c r="P175" i="3"/>
  <c r="F175" i="3"/>
  <c r="N175" i="3"/>
  <c r="C174" i="3"/>
  <c r="M174" i="3"/>
  <c r="I174" i="3"/>
  <c r="Q174" i="3"/>
  <c r="D165" i="3"/>
  <c r="P165" i="3"/>
  <c r="L165" i="3"/>
  <c r="C159" i="3"/>
  <c r="B159" i="3"/>
  <c r="P159" i="3"/>
  <c r="I159" i="3"/>
  <c r="C150" i="3"/>
  <c r="L150" i="3"/>
  <c r="P143" i="3"/>
  <c r="J143" i="3"/>
  <c r="B143" i="3"/>
  <c r="Q141" i="3"/>
  <c r="D141" i="3"/>
  <c r="L138" i="3"/>
  <c r="P131" i="3"/>
  <c r="C131" i="3"/>
  <c r="C130" i="3"/>
  <c r="B129" i="3"/>
  <c r="H127"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J74" i="3"/>
  <c r="L62" i="3"/>
  <c r="J61" i="3"/>
  <c r="L60" i="3"/>
  <c r="S36" i="2"/>
  <c r="I36" i="2"/>
  <c r="J36" i="2" s="1"/>
  <c r="K36" i="2" s="1"/>
  <c r="L33" i="2"/>
  <c r="R32" i="2"/>
  <c r="D32" i="2"/>
  <c r="S27" i="2"/>
  <c r="M20" i="2"/>
  <c r="N20" i="2" s="1"/>
  <c r="O20" i="2" s="1"/>
  <c r="I12" i="2"/>
  <c r="N187" i="3"/>
  <c r="I187" i="3"/>
  <c r="L186" i="3"/>
  <c r="Q184" i="3"/>
  <c r="O179" i="3"/>
  <c r="D179" i="3"/>
  <c r="P166" i="3"/>
  <c r="Q157" i="3"/>
  <c r="M156" i="3"/>
  <c r="F152" i="3"/>
  <c r="P149" i="3"/>
  <c r="M143" i="3"/>
  <c r="M141" i="3"/>
  <c r="I139" i="3"/>
  <c r="N135" i="3"/>
  <c r="I135" i="3"/>
  <c r="K135" i="3" s="1"/>
  <c r="I132" i="3"/>
  <c r="J131" i="3"/>
  <c r="K131" i="3" s="1"/>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P60" i="3"/>
  <c r="F58" i="3"/>
  <c r="N58" i="3"/>
  <c r="J50" i="3"/>
  <c r="L50" i="3"/>
  <c r="B38" i="3"/>
  <c r="F38" i="3"/>
  <c r="J37" i="3"/>
  <c r="C27" i="3"/>
  <c r="L27" i="3"/>
  <c r="J26" i="3"/>
  <c r="P23" i="3"/>
  <c r="M21" i="3"/>
  <c r="G13" i="3"/>
  <c r="Q13" i="3"/>
  <c r="J189" i="7"/>
  <c r="C188" i="7"/>
  <c r="I188" i="7"/>
  <c r="J187" i="7"/>
  <c r="B183" i="7"/>
  <c r="D183" i="7"/>
  <c r="L183" i="7"/>
  <c r="E183" i="7"/>
  <c r="M183" i="7"/>
  <c r="C181" i="7"/>
  <c r="B181" i="7"/>
  <c r="I181" i="7"/>
  <c r="D181" i="7"/>
  <c r="L181" i="7"/>
  <c r="C169" i="7"/>
  <c r="B169" i="7"/>
  <c r="H169" i="7"/>
  <c r="M169" i="7"/>
  <c r="D169" i="7"/>
  <c r="I169" i="7"/>
  <c r="N169" i="7"/>
  <c r="B168" i="7"/>
  <c r="C168" i="7"/>
  <c r="K168" i="7"/>
  <c r="E168" i="7"/>
  <c r="M168" i="7"/>
  <c r="F167" i="7"/>
  <c r="M163" i="7"/>
  <c r="E163" i="7"/>
  <c r="I162" i="7"/>
  <c r="M162" i="7"/>
  <c r="K160" i="7"/>
  <c r="J158" i="7"/>
  <c r="K155" i="7"/>
  <c r="F150" i="7"/>
  <c r="N148" i="7"/>
  <c r="F148" i="7"/>
  <c r="O47" i="3"/>
  <c r="G47" i="3"/>
  <c r="J45" i="3"/>
  <c r="P44" i="3"/>
  <c r="M42" i="3"/>
  <c r="F42" i="3"/>
  <c r="Q37" i="3"/>
  <c r="G37" i="3"/>
  <c r="F34" i="3"/>
  <c r="M34" i="3"/>
  <c r="G31" i="3"/>
  <c r="L31" i="3"/>
  <c r="C28" i="3"/>
  <c r="I28" i="3"/>
  <c r="N28" i="3"/>
  <c r="Q26" i="3"/>
  <c r="D26" i="3"/>
  <c r="M23" i="3"/>
  <c r="J21" i="3"/>
  <c r="J13" i="3"/>
  <c r="I9" i="3"/>
  <c r="F9" i="3"/>
  <c r="C189" i="7"/>
  <c r="D189" i="7"/>
  <c r="I189" i="7"/>
  <c r="N189" i="7"/>
  <c r="D187" i="7"/>
  <c r="C187" i="7"/>
  <c r="I187" i="7"/>
  <c r="N187" i="7"/>
  <c r="O167" i="7"/>
  <c r="J163" i="7"/>
  <c r="M150" i="7"/>
  <c r="M148" i="7"/>
  <c r="M77" i="3"/>
  <c r="M72" i="3"/>
  <c r="F72" i="3"/>
  <c r="P71" i="3"/>
  <c r="M68" i="3"/>
  <c r="F68" i="3"/>
  <c r="O67" i="3"/>
  <c r="M66" i="3"/>
  <c r="M64" i="3"/>
  <c r="F64" i="3"/>
  <c r="N57" i="3"/>
  <c r="P56" i="3"/>
  <c r="G56" i="3"/>
  <c r="H56" i="3" s="1"/>
  <c r="M47" i="3"/>
  <c r="F45" i="3"/>
  <c r="L44" i="3"/>
  <c r="Q42" i="3"/>
  <c r="L42" i="3"/>
  <c r="L39" i="3"/>
  <c r="G39" i="3"/>
  <c r="O37" i="3"/>
  <c r="I35" i="3"/>
  <c r="G35" i="3"/>
  <c r="C32" i="3"/>
  <c r="I32" i="3"/>
  <c r="N32" i="3"/>
  <c r="Q30" i="3"/>
  <c r="M28" i="3"/>
  <c r="F28" i="3"/>
  <c r="Q27" i="3"/>
  <c r="N26" i="3"/>
  <c r="L23" i="3"/>
  <c r="C21" i="3"/>
  <c r="M18" i="3"/>
  <c r="C16" i="3"/>
  <c r="G16" i="3"/>
  <c r="F13" i="3"/>
  <c r="G11" i="3"/>
  <c r="F10" i="3"/>
  <c r="L10" i="3"/>
  <c r="D167" i="7"/>
  <c r="B167" i="7"/>
  <c r="G167" i="7"/>
  <c r="M167" i="7"/>
  <c r="C167" i="7"/>
  <c r="I167" i="7"/>
  <c r="N167" i="7"/>
  <c r="C163" i="7"/>
  <c r="G163" i="7"/>
  <c r="C3" i="21" s="1"/>
  <c r="K163" i="7"/>
  <c r="O163" i="7"/>
  <c r="D163" i="7"/>
  <c r="H163" i="7"/>
  <c r="L163" i="7"/>
  <c r="B160" i="7"/>
  <c r="C160" i="7"/>
  <c r="M160" i="7"/>
  <c r="E160" i="7"/>
  <c r="B155" i="7"/>
  <c r="E155" i="7"/>
  <c r="O155" i="7"/>
  <c r="F155" i="7"/>
  <c r="D150" i="7"/>
  <c r="I150" i="7"/>
  <c r="N150" i="7"/>
  <c r="E150" i="7"/>
  <c r="J150" i="7"/>
  <c r="F37" i="3"/>
  <c r="N37" i="3"/>
  <c r="I26" i="3"/>
  <c r="P26" i="3"/>
  <c r="C8" i="3"/>
  <c r="I8" i="3"/>
  <c r="I174" i="7"/>
  <c r="M174" i="7"/>
  <c r="J167" i="7"/>
  <c r="N163" i="7"/>
  <c r="F163" i="7"/>
  <c r="E158" i="7"/>
  <c r="L158" i="7"/>
  <c r="F158" i="7"/>
  <c r="M158" i="7"/>
  <c r="H150" i="7"/>
  <c r="C148" i="7"/>
  <c r="G148" i="7"/>
  <c r="K148" i="7"/>
  <c r="O148" i="7"/>
  <c r="D148" i="7"/>
  <c r="H148" i="7"/>
  <c r="L148" i="7"/>
  <c r="H144" i="7"/>
  <c r="J134" i="7"/>
  <c r="L133" i="7"/>
  <c r="N132" i="7"/>
  <c r="I132" i="7"/>
  <c r="C132" i="7"/>
  <c r="M131" i="7"/>
  <c r="F131" i="7"/>
  <c r="G129" i="7"/>
  <c r="G121" i="7"/>
  <c r="G115" i="7"/>
  <c r="N114" i="7"/>
  <c r="M110" i="7"/>
  <c r="F110" i="7"/>
  <c r="G108" i="7"/>
  <c r="I107" i="7"/>
  <c r="J86" i="7"/>
  <c r="E86" i="7"/>
  <c r="L85" i="7"/>
  <c r="M84" i="7"/>
  <c r="F84" i="7"/>
  <c r="K76" i="7"/>
  <c r="C76" i="7"/>
  <c r="M75" i="7"/>
  <c r="F75" i="7"/>
  <c r="H73" i="7"/>
  <c r="O68" i="7"/>
  <c r="K68" i="7"/>
  <c r="G68" i="7"/>
  <c r="C68" i="7"/>
  <c r="G67" i="7"/>
  <c r="E67" i="7"/>
  <c r="H65" i="7"/>
  <c r="N59" i="7"/>
  <c r="M57" i="7"/>
  <c r="J54" i="7"/>
  <c r="H52" i="7"/>
  <c r="G51" i="7"/>
  <c r="E51" i="7"/>
  <c r="O51" i="7"/>
  <c r="G49" i="7"/>
  <c r="L45" i="7"/>
  <c r="E44" i="7"/>
  <c r="C44" i="7"/>
  <c r="I44" i="7"/>
  <c r="H38" i="7"/>
  <c r="E35" i="7"/>
  <c r="F35" i="7"/>
  <c r="O35" i="7"/>
  <c r="G35" i="7"/>
  <c r="E30" i="7"/>
  <c r="F30" i="7"/>
  <c r="H30" i="7"/>
  <c r="E25" i="7"/>
  <c r="G25" i="7"/>
  <c r="H25" i="7"/>
  <c r="H22" i="7"/>
  <c r="C14" i="7"/>
  <c r="E14" i="7"/>
  <c r="L14" i="7"/>
  <c r="F14" i="7"/>
  <c r="M14" i="7"/>
  <c r="E9" i="7"/>
  <c r="M9"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G144" i="6"/>
  <c r="M144" i="6"/>
  <c r="P165" i="5"/>
  <c r="I180" i="7"/>
  <c r="L175" i="7"/>
  <c r="H175" i="7"/>
  <c r="J165" i="7"/>
  <c r="O164" i="7"/>
  <c r="M161" i="7"/>
  <c r="F161" i="7"/>
  <c r="H156" i="7"/>
  <c r="M147" i="7"/>
  <c r="M144" i="7"/>
  <c r="E144" i="7"/>
  <c r="H142" i="7"/>
  <c r="I141" i="7"/>
  <c r="O139" i="7"/>
  <c r="J139" i="7"/>
  <c r="L136" i="7"/>
  <c r="H136" i="7"/>
  <c r="K135" i="7"/>
  <c r="F134" i="7"/>
  <c r="G133" i="7"/>
  <c r="M132" i="7"/>
  <c r="G132" i="7"/>
  <c r="B132" i="7"/>
  <c r="K131" i="7"/>
  <c r="E131" i="7"/>
  <c r="E129" i="7"/>
  <c r="M126" i="7"/>
  <c r="L125" i="7"/>
  <c r="M121" i="7"/>
  <c r="C121" i="7"/>
  <c r="L116" i="7"/>
  <c r="H116" i="7"/>
  <c r="O115" i="7"/>
  <c r="L114" i="7"/>
  <c r="K112" i="7"/>
  <c r="K111" i="7"/>
  <c r="L110" i="7"/>
  <c r="F108" i="7"/>
  <c r="G107" i="7"/>
  <c r="M105" i="7"/>
  <c r="M97" i="7"/>
  <c r="M94" i="7"/>
  <c r="L92" i="7"/>
  <c r="M89" i="7"/>
  <c r="K88" i="7"/>
  <c r="N86" i="7"/>
  <c r="I86" i="7"/>
  <c r="G85" i="7"/>
  <c r="L84" i="7"/>
  <c r="I76" i="7"/>
  <c r="B76" i="7"/>
  <c r="K75" i="7"/>
  <c r="M72" i="7"/>
  <c r="N68" i="7"/>
  <c r="J68" i="7"/>
  <c r="F68" i="7"/>
  <c r="B68" i="7"/>
  <c r="E62" i="7"/>
  <c r="F62" i="7"/>
  <c r="M62" i="7"/>
  <c r="E56" i="7"/>
  <c r="C56" i="7"/>
  <c r="I56" i="7"/>
  <c r="B47" i="7"/>
  <c r="F47" i="7"/>
  <c r="K41" i="7"/>
  <c r="F38" i="7"/>
  <c r="M35" i="7"/>
  <c r="M30" i="7"/>
  <c r="M25" i="7"/>
  <c r="C18" i="7"/>
  <c r="D18" i="7"/>
  <c r="I18" i="7"/>
  <c r="N18" i="7"/>
  <c r="E18" i="7"/>
  <c r="J18" i="7"/>
  <c r="J14" i="7"/>
  <c r="O7" i="7"/>
  <c r="E189" i="6"/>
  <c r="I189" i="6"/>
  <c r="M189" i="6"/>
  <c r="C187" i="6"/>
  <c r="D187" i="6"/>
  <c r="I187" i="6"/>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N151" i="6"/>
  <c r="E151" i="6"/>
  <c r="J151" i="6"/>
  <c r="C143" i="6"/>
  <c r="E143" i="6"/>
  <c r="I143" i="6"/>
  <c r="M143" i="6"/>
  <c r="J131" i="7"/>
  <c r="F59" i="7"/>
  <c r="K59" i="7"/>
  <c r="C49" i="7"/>
  <c r="H49" i="7"/>
  <c r="M49" i="7"/>
  <c r="D49" i="7"/>
  <c r="I49" i="7"/>
  <c r="O49" i="7"/>
  <c r="C45" i="7"/>
  <c r="D45" i="7"/>
  <c r="O45" i="7"/>
  <c r="G45" i="7"/>
  <c r="C43" i="7"/>
  <c r="F43" i="7"/>
  <c r="I43" i="7"/>
  <c r="M38"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L149" i="6"/>
  <c r="K121" i="7"/>
  <c r="M108" i="7"/>
  <c r="M76" i="7"/>
  <c r="L68" i="7"/>
  <c r="H68" i="7"/>
  <c r="D65" i="7"/>
  <c r="E65" i="7"/>
  <c r="L65" i="7"/>
  <c r="C60" i="7"/>
  <c r="I60" i="7"/>
  <c r="B58" i="7"/>
  <c r="F58" i="7"/>
  <c r="L58" i="7"/>
  <c r="C57" i="7"/>
  <c r="K57" i="7"/>
  <c r="E57" i="7"/>
  <c r="L57" i="7"/>
  <c r="B54" i="7"/>
  <c r="H54" i="7"/>
  <c r="M54" i="7"/>
  <c r="D54" i="7"/>
  <c r="I54" i="7"/>
  <c r="N54" i="7"/>
  <c r="C52" i="7"/>
  <c r="D52" i="7"/>
  <c r="I52" i="7"/>
  <c r="N52" i="7"/>
  <c r="E52" i="7"/>
  <c r="J52" i="7"/>
  <c r="K49" i="7"/>
  <c r="E41" i="7"/>
  <c r="C41" i="7"/>
  <c r="M41" i="7"/>
  <c r="G41" i="7"/>
  <c r="D38" i="7"/>
  <c r="I38" i="7"/>
  <c r="N38" i="7"/>
  <c r="E38" i="7"/>
  <c r="J38" i="7"/>
  <c r="M22" i="7"/>
  <c r="E16" i="7"/>
  <c r="M16" i="7"/>
  <c r="C31" i="7"/>
  <c r="D26" i="7"/>
  <c r="M24" i="7"/>
  <c r="O13" i="7"/>
  <c r="C13" i="7"/>
  <c r="M8" i="7"/>
  <c r="H8" i="7"/>
  <c r="B8" i="7"/>
  <c r="I186" i="6"/>
  <c r="M183" i="6"/>
  <c r="H183" i="6"/>
  <c r="B183" i="6"/>
  <c r="N181" i="6"/>
  <c r="J181" i="6"/>
  <c r="F181" i="6"/>
  <c r="K180" i="6"/>
  <c r="C180" i="6"/>
  <c r="N175" i="6"/>
  <c r="D175" i="6"/>
  <c r="F163" i="6"/>
  <c r="M161" i="6"/>
  <c r="H161" i="6"/>
  <c r="B161" i="6"/>
  <c r="L159" i="6"/>
  <c r="I156" i="6"/>
  <c r="I153" i="6"/>
  <c r="N147" i="6"/>
  <c r="D147" i="6"/>
  <c r="K142" i="6"/>
  <c r="H141" i="6"/>
  <c r="O139" i="6"/>
  <c r="G139" i="6"/>
  <c r="N138" i="6"/>
  <c r="C138" i="6"/>
  <c r="H136" i="6"/>
  <c r="F133" i="6"/>
  <c r="J131" i="6"/>
  <c r="E131" i="6"/>
  <c r="N126" i="6"/>
  <c r="L125" i="6"/>
  <c r="F123" i="6"/>
  <c r="M120" i="6"/>
  <c r="O116" i="6"/>
  <c r="L115" i="6"/>
  <c r="K114" i="6"/>
  <c r="M112" i="6"/>
  <c r="H112" i="6"/>
  <c r="M111" i="6"/>
  <c r="G111" i="6"/>
  <c r="C108" i="6"/>
  <c r="I107" i="6"/>
  <c r="G104" i="6"/>
  <c r="K103" i="6"/>
  <c r="C103" i="6"/>
  <c r="M101" i="6"/>
  <c r="H101" i="6"/>
  <c r="O99" i="6"/>
  <c r="I99" i="6"/>
  <c r="D99" i="6"/>
  <c r="F97" i="6"/>
  <c r="G95" i="6"/>
  <c r="J93" i="6"/>
  <c r="E93" i="6"/>
  <c r="O92" i="6"/>
  <c r="L91" i="6"/>
  <c r="L89" i="6"/>
  <c r="K88" i="6"/>
  <c r="L85" i="6"/>
  <c r="E85" i="6"/>
  <c r="K84" i="6"/>
  <c r="H81" i="6"/>
  <c r="E80" i="6"/>
  <c r="I80" i="6"/>
  <c r="L77" i="6"/>
  <c r="E77" i="6"/>
  <c r="K76" i="6"/>
  <c r="D73" i="6"/>
  <c r="F73" i="6"/>
  <c r="M73" i="6"/>
  <c r="E72" i="6"/>
  <c r="C72" i="6"/>
  <c r="O72" i="6"/>
  <c r="I67" i="6"/>
  <c r="F61" i="6"/>
  <c r="I55" i="6"/>
  <c r="F49" i="6"/>
  <c r="E49" i="6"/>
  <c r="H49" i="6"/>
  <c r="O47" i="6"/>
  <c r="J46" i="6"/>
  <c r="J38" i="6"/>
  <c r="M33" i="6"/>
  <c r="M25" i="6"/>
  <c r="E25" i="6"/>
  <c r="M21" i="6"/>
  <c r="E21" i="6"/>
  <c r="M11" i="6"/>
  <c r="F159" i="6"/>
  <c r="I154" i="6"/>
  <c r="E153" i="6"/>
  <c r="F142" i="6"/>
  <c r="E141" i="6"/>
  <c r="M139" i="6"/>
  <c r="E139" i="6"/>
  <c r="F134" i="6"/>
  <c r="N131" i="6"/>
  <c r="I131" i="6"/>
  <c r="D131" i="6"/>
  <c r="L127" i="6"/>
  <c r="K126" i="6"/>
  <c r="L121" i="6"/>
  <c r="L116" i="6"/>
  <c r="F115" i="6"/>
  <c r="G107" i="6"/>
  <c r="H105" i="6"/>
  <c r="M99" i="6"/>
  <c r="H99" i="6"/>
  <c r="M97" i="6"/>
  <c r="B97" i="6"/>
  <c r="O95" i="6"/>
  <c r="D95" i="6"/>
  <c r="N93" i="6"/>
  <c r="I93" i="6"/>
  <c r="D93" i="6"/>
  <c r="K92" i="6"/>
  <c r="G91" i="6"/>
  <c r="H89" i="6"/>
  <c r="J85" i="6"/>
  <c r="F81" i="6"/>
  <c r="C79" i="6"/>
  <c r="I79" i="6"/>
  <c r="J77" i="6"/>
  <c r="C75" i="6"/>
  <c r="I75" i="6"/>
  <c r="E71" i="6"/>
  <c r="I71" i="6"/>
  <c r="G68" i="6"/>
  <c r="C68" i="6"/>
  <c r="G67" i="6"/>
  <c r="C63" i="6"/>
  <c r="E63" i="6"/>
  <c r="C59" i="6"/>
  <c r="B59" i="6"/>
  <c r="H59" i="6"/>
  <c r="M59" i="6"/>
  <c r="D59" i="6"/>
  <c r="I59" i="6"/>
  <c r="N59" i="6"/>
  <c r="D57" i="6"/>
  <c r="L57" i="6"/>
  <c r="G55" i="6"/>
  <c r="L47" i="6"/>
  <c r="B43" i="6"/>
  <c r="F43" i="6"/>
  <c r="I43" i="6"/>
  <c r="E35" i="6"/>
  <c r="G35" i="6"/>
  <c r="O35" i="6"/>
  <c r="I35" i="6"/>
  <c r="J33" i="6"/>
  <c r="L25" i="6"/>
  <c r="L21" i="6"/>
  <c r="E19" i="6"/>
  <c r="H19" i="6"/>
  <c r="H14" i="6"/>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C92" i="6"/>
  <c r="E89" i="6"/>
  <c r="B85" i="6"/>
  <c r="H85" i="6"/>
  <c r="M85" i="6"/>
  <c r="G84" i="6"/>
  <c r="I84" i="6"/>
  <c r="M81" i="6"/>
  <c r="B77" i="6"/>
  <c r="H77" i="6"/>
  <c r="M77" i="6"/>
  <c r="G76" i="6"/>
  <c r="I76" i="6"/>
  <c r="O67" i="6"/>
  <c r="D64" i="6"/>
  <c r="G64" i="6"/>
  <c r="K62" i="6"/>
  <c r="N55" i="6"/>
  <c r="E46" i="6"/>
  <c r="C46" i="6"/>
  <c r="N46" i="6"/>
  <c r="F46" i="6"/>
  <c r="O46" i="6"/>
  <c r="F38" i="6"/>
  <c r="O38" i="6"/>
  <c r="G38" i="6"/>
  <c r="I28" i="6"/>
  <c r="L26" i="6"/>
  <c r="B25" i="6"/>
  <c r="F25" i="6"/>
  <c r="J25" i="6"/>
  <c r="N25" i="6"/>
  <c r="C25" i="6"/>
  <c r="G25" i="6"/>
  <c r="K25" i="6"/>
  <c r="O25" i="6"/>
  <c r="L22" i="6"/>
  <c r="B21" i="6"/>
  <c r="F21" i="6"/>
  <c r="J21" i="6"/>
  <c r="N21" i="6"/>
  <c r="C21" i="6"/>
  <c r="G21" i="6"/>
  <c r="K21" i="6"/>
  <c r="O21" i="6"/>
  <c r="C189" i="10"/>
  <c r="K189" i="10"/>
  <c r="E189" i="10"/>
  <c r="M189" i="10"/>
  <c r="G189" i="10"/>
  <c r="O189" i="10"/>
  <c r="D81" i="6"/>
  <c r="B81" i="6"/>
  <c r="J81" i="6"/>
  <c r="C67" i="6"/>
  <c r="K67" i="6"/>
  <c r="C55" i="6"/>
  <c r="E55" i="6"/>
  <c r="J55" i="6"/>
  <c r="O55" i="6"/>
  <c r="F55" i="6"/>
  <c r="K55" i="6"/>
  <c r="C47" i="6"/>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71" i="3"/>
  <c r="K28" i="3"/>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C32" i="5"/>
  <c r="K30" i="5"/>
  <c r="N29" i="5"/>
  <c r="O28" i="5"/>
  <c r="C28" i="5"/>
  <c r="K26" i="5"/>
  <c r="N25" i="5"/>
  <c r="O24" i="5"/>
  <c r="C24" i="5"/>
  <c r="K22" i="5"/>
  <c r="N21" i="5"/>
  <c r="O20" i="5"/>
  <c r="C20" i="5"/>
  <c r="K18" i="5"/>
  <c r="N17" i="5"/>
  <c r="O16" i="5"/>
  <c r="C16" i="5"/>
  <c r="K14" i="5"/>
  <c r="N13" i="5"/>
  <c r="O12" i="5"/>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H52" i="3"/>
  <c r="I160" i="5"/>
  <c r="N159" i="5"/>
  <c r="N155" i="5"/>
  <c r="I150" i="5"/>
  <c r="N143" i="5"/>
  <c r="O137" i="5"/>
  <c r="C135" i="5"/>
  <c r="I134" i="5"/>
  <c r="N127" i="5"/>
  <c r="O121" i="5"/>
  <c r="C119" i="5"/>
  <c r="I118" i="5"/>
  <c r="N111" i="5"/>
  <c r="N108" i="5"/>
  <c r="N107" i="5"/>
  <c r="N104" i="5"/>
  <c r="N103" i="5"/>
  <c r="N100" i="5"/>
  <c r="N99" i="5"/>
  <c r="N96" i="5"/>
  <c r="N95" i="5"/>
  <c r="N92" i="5"/>
  <c r="N91" i="5"/>
  <c r="N88" i="5"/>
  <c r="N87" i="5"/>
  <c r="N84" i="5"/>
  <c r="N83" i="5"/>
  <c r="N80" i="5"/>
  <c r="N79" i="5"/>
  <c r="N76" i="5"/>
  <c r="N75" i="5"/>
  <c r="N72" i="5"/>
  <c r="N71" i="5"/>
  <c r="N68" i="5"/>
  <c r="N67" i="5"/>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G177" i="14"/>
  <c r="D172" i="14"/>
  <c r="B172" i="14"/>
  <c r="G172" i="14" s="1"/>
  <c r="B169" i="14"/>
  <c r="G169" i="14" s="1"/>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G137" i="14"/>
  <c r="C128" i="14"/>
  <c r="E128" i="14"/>
  <c r="C27" i="13"/>
  <c r="B27" i="13"/>
  <c r="C7" i="13"/>
  <c r="E7" i="13"/>
  <c r="G176" i="14"/>
  <c r="D165" i="14"/>
  <c r="F165" i="14"/>
  <c r="F131" i="14"/>
  <c r="E103" i="14"/>
  <c r="D99" i="14"/>
  <c r="C97" i="14"/>
  <c r="E91" i="14"/>
  <c r="E89" i="14"/>
  <c r="D77" i="14"/>
  <c r="D73" i="14"/>
  <c r="D69" i="14"/>
  <c r="D65" i="14"/>
  <c r="D61" i="14"/>
  <c r="C57" i="14"/>
  <c r="D49" i="14"/>
  <c r="E35" i="14"/>
  <c r="G33" i="14"/>
  <c r="D27" i="14"/>
  <c r="C25" i="14"/>
  <c r="D19" i="14"/>
  <c r="C17" i="14"/>
  <c r="E157" i="14"/>
  <c r="E153" i="14"/>
  <c r="D137" i="14"/>
  <c r="D129" i="14"/>
  <c r="D127" i="14"/>
  <c r="F123" i="14"/>
  <c r="F119" i="14"/>
  <c r="E111" i="14"/>
  <c r="D109" i="14"/>
  <c r="B103" i="14"/>
  <c r="G103" i="14" s="1"/>
  <c r="B99" i="14"/>
  <c r="F97" i="14"/>
  <c r="B97" i="14"/>
  <c r="G97" i="14" s="1"/>
  <c r="B91" i="14"/>
  <c r="G91" i="14" s="1"/>
  <c r="C89" i="14"/>
  <c r="E87" i="14"/>
  <c r="E79" i="14"/>
  <c r="B77" i="14"/>
  <c r="E75" i="14"/>
  <c r="G75" i="14" s="1"/>
  <c r="B73" i="14"/>
  <c r="E71" i="14"/>
  <c r="B69" i="14"/>
  <c r="E67" i="14"/>
  <c r="B65" i="14"/>
  <c r="E63" i="14"/>
  <c r="B61" i="14"/>
  <c r="F57" i="14"/>
  <c r="B57" i="14"/>
  <c r="G57" i="14" s="1"/>
  <c r="B49" i="14"/>
  <c r="D41" i="14"/>
  <c r="B35" i="14"/>
  <c r="G35" i="14" s="1"/>
  <c r="D31" i="14"/>
  <c r="B27" i="14"/>
  <c r="F25" i="14"/>
  <c r="B25" i="14"/>
  <c r="G25" i="14" s="1"/>
  <c r="E23" i="14"/>
  <c r="E21" i="14"/>
  <c r="B19" i="14"/>
  <c r="F17" i="14"/>
  <c r="B17" i="14"/>
  <c r="G17" i="14" s="1"/>
  <c r="E11" i="14"/>
  <c r="E10" i="14"/>
  <c r="D9" i="14"/>
  <c r="E8" i="14"/>
  <c r="D7" i="14"/>
  <c r="G87" i="14"/>
  <c r="G79" i="14"/>
  <c r="G71" i="14"/>
  <c r="G67" i="14"/>
  <c r="G63" i="14"/>
  <c r="G23" i="14"/>
  <c r="G148" i="14"/>
  <c r="F129" i="14"/>
  <c r="B123" i="14"/>
  <c r="B119" i="14"/>
  <c r="G119" i="14" s="1"/>
  <c r="B111" i="14"/>
  <c r="G111" i="14" s="1"/>
  <c r="F109" i="14"/>
  <c r="F103" i="14"/>
  <c r="E99" i="14"/>
  <c r="E96" i="14"/>
  <c r="F91" i="14"/>
  <c r="E77" i="14"/>
  <c r="E73" i="14"/>
  <c r="E69" i="14"/>
  <c r="E65" i="14"/>
  <c r="E61" i="14"/>
  <c r="F56" i="14"/>
  <c r="E49" i="14"/>
  <c r="F48" i="14"/>
  <c r="F41" i="14"/>
  <c r="F35" i="14"/>
  <c r="E34" i="14"/>
  <c r="E27" i="14"/>
  <c r="E26" i="14"/>
  <c r="E19" i="14"/>
  <c r="E18" i="14"/>
  <c r="E16" i="14"/>
  <c r="B11" i="14"/>
  <c r="F9" i="14"/>
  <c r="C183" i="2"/>
  <c r="I183" i="2"/>
  <c r="E183" i="2"/>
  <c r="Q183" i="2"/>
  <c r="B183" i="2"/>
  <c r="H183" i="2"/>
  <c r="J183" i="2" s="1"/>
  <c r="K183" i="2" s="1"/>
  <c r="M183" i="2"/>
  <c r="D183" i="2"/>
  <c r="P183" i="2"/>
  <c r="C179" i="2"/>
  <c r="D179" i="2"/>
  <c r="L179" i="2"/>
  <c r="Q179" i="2"/>
  <c r="E179" i="2"/>
  <c r="M179" i="2"/>
  <c r="R179" i="2"/>
  <c r="B179" i="2"/>
  <c r="I179" i="2"/>
  <c r="P179" i="2"/>
  <c r="F175" i="2"/>
  <c r="G173" i="2"/>
  <c r="F173" i="2"/>
  <c r="G136" i="2"/>
  <c r="G96" i="2"/>
  <c r="F96" i="2"/>
  <c r="C185" i="2"/>
  <c r="D185" i="2"/>
  <c r="G185" i="2" s="1"/>
  <c r="P185" i="2"/>
  <c r="B185" i="2"/>
  <c r="H185" i="2"/>
  <c r="M185" i="2"/>
  <c r="N185" i="2" s="1"/>
  <c r="O185" i="2" s="1"/>
  <c r="R185" i="2"/>
  <c r="I185" i="2"/>
  <c r="S185" i="2"/>
  <c r="G128" i="2"/>
  <c r="F128" i="2"/>
  <c r="D193" i="2"/>
  <c r="G193" i="2" s="1"/>
  <c r="P193" i="2"/>
  <c r="B193" i="2"/>
  <c r="H193" i="2"/>
  <c r="M193" i="2"/>
  <c r="R193" i="2"/>
  <c r="C193" i="2"/>
  <c r="I193" i="2"/>
  <c r="S193" i="2"/>
  <c r="J191" i="2"/>
  <c r="K191" i="2" s="1"/>
  <c r="R183" i="2"/>
  <c r="C180" i="2"/>
  <c r="Q180" i="2"/>
  <c r="I180" i="2"/>
  <c r="L193" i="2"/>
  <c r="N193" i="2" s="1"/>
  <c r="O193" i="2" s="1"/>
  <c r="F191" i="2"/>
  <c r="G189" i="2"/>
  <c r="F189" i="2"/>
  <c r="Q185" i="2"/>
  <c r="L183" i="2"/>
  <c r="G163" i="2"/>
  <c r="G147" i="2"/>
  <c r="F147" i="2"/>
  <c r="J179" i="2"/>
  <c r="K179" i="2" s="1"/>
  <c r="G104" i="2"/>
  <c r="F40" i="2"/>
  <c r="E167" i="2"/>
  <c r="J3" i="21" s="1"/>
  <c r="R181" i="2"/>
  <c r="Q171" i="2"/>
  <c r="L171" i="2"/>
  <c r="E171" i="2"/>
  <c r="Q167" i="2"/>
  <c r="L167" i="2"/>
  <c r="N167" i="2" s="1"/>
  <c r="O167" i="2" s="1"/>
  <c r="D167" i="2"/>
  <c r="L159" i="2"/>
  <c r="N159" i="2" s="1"/>
  <c r="O159" i="2" s="1"/>
  <c r="D159" i="2"/>
  <c r="G159" i="2" s="1"/>
  <c r="M192" i="2"/>
  <c r="N191" i="2"/>
  <c r="O191" i="2" s="1"/>
  <c r="E177" i="2"/>
  <c r="G177" i="2" s="1"/>
  <c r="I174" i="2"/>
  <c r="P171" i="2"/>
  <c r="D171" i="2"/>
  <c r="C167" i="2"/>
  <c r="H3" i="21" s="1"/>
  <c r="P159" i="2"/>
  <c r="C159" i="2"/>
  <c r="Q158" i="2"/>
  <c r="Q157" i="2"/>
  <c r="P155" i="2"/>
  <c r="I155" i="2"/>
  <c r="D155" i="2"/>
  <c r="P151" i="2"/>
  <c r="C151" i="2"/>
  <c r="Q150" i="2"/>
  <c r="Q149" i="2"/>
  <c r="L141" i="2"/>
  <c r="Q191" i="2"/>
  <c r="E191" i="2"/>
  <c r="G191" i="2" s="1"/>
  <c r="S190" i="2"/>
  <c r="E190" i="2"/>
  <c r="N189" i="2"/>
  <c r="O189" i="2" s="1"/>
  <c r="R187" i="2"/>
  <c r="M187" i="2"/>
  <c r="N187" i="2" s="1"/>
  <c r="O187" i="2" s="1"/>
  <c r="E187" i="2"/>
  <c r="G187" i="2" s="1"/>
  <c r="Q186" i="2"/>
  <c r="P181" i="2"/>
  <c r="H181" i="2"/>
  <c r="C181" i="2"/>
  <c r="F181" i="2" s="1"/>
  <c r="P177" i="2"/>
  <c r="S176" i="2"/>
  <c r="E176" i="2"/>
  <c r="Q175" i="2"/>
  <c r="E175" i="2"/>
  <c r="G175" i="2" s="1"/>
  <c r="S174" i="2"/>
  <c r="N173" i="2"/>
  <c r="O173" i="2" s="1"/>
  <c r="S171" i="2"/>
  <c r="I171" i="2"/>
  <c r="B171" i="2"/>
  <c r="L169" i="2"/>
  <c r="L168" i="2"/>
  <c r="S167" i="2"/>
  <c r="H167" i="2"/>
  <c r="B3" i="21" s="1"/>
  <c r="B167" i="2"/>
  <c r="I166" i="2"/>
  <c r="L165" i="2"/>
  <c r="S163" i="2"/>
  <c r="M163" i="2"/>
  <c r="N163" i="2" s="1"/>
  <c r="O163" i="2" s="1"/>
  <c r="H163" i="2"/>
  <c r="C163" i="2"/>
  <c r="F163" i="2" s="1"/>
  <c r="L161" i="2"/>
  <c r="L160" i="2"/>
  <c r="S159" i="2"/>
  <c r="H159" i="2"/>
  <c r="J159" i="2" s="1"/>
  <c r="K159" i="2" s="1"/>
  <c r="B159" i="2"/>
  <c r="L157" i="2"/>
  <c r="S155" i="2"/>
  <c r="M155" i="2"/>
  <c r="H155" i="2"/>
  <c r="J155" i="2" s="1"/>
  <c r="K155" i="2" s="1"/>
  <c r="C155" i="2"/>
  <c r="L153" i="2"/>
  <c r="L152" i="2"/>
  <c r="S151" i="2"/>
  <c r="H151" i="2"/>
  <c r="J151" i="2" s="1"/>
  <c r="K151" i="2" s="1"/>
  <c r="B151" i="2"/>
  <c r="L149" i="2"/>
  <c r="P147" i="2"/>
  <c r="I147" i="2"/>
  <c r="J147" i="2" s="1"/>
  <c r="K147" i="2" s="1"/>
  <c r="I141" i="2"/>
  <c r="P136" i="2"/>
  <c r="H136" i="2"/>
  <c r="C136" i="2"/>
  <c r="F136" i="2" s="1"/>
  <c r="C135" i="2"/>
  <c r="L133" i="2"/>
  <c r="R132" i="2"/>
  <c r="M132" i="2"/>
  <c r="H132" i="2"/>
  <c r="B132" i="2"/>
  <c r="D130" i="2"/>
  <c r="D129" i="2"/>
  <c r="Q128" i="2"/>
  <c r="I128" i="2"/>
  <c r="Q127" i="2"/>
  <c r="S124" i="2"/>
  <c r="I124" i="2"/>
  <c r="J124" i="2" s="1"/>
  <c r="K124" i="2" s="1"/>
  <c r="C124" i="2"/>
  <c r="I123" i="2"/>
  <c r="I122" i="2"/>
  <c r="L121" i="2"/>
  <c r="N120" i="2"/>
  <c r="O120" i="2" s="1"/>
  <c r="L118" i="2"/>
  <c r="P116" i="2"/>
  <c r="S115" i="2"/>
  <c r="Q113" i="2"/>
  <c r="S112" i="2"/>
  <c r="M112" i="2"/>
  <c r="B112" i="2"/>
  <c r="I109" i="2"/>
  <c r="P104" i="2"/>
  <c r="H104" i="2"/>
  <c r="C104" i="2"/>
  <c r="F104" i="2" s="1"/>
  <c r="C103" i="2"/>
  <c r="L101" i="2"/>
  <c r="R100" i="2"/>
  <c r="M100" i="2"/>
  <c r="N100" i="2" s="1"/>
  <c r="O100" i="2" s="1"/>
  <c r="H100" i="2"/>
  <c r="B100" i="2"/>
  <c r="D98" i="2"/>
  <c r="D97" i="2"/>
  <c r="Q96" i="2"/>
  <c r="I96" i="2"/>
  <c r="Q95" i="2"/>
  <c r="S92" i="2"/>
  <c r="I92" i="2"/>
  <c r="J92" i="2" s="1"/>
  <c r="K92" i="2" s="1"/>
  <c r="C92" i="2"/>
  <c r="I91" i="2"/>
  <c r="I90" i="2"/>
  <c r="L89" i="2"/>
  <c r="N88" i="2"/>
  <c r="O88" i="2" s="1"/>
  <c r="L86" i="2"/>
  <c r="P84" i="2"/>
  <c r="S83" i="2"/>
  <c r="Q81" i="2"/>
  <c r="S80" i="2"/>
  <c r="M80" i="2"/>
  <c r="B80" i="2"/>
  <c r="I77" i="2"/>
  <c r="Q74" i="2"/>
  <c r="J72" i="2"/>
  <c r="K72" i="2" s="1"/>
  <c r="B72" i="2"/>
  <c r="M72" i="2"/>
  <c r="S72" i="2"/>
  <c r="L70" i="2"/>
  <c r="I67" i="2"/>
  <c r="R64" i="2"/>
  <c r="I64" i="2"/>
  <c r="L62" i="2"/>
  <c r="S60" i="2"/>
  <c r="L60" i="2"/>
  <c r="I58" i="2"/>
  <c r="I57" i="2"/>
  <c r="D57" i="2"/>
  <c r="M56" i="2"/>
  <c r="L53" i="2"/>
  <c r="Q52" i="2"/>
  <c r="Q50" i="2"/>
  <c r="D46" i="2"/>
  <c r="L46" i="2"/>
  <c r="S44" i="2"/>
  <c r="M44" i="2"/>
  <c r="N44" i="2" s="1"/>
  <c r="O44" i="2" s="1"/>
  <c r="D42" i="2"/>
  <c r="I41" i="2"/>
  <c r="Q41" i="2"/>
  <c r="L40" i="2"/>
  <c r="M32" i="2"/>
  <c r="B28" i="2"/>
  <c r="H28" i="2"/>
  <c r="J28" i="2" s="1"/>
  <c r="K28" i="2" s="1"/>
  <c r="M28" i="2"/>
  <c r="N28" i="2" s="1"/>
  <c r="O28" i="2" s="1"/>
  <c r="R28" i="2"/>
  <c r="Q26" i="2"/>
  <c r="R24" i="2"/>
  <c r="H24" i="2"/>
  <c r="D20" i="2"/>
  <c r="I20" i="2"/>
  <c r="J20" i="2" s="1"/>
  <c r="K20" i="2" s="1"/>
  <c r="S20" i="2"/>
  <c r="J16" i="2"/>
  <c r="K16" i="2" s="1"/>
  <c r="Q12" i="2"/>
  <c r="C6" i="3"/>
  <c r="H10" i="2"/>
  <c r="B188" i="3"/>
  <c r="I188" i="3"/>
  <c r="K188" i="3" s="1"/>
  <c r="O188" i="3"/>
  <c r="K187" i="3"/>
  <c r="P186" i="3"/>
  <c r="B182" i="3"/>
  <c r="D182" i="3"/>
  <c r="M182" i="3"/>
  <c r="M179" i="3"/>
  <c r="K175"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E154" i="3"/>
  <c r="J152" i="3"/>
  <c r="P151" i="3"/>
  <c r="J151" i="3"/>
  <c r="K151" i="3" s="1"/>
  <c r="M150" i="3"/>
  <c r="B148" i="3"/>
  <c r="I148" i="3"/>
  <c r="M147" i="3"/>
  <c r="P146" i="3"/>
  <c r="C143" i="3"/>
  <c r="I143" i="3"/>
  <c r="K143" i="3" s="1"/>
  <c r="N143" i="3"/>
  <c r="P139" i="3"/>
  <c r="J139" i="3"/>
  <c r="M138" i="3"/>
  <c r="D137" i="3"/>
  <c r="Q137" i="3"/>
  <c r="Q134" i="3"/>
  <c r="L131" i="3"/>
  <c r="P130" i="3"/>
  <c r="N129" i="3"/>
  <c r="M127" i="3"/>
  <c r="B126" i="3"/>
  <c r="C126" i="3"/>
  <c r="O126" i="3"/>
  <c r="O123" i="3"/>
  <c r="M116" i="3"/>
  <c r="D115" i="3"/>
  <c r="O115" i="3"/>
  <c r="G115" i="3"/>
  <c r="Q115" i="3"/>
  <c r="B114" i="3"/>
  <c r="M114" i="3"/>
  <c r="F114" i="3"/>
  <c r="P114" i="3"/>
  <c r="K112" i="3"/>
  <c r="Q111" i="3"/>
  <c r="D110" i="3"/>
  <c r="N110" i="3"/>
  <c r="F110" i="3"/>
  <c r="Q110" i="3"/>
  <c r="B109" i="3"/>
  <c r="M109" i="3"/>
  <c r="F109" i="3"/>
  <c r="O109" i="3"/>
  <c r="G107" i="3"/>
  <c r="L107" i="3"/>
  <c r="D88" i="3"/>
  <c r="J88" i="3"/>
  <c r="O88" i="3"/>
  <c r="B88" i="3"/>
  <c r="G88" i="3"/>
  <c r="M88" i="3"/>
  <c r="Q88" i="3"/>
  <c r="C88" i="3"/>
  <c r="I88" i="3"/>
  <c r="N88" i="3"/>
  <c r="D84" i="3"/>
  <c r="J84" i="3"/>
  <c r="O84" i="3"/>
  <c r="B84" i="3"/>
  <c r="G84" i="3"/>
  <c r="M84" i="3"/>
  <c r="Q84" i="3"/>
  <c r="C84" i="3"/>
  <c r="I84" i="3"/>
  <c r="N84" i="3"/>
  <c r="H171" i="2"/>
  <c r="J171" i="2" s="1"/>
  <c r="K171" i="2" s="1"/>
  <c r="Q132" i="2"/>
  <c r="L132" i="2"/>
  <c r="N132" i="2" s="1"/>
  <c r="O132" i="2" s="1"/>
  <c r="E132" i="2"/>
  <c r="Q130" i="2"/>
  <c r="J128" i="2"/>
  <c r="K128" i="2" s="1"/>
  <c r="N112" i="2"/>
  <c r="O112" i="2" s="1"/>
  <c r="J96" i="2"/>
  <c r="K96" i="2" s="1"/>
  <c r="N80" i="2"/>
  <c r="O80" i="2" s="1"/>
  <c r="C64" i="2"/>
  <c r="H64" i="2"/>
  <c r="J64" i="2" s="1"/>
  <c r="K64" i="2" s="1"/>
  <c r="P64" i="2"/>
  <c r="N56" i="2"/>
  <c r="O56" i="2" s="1"/>
  <c r="I55" i="2"/>
  <c r="Q55" i="2"/>
  <c r="C52" i="2"/>
  <c r="I52" i="2"/>
  <c r="J52" i="2" s="1"/>
  <c r="K52" i="2" s="1"/>
  <c r="S52" i="2"/>
  <c r="C43" i="2"/>
  <c r="S43" i="2"/>
  <c r="D37" i="2"/>
  <c r="I37" i="2"/>
  <c r="N32" i="2"/>
  <c r="O32" i="2" s="1"/>
  <c r="G32" i="2"/>
  <c r="I31" i="2"/>
  <c r="C31" i="2"/>
  <c r="D29" i="2"/>
  <c r="L29" i="2"/>
  <c r="D24" i="2"/>
  <c r="I24" i="2"/>
  <c r="Q24" i="2"/>
  <c r="D185" i="3"/>
  <c r="M185" i="3"/>
  <c r="D181" i="3"/>
  <c r="P181" i="3"/>
  <c r="H175"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E130" i="3"/>
  <c r="B123" i="3"/>
  <c r="G123" i="3"/>
  <c r="M123" i="3"/>
  <c r="Q123" i="3"/>
  <c r="C123" i="3"/>
  <c r="I123" i="3"/>
  <c r="N123" i="3"/>
  <c r="C116" i="3"/>
  <c r="I116" i="3"/>
  <c r="N116" i="3"/>
  <c r="D116" i="3"/>
  <c r="J116" i="3"/>
  <c r="O116" i="3"/>
  <c r="D111" i="3"/>
  <c r="E111" i="3" s="1"/>
  <c r="M111" i="3"/>
  <c r="G111" i="3"/>
  <c r="O111" i="3"/>
  <c r="D100" i="3"/>
  <c r="J100" i="3"/>
  <c r="O100" i="3"/>
  <c r="B100" i="3"/>
  <c r="G100" i="3"/>
  <c r="H100" i="3" s="1"/>
  <c r="M100" i="3"/>
  <c r="Q100" i="3"/>
  <c r="C100" i="3"/>
  <c r="I100" i="3"/>
  <c r="N100" i="3"/>
  <c r="N155" i="2"/>
  <c r="O155" i="2" s="1"/>
  <c r="J189" i="2"/>
  <c r="K189" i="2" s="1"/>
  <c r="M176" i="2"/>
  <c r="J173" i="2"/>
  <c r="K173" i="2" s="1"/>
  <c r="Q159" i="2"/>
  <c r="Q151" i="2"/>
  <c r="L151" i="2"/>
  <c r="D151" i="2"/>
  <c r="N136" i="2"/>
  <c r="O136" i="2" s="1"/>
  <c r="P132" i="2"/>
  <c r="D132" i="2"/>
  <c r="G132" i="2" s="1"/>
  <c r="L130" i="2"/>
  <c r="Q129" i="2"/>
  <c r="J120" i="2"/>
  <c r="K120" i="2" s="1"/>
  <c r="Q112" i="2"/>
  <c r="I112" i="2"/>
  <c r="D112" i="2"/>
  <c r="N104" i="2"/>
  <c r="O104" i="2" s="1"/>
  <c r="P100" i="2"/>
  <c r="D100" i="2"/>
  <c r="G100" i="2" s="1"/>
  <c r="L98" i="2"/>
  <c r="Q97" i="2"/>
  <c r="J88" i="2"/>
  <c r="K88" i="2" s="1"/>
  <c r="Q80" i="2"/>
  <c r="I80" i="2"/>
  <c r="D80" i="2"/>
  <c r="I73" i="2"/>
  <c r="Q73" i="2"/>
  <c r="N72" i="2"/>
  <c r="O72" i="2" s="1"/>
  <c r="G72" i="2"/>
  <c r="F72" i="2"/>
  <c r="M64" i="2"/>
  <c r="E64" i="2"/>
  <c r="B60" i="2"/>
  <c r="H60" i="2"/>
  <c r="J60" i="2" s="1"/>
  <c r="K60" i="2" s="1"/>
  <c r="M60" i="2"/>
  <c r="R60" i="2"/>
  <c r="Q58" i="2"/>
  <c r="M52" i="2"/>
  <c r="E52" i="2"/>
  <c r="I49" i="2"/>
  <c r="L49" i="2"/>
  <c r="J48" i="2"/>
  <c r="K48" i="2" s="1"/>
  <c r="Q42" i="2"/>
  <c r="J40" i="2"/>
  <c r="K40" i="2" s="1"/>
  <c r="B40" i="2"/>
  <c r="M40" i="2"/>
  <c r="S40" i="2"/>
  <c r="G28" i="2"/>
  <c r="I25" i="2"/>
  <c r="D25" i="2"/>
  <c r="M24" i="2"/>
  <c r="E24" i="2"/>
  <c r="C13" i="2"/>
  <c r="I13" i="2"/>
  <c r="C12" i="2"/>
  <c r="F12" i="2" s="1"/>
  <c r="H12" i="2"/>
  <c r="J12" i="2" s="1"/>
  <c r="K12" i="2" s="1"/>
  <c r="M12" i="2"/>
  <c r="R12" i="2"/>
  <c r="B186" i="3"/>
  <c r="D186" i="3"/>
  <c r="M186" i="3"/>
  <c r="B184" i="3"/>
  <c r="N184" i="3"/>
  <c r="K183" i="3"/>
  <c r="E183" i="3"/>
  <c r="M181" i="3"/>
  <c r="I176" i="3"/>
  <c r="Q176" i="3"/>
  <c r="M173" i="3"/>
  <c r="B170" i="3"/>
  <c r="D170" i="3"/>
  <c r="E170" i="3" s="1"/>
  <c r="M170" i="3"/>
  <c r="B168" i="3"/>
  <c r="N168" i="3"/>
  <c r="M167" i="3"/>
  <c r="F167" i="3"/>
  <c r="D161" i="3"/>
  <c r="Q161" i="3"/>
  <c r="D159" i="3"/>
  <c r="E159" i="3" s="1"/>
  <c r="J159" i="3"/>
  <c r="K159" i="3" s="1"/>
  <c r="O159" i="3"/>
  <c r="I158" i="3"/>
  <c r="N151" i="3"/>
  <c r="F151" i="3"/>
  <c r="Q150" i="3"/>
  <c r="I150" i="3"/>
  <c r="I149" i="3"/>
  <c r="Q149" i="3"/>
  <c r="B146" i="3"/>
  <c r="C146" i="3"/>
  <c r="E146" i="3" s="1"/>
  <c r="L146" i="3"/>
  <c r="Q146" i="3"/>
  <c r="N139" i="3"/>
  <c r="F139" i="3"/>
  <c r="Q138" i="3"/>
  <c r="I138" i="3"/>
  <c r="J136" i="3"/>
  <c r="B131" i="3"/>
  <c r="G131" i="3"/>
  <c r="M131" i="3"/>
  <c r="Q131" i="3"/>
  <c r="B130" i="3"/>
  <c r="G130" i="3"/>
  <c r="O130" i="3"/>
  <c r="C129" i="3"/>
  <c r="D129" i="3"/>
  <c r="L129" i="3"/>
  <c r="Q129" i="3"/>
  <c r="J123" i="3"/>
  <c r="K123" i="3" s="1"/>
  <c r="Q116" i="3"/>
  <c r="G116" i="3"/>
  <c r="L111" i="3"/>
  <c r="P100" i="3"/>
  <c r="L88" i="3"/>
  <c r="D80" i="3"/>
  <c r="J80" i="3"/>
  <c r="O80" i="3"/>
  <c r="B80" i="3"/>
  <c r="G80" i="3"/>
  <c r="M80" i="3"/>
  <c r="Q80" i="3"/>
  <c r="C80" i="3"/>
  <c r="I80" i="3"/>
  <c r="N80" i="3"/>
  <c r="M171" i="2"/>
  <c r="R151" i="2"/>
  <c r="M151" i="2"/>
  <c r="E151" i="2"/>
  <c r="L181" i="2"/>
  <c r="N181" i="2" s="1"/>
  <c r="O181" i="2" s="1"/>
  <c r="E181" i="2"/>
  <c r="G181" i="2" s="1"/>
  <c r="Q155" i="2"/>
  <c r="N147" i="2"/>
  <c r="O147" i="2" s="1"/>
  <c r="H187" i="2"/>
  <c r="J187" i="2" s="1"/>
  <c r="K187" i="2" s="1"/>
  <c r="Q181" i="2"/>
  <c r="I181" i="2"/>
  <c r="N175" i="2"/>
  <c r="O175" i="2" s="1"/>
  <c r="P167" i="2"/>
  <c r="D3" i="21" s="1"/>
  <c r="Q165" i="2"/>
  <c r="P163" i="2"/>
  <c r="I163" i="2"/>
  <c r="Q136" i="2"/>
  <c r="I136" i="2"/>
  <c r="Q135" i="2"/>
  <c r="S132" i="2"/>
  <c r="I132" i="2"/>
  <c r="L129" i="2"/>
  <c r="N128" i="2"/>
  <c r="O128" i="2" s="1"/>
  <c r="P124" i="2"/>
  <c r="S123" i="2"/>
  <c r="Q121" i="2"/>
  <c r="F120" i="2"/>
  <c r="P112" i="2"/>
  <c r="H112" i="2"/>
  <c r="J112" i="2" s="1"/>
  <c r="K112" i="2" s="1"/>
  <c r="L109" i="2"/>
  <c r="Q104" i="2"/>
  <c r="I104" i="2"/>
  <c r="Q103" i="2"/>
  <c r="S100" i="2"/>
  <c r="I100" i="2"/>
  <c r="L97" i="2"/>
  <c r="N96" i="2"/>
  <c r="O96" i="2" s="1"/>
  <c r="P92" i="2"/>
  <c r="S91" i="2"/>
  <c r="Q89" i="2"/>
  <c r="F88" i="2"/>
  <c r="P80" i="2"/>
  <c r="H80" i="2"/>
  <c r="J80" i="2" s="1"/>
  <c r="K80" i="2" s="1"/>
  <c r="L77" i="2"/>
  <c r="D69" i="2"/>
  <c r="I69" i="2"/>
  <c r="S67" i="2"/>
  <c r="S64" i="2"/>
  <c r="L64" i="2"/>
  <c r="N64" i="2" s="1"/>
  <c r="O64" i="2" s="1"/>
  <c r="D64" i="2"/>
  <c r="I63" i="2"/>
  <c r="C63" i="2"/>
  <c r="D61" i="2"/>
  <c r="L61" i="2"/>
  <c r="E60" i="2"/>
  <c r="G60" i="2" s="1"/>
  <c r="L58" i="2"/>
  <c r="D56" i="2"/>
  <c r="I56" i="2"/>
  <c r="J56" i="2" s="1"/>
  <c r="K56" i="2" s="1"/>
  <c r="Q56" i="2"/>
  <c r="R52" i="2"/>
  <c r="L52" i="2"/>
  <c r="N52" i="2" s="1"/>
  <c r="O52" i="2" s="1"/>
  <c r="D52" i="2"/>
  <c r="G52" i="2" s="1"/>
  <c r="C51" i="2"/>
  <c r="I51" i="2"/>
  <c r="F48" i="2"/>
  <c r="J44" i="2"/>
  <c r="K44" i="2" s="1"/>
  <c r="D44" i="2"/>
  <c r="G44" i="2" s="1"/>
  <c r="P44" i="2"/>
  <c r="I42" i="2"/>
  <c r="P40" i="2"/>
  <c r="E40" i="2"/>
  <c r="G40" i="2" s="1"/>
  <c r="C32" i="2"/>
  <c r="F32" i="2" s="1"/>
  <c r="H32" i="2"/>
  <c r="J32" i="2" s="1"/>
  <c r="K32" i="2" s="1"/>
  <c r="P32" i="2"/>
  <c r="S24" i="2"/>
  <c r="L24" i="2"/>
  <c r="N24" i="2" s="1"/>
  <c r="O24" i="2" s="1"/>
  <c r="C24" i="2"/>
  <c r="Q13" i="2"/>
  <c r="S12" i="2"/>
  <c r="L12" i="2"/>
  <c r="N12" i="2" s="1"/>
  <c r="O12" i="2" s="1"/>
  <c r="E12" i="2"/>
  <c r="G12" i="2" s="1"/>
  <c r="Q186" i="3"/>
  <c r="I186" i="3"/>
  <c r="Q185" i="3"/>
  <c r="J184" i="3"/>
  <c r="L181" i="3"/>
  <c r="C179" i="3"/>
  <c r="E179" i="3" s="1"/>
  <c r="I179" i="3"/>
  <c r="N179" i="3"/>
  <c r="J176" i="3"/>
  <c r="E175" i="3"/>
  <c r="L173" i="3"/>
  <c r="Q170" i="3"/>
  <c r="I170" i="3"/>
  <c r="Q169" i="3"/>
  <c r="J168" i="3"/>
  <c r="Q167" i="3"/>
  <c r="L167" i="3"/>
  <c r="C167" i="3"/>
  <c r="E162" i="3"/>
  <c r="M160" i="3"/>
  <c r="B160" i="3"/>
  <c r="N160" i="3"/>
  <c r="M159" i="3"/>
  <c r="F159" i="3"/>
  <c r="H159" i="3" s="1"/>
  <c r="P158" i="3"/>
  <c r="G158" i="3"/>
  <c r="C155" i="3"/>
  <c r="I155" i="3"/>
  <c r="K155" i="3" s="1"/>
  <c r="N155" i="3"/>
  <c r="L151" i="3"/>
  <c r="D151" i="3"/>
  <c r="P150" i="3"/>
  <c r="D150" i="3"/>
  <c r="M149" i="3"/>
  <c r="D147" i="3"/>
  <c r="J147" i="3"/>
  <c r="K147" i="3" s="1"/>
  <c r="O147" i="3"/>
  <c r="I146" i="3"/>
  <c r="B140" i="3"/>
  <c r="Q140" i="3"/>
  <c r="L139" i="3"/>
  <c r="D139" i="3"/>
  <c r="E139" i="3" s="1"/>
  <c r="P138" i="3"/>
  <c r="D138" i="3"/>
  <c r="I136" i="3"/>
  <c r="B134" i="3"/>
  <c r="D134" i="3"/>
  <c r="M134" i="3"/>
  <c r="N131" i="3"/>
  <c r="F131" i="3"/>
  <c r="Q130" i="3"/>
  <c r="I130" i="3"/>
  <c r="P129" i="3"/>
  <c r="I129" i="3"/>
  <c r="K129" i="3" s="1"/>
  <c r="C127" i="3"/>
  <c r="E127" i="3" s="1"/>
  <c r="I127" i="3"/>
  <c r="N127" i="3"/>
  <c r="P123" i="3"/>
  <c r="F123" i="3"/>
  <c r="M120" i="3"/>
  <c r="Q120" i="3"/>
  <c r="E119" i="3"/>
  <c r="P116" i="3"/>
  <c r="F116" i="3"/>
  <c r="I111" i="3"/>
  <c r="F105" i="3"/>
  <c r="I105" i="3"/>
  <c r="L100" i="3"/>
  <c r="G95" i="3"/>
  <c r="O95" i="3"/>
  <c r="C95" i="3"/>
  <c r="L95" i="3"/>
  <c r="Q95" i="3"/>
  <c r="D95" i="3"/>
  <c r="M95" i="3"/>
  <c r="F90" i="3"/>
  <c r="M90" i="3"/>
  <c r="B90" i="3"/>
  <c r="J90" i="3"/>
  <c r="P90" i="3"/>
  <c r="D90" i="3"/>
  <c r="L90" i="3"/>
  <c r="Q90" i="3"/>
  <c r="F88" i="3"/>
  <c r="H88" i="3" s="1"/>
  <c r="F84" i="3"/>
  <c r="P80" i="3"/>
  <c r="E121" i="3"/>
  <c r="O92" i="3"/>
  <c r="J92" i="3"/>
  <c r="D92" i="3"/>
  <c r="Q91" i="3"/>
  <c r="I78" i="3"/>
  <c r="Q77" i="3"/>
  <c r="G77" i="3"/>
  <c r="F73" i="3"/>
  <c r="L71" i="3"/>
  <c r="Q70" i="3"/>
  <c r="Q69" i="3"/>
  <c r="J69" i="3"/>
  <c r="C69" i="3"/>
  <c r="I67" i="3"/>
  <c r="Q66" i="3"/>
  <c r="J66" i="3"/>
  <c r="Q65" i="3"/>
  <c r="H64" i="3"/>
  <c r="M63" i="3"/>
  <c r="D63" i="3"/>
  <c r="O60" i="3"/>
  <c r="J60" i="3"/>
  <c r="D60" i="3"/>
  <c r="Q59" i="3"/>
  <c r="Q58" i="3"/>
  <c r="L58" i="3"/>
  <c r="D58" i="3"/>
  <c r="N56" i="3"/>
  <c r="I56" i="3"/>
  <c r="D56" i="3"/>
  <c r="E56" i="3" s="1"/>
  <c r="Q55" i="3"/>
  <c r="G55" i="3"/>
  <c r="L54" i="3"/>
  <c r="O52" i="3"/>
  <c r="J52" i="3"/>
  <c r="D52" i="3"/>
  <c r="Q51" i="3"/>
  <c r="G51" i="3"/>
  <c r="P50" i="3"/>
  <c r="F50" i="3"/>
  <c r="O48" i="3"/>
  <c r="J48" i="3"/>
  <c r="D48" i="3"/>
  <c r="E47" i="3"/>
  <c r="N44" i="3"/>
  <c r="I44" i="3"/>
  <c r="C44" i="3"/>
  <c r="L43" i="3"/>
  <c r="I41" i="3"/>
  <c r="L34" i="3"/>
  <c r="Q31" i="3"/>
  <c r="I31" i="3"/>
  <c r="D30" i="3"/>
  <c r="N30" i="3"/>
  <c r="G29" i="3"/>
  <c r="D24" i="3"/>
  <c r="J24" i="3"/>
  <c r="K24" i="3" s="1"/>
  <c r="O24" i="3"/>
  <c r="B22" i="3"/>
  <c r="L22" i="3"/>
  <c r="B21" i="3"/>
  <c r="I21" i="3"/>
  <c r="O21" i="3"/>
  <c r="M20" i="3"/>
  <c r="F20" i="3"/>
  <c r="G19" i="3"/>
  <c r="Q19" i="3"/>
  <c r="J18" i="3"/>
  <c r="B17" i="3"/>
  <c r="F17" i="3"/>
  <c r="M16" i="3"/>
  <c r="F16" i="3"/>
  <c r="P15" i="3"/>
  <c r="G15" i="3"/>
  <c r="C12" i="3"/>
  <c r="I12" i="3"/>
  <c r="K12" i="3" s="1"/>
  <c r="N12" i="3"/>
  <c r="Q10" i="3"/>
  <c r="I10" i="3"/>
  <c r="L8" i="3"/>
  <c r="D8" i="3"/>
  <c r="L185" i="7"/>
  <c r="B184" i="7"/>
  <c r="C184" i="7"/>
  <c r="K184" i="7"/>
  <c r="E184" i="7"/>
  <c r="M184" i="7"/>
  <c r="G184" i="7"/>
  <c r="O184" i="7"/>
  <c r="C173" i="7"/>
  <c r="B173" i="7"/>
  <c r="H173" i="7"/>
  <c r="M173" i="7"/>
  <c r="D173" i="7"/>
  <c r="I173" i="7"/>
  <c r="N173" i="7"/>
  <c r="E173" i="7"/>
  <c r="J173" i="7"/>
  <c r="N48" i="2"/>
  <c r="O48" i="2" s="1"/>
  <c r="H183" i="3"/>
  <c r="H135" i="3"/>
  <c r="K125" i="3"/>
  <c r="M121" i="3"/>
  <c r="F121" i="3"/>
  <c r="H119" i="3"/>
  <c r="O108" i="3"/>
  <c r="J108" i="3"/>
  <c r="K108" i="3" s="1"/>
  <c r="H104" i="3"/>
  <c r="M101" i="3"/>
  <c r="O96" i="3"/>
  <c r="J96" i="3"/>
  <c r="K96" i="3" s="1"/>
  <c r="N92" i="3"/>
  <c r="I92" i="3"/>
  <c r="K92" i="3" s="1"/>
  <c r="L91" i="3"/>
  <c r="M85" i="3"/>
  <c r="O79" i="3"/>
  <c r="Q78" i="3"/>
  <c r="O77" i="3"/>
  <c r="M74" i="3"/>
  <c r="Q73" i="3"/>
  <c r="C73" i="3"/>
  <c r="O72" i="3"/>
  <c r="J72" i="3"/>
  <c r="Q71" i="3"/>
  <c r="L70" i="3"/>
  <c r="O69" i="3"/>
  <c r="I69" i="3"/>
  <c r="K69" i="3" s="1"/>
  <c r="B69" i="3"/>
  <c r="O68" i="3"/>
  <c r="J68" i="3"/>
  <c r="Q67" i="3"/>
  <c r="P66" i="3"/>
  <c r="F65" i="3"/>
  <c r="O64" i="3"/>
  <c r="J64" i="3"/>
  <c r="Q63" i="3"/>
  <c r="L63" i="3"/>
  <c r="C63" i="3"/>
  <c r="N60" i="3"/>
  <c r="I60" i="3"/>
  <c r="K60" i="3" s="1"/>
  <c r="L59" i="3"/>
  <c r="P58" i="3"/>
  <c r="J58" i="3"/>
  <c r="B58" i="3"/>
  <c r="Q56" i="3"/>
  <c r="M56" i="3"/>
  <c r="P55" i="3"/>
  <c r="C55" i="3"/>
  <c r="F54" i="3"/>
  <c r="N52" i="3"/>
  <c r="I52" i="3"/>
  <c r="O51" i="3"/>
  <c r="D51" i="3"/>
  <c r="M50" i="3"/>
  <c r="B50" i="3"/>
  <c r="N48" i="3"/>
  <c r="I48" i="3"/>
  <c r="Q45" i="3"/>
  <c r="Q44" i="3"/>
  <c r="M44" i="3"/>
  <c r="G44" i="3"/>
  <c r="B44" i="3"/>
  <c r="G43" i="3"/>
  <c r="Q38" i="3"/>
  <c r="B37" i="3"/>
  <c r="I37" i="3"/>
  <c r="K37" i="3" s="1"/>
  <c r="K36" i="3"/>
  <c r="B33" i="3"/>
  <c r="Q33" i="3"/>
  <c r="E32" i="3"/>
  <c r="P31" i="3"/>
  <c r="L30" i="3"/>
  <c r="Q29" i="3"/>
  <c r="F26" i="3"/>
  <c r="M26" i="3"/>
  <c r="C25" i="3"/>
  <c r="Q25" i="3"/>
  <c r="M24" i="3"/>
  <c r="F24" i="3"/>
  <c r="H24" i="3" s="1"/>
  <c r="G23" i="3"/>
  <c r="Q23" i="3"/>
  <c r="Q21" i="3"/>
  <c r="G21" i="3"/>
  <c r="Q20" i="3"/>
  <c r="L20" i="3"/>
  <c r="L19" i="3"/>
  <c r="Q18" i="3"/>
  <c r="Q16" i="3"/>
  <c r="L16" i="3"/>
  <c r="O15" i="3"/>
  <c r="M12" i="3"/>
  <c r="F12" i="3"/>
  <c r="N10" i="3"/>
  <c r="N9" i="3"/>
  <c r="P8" i="3"/>
  <c r="J8" i="3"/>
  <c r="B179" i="7"/>
  <c r="F179" i="7"/>
  <c r="J179" i="7"/>
  <c r="N179" i="7"/>
  <c r="C179" i="7"/>
  <c r="G179" i="7"/>
  <c r="K179" i="7"/>
  <c r="O179" i="7"/>
  <c r="D179" i="7"/>
  <c r="H179" i="7"/>
  <c r="L179" i="7"/>
  <c r="K68" i="3"/>
  <c r="E64" i="3"/>
  <c r="B29" i="3"/>
  <c r="M29" i="3"/>
  <c r="E24" i="3"/>
  <c r="F18" i="3"/>
  <c r="P18" i="3"/>
  <c r="C15" i="3"/>
  <c r="E15" i="3" s="1"/>
  <c r="L15" i="3"/>
  <c r="Q15" i="3"/>
  <c r="B8" i="3"/>
  <c r="G8" i="3"/>
  <c r="M8" i="3"/>
  <c r="Q8" i="3"/>
  <c r="C185" i="7"/>
  <c r="B185" i="7"/>
  <c r="H185" i="7"/>
  <c r="M185" i="7"/>
  <c r="D185" i="7"/>
  <c r="I185" i="7"/>
  <c r="N185" i="7"/>
  <c r="E185" i="7"/>
  <c r="J185" i="7"/>
  <c r="E178" i="7"/>
  <c r="I178" i="7"/>
  <c r="M178" i="7"/>
  <c r="B172" i="7"/>
  <c r="C172" i="7"/>
  <c r="K172" i="7"/>
  <c r="E172" i="7"/>
  <c r="M172" i="7"/>
  <c r="G172" i="7"/>
  <c r="O172" i="7"/>
  <c r="E79" i="3"/>
  <c r="K76" i="3"/>
  <c r="M69" i="3"/>
  <c r="O63" i="3"/>
  <c r="H60" i="3"/>
  <c r="M58" i="3"/>
  <c r="K56" i="3"/>
  <c r="Q54" i="3"/>
  <c r="Q50" i="3"/>
  <c r="O44" i="3"/>
  <c r="J44" i="3"/>
  <c r="Q43" i="3"/>
  <c r="J34" i="3"/>
  <c r="Q34" i="3"/>
  <c r="D31" i="3"/>
  <c r="M31" i="3"/>
  <c r="J29" i="3"/>
  <c r="H20" i="3"/>
  <c r="D20" i="3"/>
  <c r="J20" i="3"/>
  <c r="O20" i="3"/>
  <c r="L18" i="3"/>
  <c r="D16" i="3"/>
  <c r="J16" i="3"/>
  <c r="K16" i="3" s="1"/>
  <c r="O16" i="3"/>
  <c r="I15" i="3"/>
  <c r="C11" i="3"/>
  <c r="L11" i="3"/>
  <c r="B10" i="3"/>
  <c r="J10" i="3"/>
  <c r="P10" i="3"/>
  <c r="N8" i="3"/>
  <c r="F8" i="3"/>
  <c r="I184" i="7"/>
  <c r="I179" i="7"/>
  <c r="F173" i="7"/>
  <c r="O183" i="7"/>
  <c r="K183" i="7"/>
  <c r="G183" i="7"/>
  <c r="C183" i="7"/>
  <c r="N177" i="7"/>
  <c r="I177" i="7"/>
  <c r="D177" i="7"/>
  <c r="M176" i="7"/>
  <c r="E176" i="7"/>
  <c r="O171" i="7"/>
  <c r="K171" i="7"/>
  <c r="G171" i="7"/>
  <c r="C171" i="7"/>
  <c r="I170" i="7"/>
  <c r="N165" i="7"/>
  <c r="I165" i="7"/>
  <c r="D165" i="7"/>
  <c r="M164" i="7"/>
  <c r="E164" i="7"/>
  <c r="I157" i="7"/>
  <c r="O156" i="7"/>
  <c r="K156" i="7"/>
  <c r="G156" i="7"/>
  <c r="C156" i="7"/>
  <c r="N155" i="7"/>
  <c r="I155" i="7"/>
  <c r="C155" i="7"/>
  <c r="F151" i="7"/>
  <c r="K147" i="7"/>
  <c r="E147" i="7"/>
  <c r="K145" i="7"/>
  <c r="E145" i="7"/>
  <c r="O144" i="7"/>
  <c r="K144" i="7"/>
  <c r="G144" i="7"/>
  <c r="C144" i="7"/>
  <c r="M142" i="7"/>
  <c r="F142" i="7"/>
  <c r="L137" i="7"/>
  <c r="E137" i="7"/>
  <c r="I135" i="7"/>
  <c r="N134" i="7"/>
  <c r="I134" i="7"/>
  <c r="D134" i="7"/>
  <c r="I130" i="7"/>
  <c r="O129" i="7"/>
  <c r="I129" i="7"/>
  <c r="D129" i="7"/>
  <c r="G125" i="7"/>
  <c r="N123" i="7"/>
  <c r="I123" i="7"/>
  <c r="C123" i="7"/>
  <c r="K120" i="7"/>
  <c r="E120" i="7"/>
  <c r="B119" i="7"/>
  <c r="I119" i="7"/>
  <c r="D118" i="7"/>
  <c r="I118" i="7"/>
  <c r="N118" i="7"/>
  <c r="B115" i="7"/>
  <c r="J115" i="7"/>
  <c r="K113" i="7"/>
  <c r="B112" i="7"/>
  <c r="F112" i="7"/>
  <c r="J112" i="7"/>
  <c r="N112" i="7"/>
  <c r="K108" i="7"/>
  <c r="E108" i="7"/>
  <c r="K107" i="7"/>
  <c r="K105" i="7"/>
  <c r="M104" i="7"/>
  <c r="G104" i="7"/>
  <c r="N103" i="7"/>
  <c r="L102" i="7"/>
  <c r="K99" i="7"/>
  <c r="G92" i="7"/>
  <c r="F88" i="7"/>
  <c r="B87" i="7"/>
  <c r="C87" i="7"/>
  <c r="N87" i="7"/>
  <c r="I87" i="7"/>
  <c r="K87" i="7"/>
  <c r="K83" i="7"/>
  <c r="H32" i="3"/>
  <c r="H28" i="3"/>
  <c r="L187" i="7"/>
  <c r="H187" i="7"/>
  <c r="O186" i="7"/>
  <c r="N183" i="7"/>
  <c r="J183" i="7"/>
  <c r="F183" i="7"/>
  <c r="J181" i="7"/>
  <c r="E181" i="7"/>
  <c r="O180" i="7"/>
  <c r="G180" i="7"/>
  <c r="M177" i="7"/>
  <c r="H177" i="7"/>
  <c r="B177" i="7"/>
  <c r="K176" i="7"/>
  <c r="C176" i="7"/>
  <c r="N171" i="7"/>
  <c r="J171" i="7"/>
  <c r="F171" i="7"/>
  <c r="L167" i="7"/>
  <c r="H167" i="7"/>
  <c r="M166" i="7"/>
  <c r="M165" i="7"/>
  <c r="H165" i="7"/>
  <c r="B165" i="7"/>
  <c r="K164" i="7"/>
  <c r="C164" i="7"/>
  <c r="J161" i="7"/>
  <c r="E161" i="7"/>
  <c r="O160" i="7"/>
  <c r="G160" i="7"/>
  <c r="G157" i="7"/>
  <c r="N156" i="7"/>
  <c r="J156" i="7"/>
  <c r="F156" i="7"/>
  <c r="M155" i="7"/>
  <c r="G155" i="7"/>
  <c r="L152" i="7"/>
  <c r="H152" i="7"/>
  <c r="N151" i="7"/>
  <c r="C151" i="7"/>
  <c r="J147" i="7"/>
  <c r="I146" i="7"/>
  <c r="O145" i="7"/>
  <c r="I145" i="7"/>
  <c r="D145" i="7"/>
  <c r="N144" i="7"/>
  <c r="J144" i="7"/>
  <c r="F144" i="7"/>
  <c r="L142" i="7"/>
  <c r="E142" i="7"/>
  <c r="K137" i="7"/>
  <c r="F135" i="7"/>
  <c r="M134" i="7"/>
  <c r="H134" i="7"/>
  <c r="L132" i="7"/>
  <c r="H132" i="7"/>
  <c r="F130" i="7"/>
  <c r="M129" i="7"/>
  <c r="H129" i="7"/>
  <c r="O125" i="7"/>
  <c r="D125" i="7"/>
  <c r="M123" i="7"/>
  <c r="G123" i="7"/>
  <c r="H121" i="7"/>
  <c r="O120" i="7"/>
  <c r="I120" i="7"/>
  <c r="D120" i="7"/>
  <c r="K119" i="7"/>
  <c r="F118" i="7"/>
  <c r="B114" i="7"/>
  <c r="I114" i="7"/>
  <c r="D113" i="7"/>
  <c r="I113" i="7"/>
  <c r="O113" i="7"/>
  <c r="J108" i="7"/>
  <c r="E107" i="7"/>
  <c r="J107" i="7"/>
  <c r="O107" i="7"/>
  <c r="F107" i="7"/>
  <c r="M107" i="7"/>
  <c r="G105" i="7"/>
  <c r="L104" i="7"/>
  <c r="E104" i="7"/>
  <c r="F103" i="7"/>
  <c r="D102" i="7"/>
  <c r="I102" i="7"/>
  <c r="N102" i="7"/>
  <c r="F102" i="7"/>
  <c r="M102" i="7"/>
  <c r="F99" i="7"/>
  <c r="M92" i="7"/>
  <c r="M88" i="7"/>
  <c r="B82" i="7"/>
  <c r="D82" i="7"/>
  <c r="N82" i="7"/>
  <c r="I82" i="7"/>
  <c r="L82" i="7"/>
  <c r="E166" i="7"/>
  <c r="O157" i="7"/>
  <c r="D157" i="7"/>
  <c r="M145" i="7"/>
  <c r="H145" i="7"/>
  <c r="J142" i="7"/>
  <c r="N135" i="7"/>
  <c r="C135" i="7"/>
  <c r="N130" i="7"/>
  <c r="D130" i="7"/>
  <c r="M120" i="7"/>
  <c r="H120" i="7"/>
  <c r="C117" i="7"/>
  <c r="G117" i="7"/>
  <c r="D108" i="7"/>
  <c r="H108" i="7"/>
  <c r="L108" i="7"/>
  <c r="C108" i="7"/>
  <c r="I108" i="7"/>
  <c r="N108" i="7"/>
  <c r="B106" i="7"/>
  <c r="L106" i="7"/>
  <c r="F106" i="7"/>
  <c r="K104" i="7"/>
  <c r="C101" i="7"/>
  <c r="G101" i="7"/>
  <c r="L101" i="7"/>
  <c r="O99" i="7"/>
  <c r="B92" i="7"/>
  <c r="F92" i="7"/>
  <c r="J92" i="7"/>
  <c r="N92" i="7"/>
  <c r="D92" i="7"/>
  <c r="I92" i="7"/>
  <c r="O92" i="7"/>
  <c r="E92" i="7"/>
  <c r="K92" i="7"/>
  <c r="D88" i="7"/>
  <c r="H88" i="7"/>
  <c r="L88" i="7"/>
  <c r="C88" i="7"/>
  <c r="I88" i="7"/>
  <c r="N88" i="7"/>
  <c r="E88" i="7"/>
  <c r="J88" i="7"/>
  <c r="O88" i="7"/>
  <c r="B66" i="7"/>
  <c r="D66" i="7"/>
  <c r="N66" i="7"/>
  <c r="I66" i="7"/>
  <c r="F66" i="7"/>
  <c r="L66" i="7"/>
  <c r="B120" i="7"/>
  <c r="F120" i="7"/>
  <c r="J120" i="7"/>
  <c r="N120" i="7"/>
  <c r="E105" i="7"/>
  <c r="L105" i="7"/>
  <c r="H105" i="7"/>
  <c r="B104" i="7"/>
  <c r="F104" i="7"/>
  <c r="J104" i="7"/>
  <c r="N104" i="7"/>
  <c r="D104" i="7"/>
  <c r="I104" i="7"/>
  <c r="O104" i="7"/>
  <c r="B103" i="7"/>
  <c r="I103" i="7"/>
  <c r="K103" i="7"/>
  <c r="B99" i="7"/>
  <c r="J99" i="7"/>
  <c r="G99" i="7"/>
  <c r="H92" i="7"/>
  <c r="G88" i="7"/>
  <c r="F83" i="7"/>
  <c r="M83" i="7"/>
  <c r="E83" i="7"/>
  <c r="O83" i="7"/>
  <c r="G83" i="7"/>
  <c r="D80" i="7"/>
  <c r="H80" i="7"/>
  <c r="L80" i="7"/>
  <c r="E80" i="7"/>
  <c r="J80" i="7"/>
  <c r="O80" i="7"/>
  <c r="B80" i="7"/>
  <c r="G80" i="7"/>
  <c r="M80" i="7"/>
  <c r="C80" i="7"/>
  <c r="I80" i="7"/>
  <c r="N80" i="7"/>
  <c r="E78" i="7"/>
  <c r="L78" i="7"/>
  <c r="H78" i="7"/>
  <c r="B78" i="7"/>
  <c r="M78" i="7"/>
  <c r="F78" i="7"/>
  <c r="B96" i="7"/>
  <c r="F96" i="7"/>
  <c r="J96" i="7"/>
  <c r="N96" i="7"/>
  <c r="C93" i="7"/>
  <c r="G93" i="7"/>
  <c r="B91" i="7"/>
  <c r="G91" i="7"/>
  <c r="M91" i="7"/>
  <c r="C84" i="7"/>
  <c r="G84" i="7"/>
  <c r="K84" i="7"/>
  <c r="O84" i="7"/>
  <c r="B79" i="7"/>
  <c r="K79" i="7"/>
  <c r="D76" i="7"/>
  <c r="H76" i="7"/>
  <c r="L76" i="7"/>
  <c r="B72" i="7"/>
  <c r="F72" i="7"/>
  <c r="J72" i="7"/>
  <c r="N72" i="7"/>
  <c r="K67" i="7"/>
  <c r="M64" i="7"/>
  <c r="E64" i="7"/>
  <c r="M60" i="7"/>
  <c r="E60" i="7"/>
  <c r="E59" i="7"/>
  <c r="J59" i="7"/>
  <c r="O59" i="7"/>
  <c r="B59" i="7"/>
  <c r="G59" i="7"/>
  <c r="M59" i="7"/>
  <c r="O56" i="7"/>
  <c r="G56" i="7"/>
  <c r="K55" i="7"/>
  <c r="K51" i="7"/>
  <c r="L50" i="7"/>
  <c r="K48" i="7"/>
  <c r="O44" i="7"/>
  <c r="G44" i="7"/>
  <c r="N43" i="7"/>
  <c r="O36" i="7"/>
  <c r="G36" i="7"/>
  <c r="B34" i="7"/>
  <c r="F34" i="7"/>
  <c r="C29" i="7"/>
  <c r="G29" i="7"/>
  <c r="I24" i="7"/>
  <c r="I16" i="7"/>
  <c r="C185" i="6"/>
  <c r="G185" i="6"/>
  <c r="K185" i="6"/>
  <c r="O185" i="6"/>
  <c r="D185" i="6"/>
  <c r="H185" i="6"/>
  <c r="L185" i="6"/>
  <c r="B185" i="6"/>
  <c r="F185" i="6"/>
  <c r="J185" i="6"/>
  <c r="N185" i="6"/>
  <c r="B98" i="7"/>
  <c r="I98" i="7"/>
  <c r="D97" i="7"/>
  <c r="I97" i="7"/>
  <c r="O97" i="7"/>
  <c r="K96" i="7"/>
  <c r="E96" i="7"/>
  <c r="L93" i="7"/>
  <c r="N91" i="7"/>
  <c r="F91" i="7"/>
  <c r="J84" i="7"/>
  <c r="E84" i="7"/>
  <c r="O76" i="7"/>
  <c r="J76" i="7"/>
  <c r="E76" i="7"/>
  <c r="E75" i="7"/>
  <c r="J75" i="7"/>
  <c r="O75" i="7"/>
  <c r="E73" i="7"/>
  <c r="L73" i="7"/>
  <c r="K72" i="7"/>
  <c r="E72" i="7"/>
  <c r="B71" i="7"/>
  <c r="I71" i="7"/>
  <c r="D70" i="7"/>
  <c r="I70" i="7"/>
  <c r="N70" i="7"/>
  <c r="K64" i="7"/>
  <c r="K60" i="7"/>
  <c r="I59" i="7"/>
  <c r="M56" i="7"/>
  <c r="B48" i="7"/>
  <c r="F48" i="7"/>
  <c r="J48" i="7"/>
  <c r="N48" i="7"/>
  <c r="D48" i="7"/>
  <c r="H48" i="7"/>
  <c r="L48" i="7"/>
  <c r="M44" i="7"/>
  <c r="B43" i="7"/>
  <c r="G43" i="7"/>
  <c r="M43" i="7"/>
  <c r="E43" i="7"/>
  <c r="J43" i="7"/>
  <c r="O43" i="7"/>
  <c r="M36" i="7"/>
  <c r="C20" i="7"/>
  <c r="G20" i="7"/>
  <c r="K20" i="7"/>
  <c r="O20" i="7"/>
  <c r="D20" i="7"/>
  <c r="H20" i="7"/>
  <c r="L20" i="7"/>
  <c r="B20" i="7"/>
  <c r="F20" i="7"/>
  <c r="J20" i="7"/>
  <c r="N20" i="7"/>
  <c r="C12" i="7"/>
  <c r="G12" i="7"/>
  <c r="K12" i="7"/>
  <c r="O12" i="7"/>
  <c r="D12" i="7"/>
  <c r="H12" i="7"/>
  <c r="L12" i="7"/>
  <c r="B12" i="7"/>
  <c r="F12" i="7"/>
  <c r="J12" i="7"/>
  <c r="N12" i="7"/>
  <c r="C189" i="6"/>
  <c r="G189" i="6"/>
  <c r="K189" i="6"/>
  <c r="O189" i="6"/>
  <c r="D189" i="6"/>
  <c r="H189" i="6"/>
  <c r="L189" i="6"/>
  <c r="B189" i="6"/>
  <c r="F189" i="6"/>
  <c r="J189" i="6"/>
  <c r="N189" i="6"/>
  <c r="D64" i="7"/>
  <c r="H64" i="7"/>
  <c r="L64" i="7"/>
  <c r="B64" i="7"/>
  <c r="F64" i="7"/>
  <c r="J64" i="7"/>
  <c r="N64" i="7"/>
  <c r="D60" i="7"/>
  <c r="H60" i="7"/>
  <c r="L60" i="7"/>
  <c r="B60" i="7"/>
  <c r="F60" i="7"/>
  <c r="J60" i="7"/>
  <c r="N60" i="7"/>
  <c r="B55" i="7"/>
  <c r="I55" i="7"/>
  <c r="C55" i="7"/>
  <c r="N55" i="7"/>
  <c r="B50" i="7"/>
  <c r="I50" i="7"/>
  <c r="D50" i="7"/>
  <c r="N50" i="7"/>
  <c r="C24" i="7"/>
  <c r="G24" i="7"/>
  <c r="K24" i="7"/>
  <c r="O24" i="7"/>
  <c r="D24" i="7"/>
  <c r="H24" i="7"/>
  <c r="L24" i="7"/>
  <c r="B24" i="7"/>
  <c r="F24" i="7"/>
  <c r="J24" i="7"/>
  <c r="N24" i="7"/>
  <c r="C19" i="7"/>
  <c r="I19" i="7"/>
  <c r="M19" i="7"/>
  <c r="E19" i="7"/>
  <c r="C16" i="7"/>
  <c r="G16" i="7"/>
  <c r="K16" i="7"/>
  <c r="O16" i="7"/>
  <c r="D16" i="7"/>
  <c r="H16" i="7"/>
  <c r="L16" i="7"/>
  <c r="B16" i="7"/>
  <c r="F16" i="7"/>
  <c r="J16" i="7"/>
  <c r="N16" i="7"/>
  <c r="D184" i="6"/>
  <c r="E184" i="6"/>
  <c r="M184" i="6"/>
  <c r="G184" i="6"/>
  <c r="O184" i="6"/>
  <c r="C184" i="6"/>
  <c r="K184" i="6"/>
  <c r="B74" i="7"/>
  <c r="L74" i="7"/>
  <c r="C69" i="7"/>
  <c r="G69" i="7"/>
  <c r="F67" i="7"/>
  <c r="M67" i="7"/>
  <c r="B67" i="7"/>
  <c r="J67" i="7"/>
  <c r="O64" i="7"/>
  <c r="G64" i="7"/>
  <c r="O60" i="7"/>
  <c r="G60" i="7"/>
  <c r="B56" i="7"/>
  <c r="F56" i="7"/>
  <c r="J56" i="7"/>
  <c r="N56" i="7"/>
  <c r="D56" i="7"/>
  <c r="H56" i="7"/>
  <c r="L56" i="7"/>
  <c r="C53" i="7"/>
  <c r="G53" i="7"/>
  <c r="B51" i="7"/>
  <c r="J51" i="7"/>
  <c r="F51" i="7"/>
  <c r="M51" i="7"/>
  <c r="B44" i="7"/>
  <c r="F44" i="7"/>
  <c r="J44" i="7"/>
  <c r="N44" i="7"/>
  <c r="D44" i="7"/>
  <c r="H44" i="7"/>
  <c r="L44" i="7"/>
  <c r="B39" i="7"/>
  <c r="F39" i="7"/>
  <c r="D36" i="7"/>
  <c r="H36" i="7"/>
  <c r="L36" i="7"/>
  <c r="B36" i="7"/>
  <c r="F36" i="7"/>
  <c r="J36" i="7"/>
  <c r="N36" i="7"/>
  <c r="D11" i="7"/>
  <c r="E11" i="7"/>
  <c r="M11" i="7"/>
  <c r="G11" i="7"/>
  <c r="O11" i="7"/>
  <c r="C11" i="7"/>
  <c r="K11" i="7"/>
  <c r="D188" i="6"/>
  <c r="E188" i="6"/>
  <c r="M188" i="6"/>
  <c r="G188" i="6"/>
  <c r="O188" i="6"/>
  <c r="C188" i="6"/>
  <c r="K188" i="6"/>
  <c r="O65" i="7"/>
  <c r="I65" i="7"/>
  <c r="G61" i="7"/>
  <c r="O52" i="7"/>
  <c r="K52" i="7"/>
  <c r="G52" i="7"/>
  <c r="K47" i="7"/>
  <c r="L46" i="7"/>
  <c r="L42" i="7"/>
  <c r="L41" i="7"/>
  <c r="G37" i="7"/>
  <c r="C4" i="21" s="1"/>
  <c r="K35" i="7"/>
  <c r="F31" i="7"/>
  <c r="L30" i="7"/>
  <c r="F26" i="7"/>
  <c r="L25" i="7"/>
  <c r="N22" i="7"/>
  <c r="I22" i="7"/>
  <c r="D22" i="7"/>
  <c r="M21" i="7"/>
  <c r="N14" i="7"/>
  <c r="I14" i="7"/>
  <c r="D14" i="7"/>
  <c r="M13" i="7"/>
  <c r="O8" i="7"/>
  <c r="K8" i="7"/>
  <c r="G8" i="7"/>
  <c r="M7" i="7"/>
  <c r="E7" i="7"/>
  <c r="J179" i="6"/>
  <c r="E179" i="6"/>
  <c r="I178" i="6"/>
  <c r="J175" i="6"/>
  <c r="E175" i="6"/>
  <c r="L173" i="6"/>
  <c r="H173" i="6"/>
  <c r="D173" i="6"/>
  <c r="O172" i="6"/>
  <c r="G172" i="6"/>
  <c r="N171" i="6"/>
  <c r="I171" i="6"/>
  <c r="L169" i="6"/>
  <c r="H169" i="6"/>
  <c r="D169" i="6"/>
  <c r="O168" i="6"/>
  <c r="G168" i="6"/>
  <c r="N167" i="6"/>
  <c r="I167" i="6"/>
  <c r="O165" i="6"/>
  <c r="K165" i="6"/>
  <c r="G165" i="6"/>
  <c r="M164" i="6"/>
  <c r="E164" i="6"/>
  <c r="M163" i="6"/>
  <c r="E233" i="2" s="1"/>
  <c r="H163" i="6"/>
  <c r="D232" i="2" s="1"/>
  <c r="B163" i="6"/>
  <c r="O161" i="6"/>
  <c r="K161" i="6"/>
  <c r="G161" i="6"/>
  <c r="M160" i="6"/>
  <c r="E160" i="6"/>
  <c r="M159" i="6"/>
  <c r="H159" i="6"/>
  <c r="B159" i="6"/>
  <c r="N157" i="6"/>
  <c r="J157" i="6"/>
  <c r="F157" i="6"/>
  <c r="B157" i="6"/>
  <c r="K156" i="6"/>
  <c r="C156" i="6"/>
  <c r="N153" i="6"/>
  <c r="J153" i="6"/>
  <c r="F153" i="6"/>
  <c r="B153" i="6"/>
  <c r="K152" i="6"/>
  <c r="C152" i="6"/>
  <c r="J147" i="6"/>
  <c r="E147" i="6"/>
  <c r="I146" i="6"/>
  <c r="O144" i="6"/>
  <c r="I144" i="6"/>
  <c r="N143" i="6"/>
  <c r="J143" i="6"/>
  <c r="F143" i="6"/>
  <c r="B143" i="6"/>
  <c r="I142" i="6"/>
  <c r="M141" i="6"/>
  <c r="F141" i="6"/>
  <c r="L139" i="6"/>
  <c r="H139" i="6"/>
  <c r="D139" i="6"/>
  <c r="O138" i="6"/>
  <c r="J138" i="6"/>
  <c r="E138" i="6"/>
  <c r="N137" i="6"/>
  <c r="D137" i="6"/>
  <c r="K136" i="6"/>
  <c r="C136" i="6"/>
  <c r="M133" i="6"/>
  <c r="H133" i="6"/>
  <c r="B133" i="6"/>
  <c r="I132" i="6"/>
  <c r="O131" i="6"/>
  <c r="K131" i="6"/>
  <c r="G131" i="6"/>
  <c r="M130" i="6"/>
  <c r="F130" i="6"/>
  <c r="F129" i="6"/>
  <c r="L128" i="6"/>
  <c r="M127" i="6"/>
  <c r="H127" i="6"/>
  <c r="F125" i="6"/>
  <c r="M125" i="6"/>
  <c r="M123" i="6"/>
  <c r="G123" i="6"/>
  <c r="K122" i="6"/>
  <c r="C120" i="6"/>
  <c r="K120" i="6"/>
  <c r="J117" i="6"/>
  <c r="M115" i="6"/>
  <c r="H115" i="6"/>
  <c r="F114" i="6"/>
  <c r="M114" i="6"/>
  <c r="D111" i="6"/>
  <c r="H111" i="6"/>
  <c r="L111" i="6"/>
  <c r="B110" i="6"/>
  <c r="C110" i="6"/>
  <c r="N110" i="6"/>
  <c r="K107" i="6"/>
  <c r="E107" i="6"/>
  <c r="J105" i="6"/>
  <c r="I104" i="6"/>
  <c r="O103" i="6"/>
  <c r="I103" i="6"/>
  <c r="C100" i="6"/>
  <c r="B99" i="6"/>
  <c r="F99" i="6"/>
  <c r="J99" i="6"/>
  <c r="N99" i="6"/>
  <c r="L97" i="6"/>
  <c r="E96" i="6"/>
  <c r="M96" i="6"/>
  <c r="K95" i="6"/>
  <c r="E95" i="6"/>
  <c r="I92" i="6"/>
  <c r="M91" i="6"/>
  <c r="H91" i="6"/>
  <c r="M89" i="6"/>
  <c r="F89" i="6"/>
  <c r="O88" i="6"/>
  <c r="B87" i="6"/>
  <c r="F87" i="6"/>
  <c r="J87" i="6"/>
  <c r="N87" i="6"/>
  <c r="M83" i="6"/>
  <c r="K79" i="6"/>
  <c r="O75" i="6"/>
  <c r="G75" i="6"/>
  <c r="M71" i="6"/>
  <c r="C70" i="6"/>
  <c r="M70" i="6"/>
  <c r="E70" i="6"/>
  <c r="D67" i="6"/>
  <c r="H67" i="6"/>
  <c r="L67" i="6"/>
  <c r="B67" i="6"/>
  <c r="F67" i="6"/>
  <c r="J67" i="6"/>
  <c r="N67" i="6"/>
  <c r="O63" i="6"/>
  <c r="G63" i="6"/>
  <c r="N62" i="6"/>
  <c r="D61" i="6"/>
  <c r="N61" i="6"/>
  <c r="I61" i="6"/>
  <c r="C60" i="6"/>
  <c r="K60" i="6"/>
  <c r="G60" i="6"/>
  <c r="M60" i="6"/>
  <c r="I57" i="6"/>
  <c r="O54" i="6"/>
  <c r="B127" i="6"/>
  <c r="F127" i="6"/>
  <c r="J127" i="6"/>
  <c r="N127" i="6"/>
  <c r="D123" i="6"/>
  <c r="H123" i="6"/>
  <c r="L123" i="6"/>
  <c r="B117" i="6"/>
  <c r="H117" i="6"/>
  <c r="M117" i="6"/>
  <c r="C115" i="6"/>
  <c r="G115" i="6"/>
  <c r="K115" i="6"/>
  <c r="O115" i="6"/>
  <c r="D105" i="6"/>
  <c r="I105" i="6"/>
  <c r="N105" i="6"/>
  <c r="C102" i="6"/>
  <c r="E102" i="6"/>
  <c r="B91" i="6"/>
  <c r="F91" i="6"/>
  <c r="J91" i="6"/>
  <c r="N91" i="6"/>
  <c r="E88" i="6"/>
  <c r="M88" i="6"/>
  <c r="D79" i="6"/>
  <c r="H79" i="6"/>
  <c r="L79" i="6"/>
  <c r="B79" i="6"/>
  <c r="F79" i="6"/>
  <c r="J79" i="6"/>
  <c r="N79" i="6"/>
  <c r="B65" i="6"/>
  <c r="J65" i="6"/>
  <c r="F65" i="6"/>
  <c r="M65" i="6"/>
  <c r="E62" i="6"/>
  <c r="J62" i="6"/>
  <c r="O62" i="6"/>
  <c r="B62" i="6"/>
  <c r="G62" i="6"/>
  <c r="M62" i="6"/>
  <c r="D53" i="6"/>
  <c r="N53" i="6"/>
  <c r="L53" i="6"/>
  <c r="F53" i="6"/>
  <c r="I23" i="7"/>
  <c r="I15" i="7"/>
  <c r="M179" i="6"/>
  <c r="H179" i="6"/>
  <c r="B179" i="6"/>
  <c r="M175" i="6"/>
  <c r="H175" i="6"/>
  <c r="B175" i="6"/>
  <c r="N173" i="6"/>
  <c r="J173" i="6"/>
  <c r="F173" i="6"/>
  <c r="K172" i="6"/>
  <c r="C172" i="6"/>
  <c r="N169" i="6"/>
  <c r="J169" i="6"/>
  <c r="F169" i="6"/>
  <c r="K168" i="6"/>
  <c r="C168" i="6"/>
  <c r="J163" i="6"/>
  <c r="E232" i="2" s="1"/>
  <c r="E163" i="6"/>
  <c r="D231" i="2" s="1"/>
  <c r="I162" i="6"/>
  <c r="J159" i="6"/>
  <c r="E159" i="6"/>
  <c r="L157" i="6"/>
  <c r="H157" i="6"/>
  <c r="D157" i="6"/>
  <c r="O156" i="6"/>
  <c r="G156" i="6"/>
  <c r="L153" i="6"/>
  <c r="H153" i="6"/>
  <c r="D153" i="6"/>
  <c r="O152" i="6"/>
  <c r="G152" i="6"/>
  <c r="M147" i="6"/>
  <c r="H147" i="6"/>
  <c r="L143" i="6"/>
  <c r="H143" i="6"/>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J115" i="6"/>
  <c r="E115" i="6"/>
  <c r="M107" i="6"/>
  <c r="H107" i="6"/>
  <c r="M105" i="6"/>
  <c r="F105" i="6"/>
  <c r="O104" i="6"/>
  <c r="B103" i="6"/>
  <c r="F103" i="6"/>
  <c r="J103" i="6"/>
  <c r="N103" i="6"/>
  <c r="K100" i="6"/>
  <c r="D97" i="6"/>
  <c r="I97" i="6"/>
  <c r="N97" i="6"/>
  <c r="M95" i="6"/>
  <c r="H95" i="6"/>
  <c r="C94" i="6"/>
  <c r="E94" i="6"/>
  <c r="K91" i="6"/>
  <c r="E91" i="6"/>
  <c r="J89" i="6"/>
  <c r="I88" i="6"/>
  <c r="C86" i="6"/>
  <c r="M86" i="6"/>
  <c r="E86" i="6"/>
  <c r="D83" i="6"/>
  <c r="H83" i="6"/>
  <c r="L83" i="6"/>
  <c r="B83" i="6"/>
  <c r="F83" i="6"/>
  <c r="J83" i="6"/>
  <c r="N83" i="6"/>
  <c r="O79" i="6"/>
  <c r="G79" i="6"/>
  <c r="K75" i="6"/>
  <c r="D71" i="6"/>
  <c r="H71" i="6"/>
  <c r="L71" i="6"/>
  <c r="B71" i="6"/>
  <c r="F71" i="6"/>
  <c r="J71" i="6"/>
  <c r="N71" i="6"/>
  <c r="L65" i="6"/>
  <c r="K63" i="6"/>
  <c r="I62" i="6"/>
  <c r="N57" i="6"/>
  <c r="N163" i="6"/>
  <c r="I163" i="6"/>
  <c r="N159" i="6"/>
  <c r="I159" i="6"/>
  <c r="O157" i="6"/>
  <c r="K157" i="6"/>
  <c r="G157" i="6"/>
  <c r="M156" i="6"/>
  <c r="E156" i="6"/>
  <c r="O153" i="6"/>
  <c r="K153" i="6"/>
  <c r="G153" i="6"/>
  <c r="M152" i="6"/>
  <c r="E152" i="6"/>
  <c r="O143" i="6"/>
  <c r="K143" i="6"/>
  <c r="G143" i="6"/>
  <c r="F137" i="6"/>
  <c r="L136" i="6"/>
  <c r="N133" i="6"/>
  <c r="I133" i="6"/>
  <c r="O127" i="6"/>
  <c r="I127" i="6"/>
  <c r="D127" i="6"/>
  <c r="N123" i="6"/>
  <c r="I123" i="6"/>
  <c r="C123" i="6"/>
  <c r="L117" i="6"/>
  <c r="E117" i="6"/>
  <c r="N115" i="6"/>
  <c r="I115" i="6"/>
  <c r="D115" i="6"/>
  <c r="B107" i="6"/>
  <c r="F107" i="6"/>
  <c r="J107" i="6"/>
  <c r="N107" i="6"/>
  <c r="L105" i="6"/>
  <c r="E105" i="6"/>
  <c r="E104" i="6"/>
  <c r="M104" i="6"/>
  <c r="M102" i="6"/>
  <c r="I100" i="6"/>
  <c r="B95" i="6"/>
  <c r="F95" i="6"/>
  <c r="J95" i="6"/>
  <c r="N95" i="6"/>
  <c r="O91" i="6"/>
  <c r="I91" i="6"/>
  <c r="D91" i="6"/>
  <c r="D89" i="6"/>
  <c r="I89" i="6"/>
  <c r="N89" i="6"/>
  <c r="G88" i="6"/>
  <c r="M79" i="6"/>
  <c r="E79" i="6"/>
  <c r="C78" i="6"/>
  <c r="M78" i="6"/>
  <c r="E78" i="6"/>
  <c r="D75" i="6"/>
  <c r="H75" i="6"/>
  <c r="L75" i="6"/>
  <c r="B75" i="6"/>
  <c r="F75" i="6"/>
  <c r="J75" i="6"/>
  <c r="N75" i="6"/>
  <c r="H65" i="6"/>
  <c r="D63" i="6"/>
  <c r="H63" i="6"/>
  <c r="L63" i="6"/>
  <c r="B63" i="6"/>
  <c r="F63" i="6"/>
  <c r="J63" i="6"/>
  <c r="N63" i="6"/>
  <c r="F62" i="6"/>
  <c r="B57" i="6"/>
  <c r="H57" i="6"/>
  <c r="M57" i="6"/>
  <c r="E57" i="6"/>
  <c r="J57" i="6"/>
  <c r="F54" i="6"/>
  <c r="M54" i="6"/>
  <c r="G54" i="6"/>
  <c r="B54" i="6"/>
  <c r="K54" i="6"/>
  <c r="N81" i="6"/>
  <c r="I81" i="6"/>
  <c r="M80" i="6"/>
  <c r="N73" i="6"/>
  <c r="I73" i="6"/>
  <c r="M72" i="6"/>
  <c r="L64" i="6"/>
  <c r="O59" i="6"/>
  <c r="K59" i="6"/>
  <c r="G59" i="6"/>
  <c r="L55" i="6"/>
  <c r="H55" i="6"/>
  <c r="D55" i="6"/>
  <c r="D51" i="6"/>
  <c r="H51" i="6"/>
  <c r="L51" i="6"/>
  <c r="C50" i="6"/>
  <c r="N50" i="6"/>
  <c r="L48" i="6"/>
  <c r="M47" i="6"/>
  <c r="H47" i="6"/>
  <c r="K46" i="6"/>
  <c r="M43" i="6"/>
  <c r="G43" i="6"/>
  <c r="M39" i="6"/>
  <c r="H39" i="6"/>
  <c r="E38" i="6"/>
  <c r="K38" i="6"/>
  <c r="M35" i="6"/>
  <c r="D31" i="6"/>
  <c r="H31" i="6"/>
  <c r="L31" i="6"/>
  <c r="B31" i="6"/>
  <c r="F31" i="6"/>
  <c r="J31" i="6"/>
  <c r="N31" i="6"/>
  <c r="G30" i="6"/>
  <c r="O30" i="6"/>
  <c r="C30" i="6"/>
  <c r="K30" i="6"/>
  <c r="M27" i="6"/>
  <c r="I22" i="6"/>
  <c r="I18" i="6"/>
  <c r="D18" i="6"/>
  <c r="O18" i="6"/>
  <c r="C12" i="6"/>
  <c r="K12" i="6"/>
  <c r="K9" i="6"/>
  <c r="B189" i="10"/>
  <c r="F189" i="10"/>
  <c r="J189" i="10"/>
  <c r="N189" i="10"/>
  <c r="D189" i="10"/>
  <c r="H189" i="10"/>
  <c r="L189" i="10"/>
  <c r="K185" i="10"/>
  <c r="B47" i="6"/>
  <c r="F47" i="6"/>
  <c r="J47" i="6"/>
  <c r="N47" i="6"/>
  <c r="D43" i="6"/>
  <c r="H43" i="6"/>
  <c r="L43" i="6"/>
  <c r="C42" i="6"/>
  <c r="N42" i="6"/>
  <c r="B39" i="6"/>
  <c r="F39" i="6"/>
  <c r="J39" i="6"/>
  <c r="N39" i="6"/>
  <c r="D26" i="6"/>
  <c r="O26" i="6"/>
  <c r="I26" i="6"/>
  <c r="C24" i="6"/>
  <c r="B24" i="6"/>
  <c r="J24" i="6"/>
  <c r="F24" i="6"/>
  <c r="M24" i="6"/>
  <c r="G22" i="6"/>
  <c r="C20" i="6"/>
  <c r="K20" i="6"/>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K39" i="6"/>
  <c r="E39" i="6"/>
  <c r="D37" i="6"/>
  <c r="C234" i="2" s="1"/>
  <c r="F37" i="6"/>
  <c r="D35" i="6"/>
  <c r="H35" i="6"/>
  <c r="L35" i="6"/>
  <c r="B35" i="6"/>
  <c r="F35" i="6"/>
  <c r="J35" i="6"/>
  <c r="D27" i="6"/>
  <c r="H27" i="6"/>
  <c r="L27" i="6"/>
  <c r="B27" i="6"/>
  <c r="F27" i="6"/>
  <c r="J27" i="6"/>
  <c r="N27" i="6"/>
  <c r="K24" i="6"/>
  <c r="O22" i="6"/>
  <c r="L19" i="6"/>
  <c r="D14" i="6"/>
  <c r="C14" i="6"/>
  <c r="K14" i="6"/>
  <c r="G14" i="6"/>
  <c r="M14" i="6"/>
  <c r="O9" i="6"/>
  <c r="G9" i="6"/>
  <c r="O185" i="10"/>
  <c r="G185" i="10"/>
  <c r="C22" i="6"/>
  <c r="H22" i="6"/>
  <c r="M22" i="6"/>
  <c r="E22" i="6"/>
  <c r="K22" i="6"/>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L33" i="6"/>
  <c r="N29" i="6"/>
  <c r="I29" i="6"/>
  <c r="D29" i="6"/>
  <c r="O17" i="6"/>
  <c r="K17" i="6"/>
  <c r="G17" i="6"/>
  <c r="N16" i="6"/>
  <c r="I16" i="6"/>
  <c r="K8" i="6"/>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H245" i="2" s="1"/>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E129" i="3"/>
  <c r="E8" i="5"/>
  <c r="N164" i="5"/>
  <c r="C162" i="5"/>
  <c r="O162" i="5"/>
  <c r="P162" i="5" s="1"/>
  <c r="K162" i="5"/>
  <c r="K156" i="5"/>
  <c r="C156" i="5"/>
  <c r="O156" i="5"/>
  <c r="N154" i="5"/>
  <c r="N148" i="5"/>
  <c r="E186" i="3"/>
  <c r="H167" i="3"/>
  <c r="E163" i="3"/>
  <c r="H151" i="3"/>
  <c r="E147" i="3"/>
  <c r="E143" i="3"/>
  <c r="E131" i="3"/>
  <c r="K127" i="3"/>
  <c r="E123" i="3"/>
  <c r="K121" i="3"/>
  <c r="K117" i="3"/>
  <c r="E112" i="3"/>
  <c r="K104" i="3"/>
  <c r="H96" i="3"/>
  <c r="H92" i="3"/>
  <c r="K88" i="3"/>
  <c r="K44" i="3"/>
  <c r="K20" i="3"/>
  <c r="C158" i="5"/>
  <c r="O158" i="5"/>
  <c r="K158" i="5"/>
  <c r="K152" i="5"/>
  <c r="C152" i="5"/>
  <c r="O152" i="5"/>
  <c r="K52" i="3"/>
  <c r="K164" i="5"/>
  <c r="C164" i="5"/>
  <c r="O164" i="5"/>
  <c r="P156"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H187" i="3"/>
  <c r="K179" i="3"/>
  <c r="E178" i="3"/>
  <c r="E171" i="3"/>
  <c r="E167" i="3"/>
  <c r="E155" i="3"/>
  <c r="E151" i="3"/>
  <c r="H143" i="3"/>
  <c r="K139" i="3"/>
  <c r="E138" i="3"/>
  <c r="H123" i="3"/>
  <c r="K119" i="3"/>
  <c r="H112" i="3"/>
  <c r="H108" i="3"/>
  <c r="E104" i="3"/>
  <c r="K101" i="3"/>
  <c r="E96" i="3"/>
  <c r="E88" i="3"/>
  <c r="K84" i="3"/>
  <c r="H72" i="3"/>
  <c r="I162" i="5"/>
  <c r="K160" i="5"/>
  <c r="C160" i="5"/>
  <c r="O160" i="5"/>
  <c r="P160" i="5" s="1"/>
  <c r="P158" i="5"/>
  <c r="I156" i="5"/>
  <c r="P152" i="5"/>
  <c r="C150" i="5"/>
  <c r="O150" i="5"/>
  <c r="P150" i="5" s="1"/>
  <c r="K150" i="5"/>
  <c r="K85" i="3"/>
  <c r="H80" i="3"/>
  <c r="H76" i="3"/>
  <c r="K72" i="3"/>
  <c r="H68" i="3"/>
  <c r="E48" i="3"/>
  <c r="E40" i="3"/>
  <c r="K32" i="3"/>
  <c r="E31" i="3"/>
  <c r="K21" i="3"/>
  <c r="H16" i="3"/>
  <c r="H12" i="3"/>
  <c r="K8" i="3"/>
  <c r="P163" i="5"/>
  <c r="P159" i="5"/>
  <c r="P155" i="5"/>
  <c r="P151" i="5"/>
  <c r="P147" i="5"/>
  <c r="K146" i="5"/>
  <c r="P143" i="5"/>
  <c r="K142" i="5"/>
  <c r="P139" i="5"/>
  <c r="K138" i="5"/>
  <c r="P135" i="5"/>
  <c r="K134" i="5"/>
  <c r="P131" i="5"/>
  <c r="K130" i="5"/>
  <c r="P127" i="5"/>
  <c r="K126" i="5"/>
  <c r="P123" i="5"/>
  <c r="K122" i="5"/>
  <c r="P119" i="5"/>
  <c r="K118" i="5"/>
  <c r="P115" i="5"/>
  <c r="K114" i="5"/>
  <c r="P111" i="5"/>
  <c r="K110" i="5"/>
  <c r="O108" i="5"/>
  <c r="C108" i="5"/>
  <c r="P107" i="5"/>
  <c r="K106" i="5"/>
  <c r="O104" i="5"/>
  <c r="C104" i="5"/>
  <c r="P103" i="5"/>
  <c r="K102" i="5"/>
  <c r="O100" i="5"/>
  <c r="P100" i="5" s="1"/>
  <c r="C100" i="5"/>
  <c r="P99" i="5"/>
  <c r="K98" i="5"/>
  <c r="O96" i="5"/>
  <c r="C96" i="5"/>
  <c r="P95" i="5"/>
  <c r="K94" i="5"/>
  <c r="O92" i="5"/>
  <c r="C92" i="5"/>
  <c r="P91" i="5"/>
  <c r="K90" i="5"/>
  <c r="O88" i="5"/>
  <c r="C88" i="5"/>
  <c r="P87" i="5"/>
  <c r="K86" i="5"/>
  <c r="O84" i="5"/>
  <c r="P84" i="5" s="1"/>
  <c r="C84" i="5"/>
  <c r="P83" i="5"/>
  <c r="K82" i="5"/>
  <c r="O80" i="5"/>
  <c r="P80" i="5" s="1"/>
  <c r="C80" i="5"/>
  <c r="P79" i="5"/>
  <c r="K78" i="5"/>
  <c r="O76" i="5"/>
  <c r="P76" i="5" s="1"/>
  <c r="C76" i="5"/>
  <c r="P75" i="5"/>
  <c r="K74" i="5"/>
  <c r="O72" i="5"/>
  <c r="P72" i="5" s="1"/>
  <c r="C72" i="5"/>
  <c r="P71" i="5"/>
  <c r="K70" i="5"/>
  <c r="O68" i="5"/>
  <c r="P68" i="5" s="1"/>
  <c r="C68" i="5"/>
  <c r="P67" i="5"/>
  <c r="K66" i="5"/>
  <c r="O64" i="5"/>
  <c r="C64" i="5"/>
  <c r="P63" i="5"/>
  <c r="K49" i="5"/>
  <c r="O47" i="5"/>
  <c r="C47" i="5"/>
  <c r="K45" i="5"/>
  <c r="O43" i="5"/>
  <c r="C43" i="5"/>
  <c r="K41" i="5"/>
  <c r="O39" i="5"/>
  <c r="C39" i="5"/>
  <c r="K37" i="5"/>
  <c r="O35" i="5"/>
  <c r="C35" i="5"/>
  <c r="K33" i="5"/>
  <c r="O31" i="5"/>
  <c r="C31" i="5"/>
  <c r="K29" i="5"/>
  <c r="O27" i="5"/>
  <c r="C27" i="5"/>
  <c r="K25" i="5"/>
  <c r="O23" i="5"/>
  <c r="C23" i="5"/>
  <c r="K21" i="5"/>
  <c r="O19" i="5"/>
  <c r="C19" i="5"/>
  <c r="K17" i="5"/>
  <c r="O15" i="5"/>
  <c r="C15" i="5"/>
  <c r="K13" i="5"/>
  <c r="O11" i="5"/>
  <c r="C11" i="5"/>
  <c r="K9" i="5"/>
  <c r="O7" i="5"/>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P108" i="5"/>
  <c r="P104" i="5"/>
  <c r="P96" i="5"/>
  <c r="P92" i="5"/>
  <c r="P88" i="5"/>
  <c r="P64" i="5"/>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E80" i="3"/>
  <c r="E72" i="3"/>
  <c r="K64" i="3"/>
  <c r="E63" i="3"/>
  <c r="K53" i="3"/>
  <c r="H48" i="3"/>
  <c r="H44" i="3"/>
  <c r="K40" i="3"/>
  <c r="H36" i="3"/>
  <c r="E16" i="3"/>
  <c r="E8" i="3"/>
  <c r="P166" i="5"/>
  <c r="P161" i="5"/>
  <c r="P157" i="5"/>
  <c r="P153" i="5"/>
  <c r="P149" i="5"/>
  <c r="O146" i="5"/>
  <c r="P145" i="5"/>
  <c r="O142" i="5"/>
  <c r="P142" i="5" s="1"/>
  <c r="P141" i="5"/>
  <c r="O138" i="5"/>
  <c r="P137" i="5"/>
  <c r="O134" i="5"/>
  <c r="P134" i="5" s="1"/>
  <c r="P133" i="5"/>
  <c r="O130" i="5"/>
  <c r="P129" i="5"/>
  <c r="O126" i="5"/>
  <c r="P126" i="5" s="1"/>
  <c r="P125" i="5"/>
  <c r="O122" i="5"/>
  <c r="P121" i="5"/>
  <c r="O118" i="5"/>
  <c r="P118" i="5" s="1"/>
  <c r="P117" i="5"/>
  <c r="O114" i="5"/>
  <c r="P113" i="5"/>
  <c r="O110" i="5"/>
  <c r="P110" i="5" s="1"/>
  <c r="P109" i="5"/>
  <c r="K108" i="5"/>
  <c r="O106" i="5"/>
  <c r="P105" i="5"/>
  <c r="K104" i="5"/>
  <c r="O102" i="5"/>
  <c r="P102" i="5" s="1"/>
  <c r="P101" i="5"/>
  <c r="K100" i="5"/>
  <c r="O98" i="5"/>
  <c r="P97" i="5"/>
  <c r="K96" i="5"/>
  <c r="O94" i="5"/>
  <c r="P94" i="5" s="1"/>
  <c r="P93" i="5"/>
  <c r="K92" i="5"/>
  <c r="O90" i="5"/>
  <c r="P90" i="5" s="1"/>
  <c r="P89" i="5"/>
  <c r="K88" i="5"/>
  <c r="O86" i="5"/>
  <c r="P86" i="5" s="1"/>
  <c r="P85" i="5"/>
  <c r="K84" i="5"/>
  <c r="O82" i="5"/>
  <c r="P81" i="5"/>
  <c r="K80" i="5"/>
  <c r="O78" i="5"/>
  <c r="P78" i="5" s="1"/>
  <c r="P77" i="5"/>
  <c r="K76" i="5"/>
  <c r="O74" i="5"/>
  <c r="P73" i="5"/>
  <c r="K72" i="5"/>
  <c r="O70" i="5"/>
  <c r="P70" i="5" s="1"/>
  <c r="P69" i="5"/>
  <c r="K68" i="5"/>
  <c r="O66" i="5"/>
  <c r="P66" i="5" s="1"/>
  <c r="P65" i="5"/>
  <c r="K64" i="5"/>
  <c r="O49" i="5"/>
  <c r="C49" i="5"/>
  <c r="K47" i="5"/>
  <c r="I46" i="5"/>
  <c r="O45" i="5"/>
  <c r="C45" i="5"/>
  <c r="K43" i="5"/>
  <c r="I42" i="5"/>
  <c r="O41" i="5"/>
  <c r="C41" i="5"/>
  <c r="K39" i="5"/>
  <c r="I38" i="5"/>
  <c r="O37" i="5"/>
  <c r="O191" i="5" s="1"/>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P146" i="5"/>
  <c r="P138" i="5"/>
  <c r="P130" i="5"/>
  <c r="P122" i="5"/>
  <c r="P114" i="5"/>
  <c r="P106" i="5"/>
  <c r="P98" i="5"/>
  <c r="P82" i="5"/>
  <c r="P74" i="5"/>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G43" i="14" s="1"/>
  <c r="D43" i="14"/>
  <c r="E43" i="14"/>
  <c r="G20" i="14"/>
  <c r="F52" i="13"/>
  <c r="B51" i="13"/>
  <c r="G48" i="13"/>
  <c r="B48" i="13"/>
  <c r="C44" i="13"/>
  <c r="F36" i="13"/>
  <c r="B35" i="13"/>
  <c r="E30" i="13"/>
  <c r="F25" i="13"/>
  <c r="B23" i="13"/>
  <c r="C20" i="13"/>
  <c r="E14" i="13"/>
  <c r="F9" i="13"/>
  <c r="B7" i="13"/>
  <c r="D187" i="14"/>
  <c r="E186" i="14"/>
  <c r="D183" i="14"/>
  <c r="C182" i="14"/>
  <c r="E165" i="14"/>
  <c r="G165" i="14" s="1"/>
  <c r="B157" i="14"/>
  <c r="G157" i="14" s="1"/>
  <c r="C146" i="14"/>
  <c r="D140" i="14"/>
  <c r="B140" i="14"/>
  <c r="E140" i="14"/>
  <c r="E138" i="14"/>
  <c r="C134" i="14"/>
  <c r="D134" i="14"/>
  <c r="C132" i="14"/>
  <c r="E132" i="14"/>
  <c r="G131" i="14"/>
  <c r="G123" i="14"/>
  <c r="C116" i="14"/>
  <c r="E116" i="14"/>
  <c r="G115" i="14"/>
  <c r="C90" i="14"/>
  <c r="E90" i="14"/>
  <c r="C83" i="14"/>
  <c r="B83" i="14"/>
  <c r="D83" i="14"/>
  <c r="E83" i="14"/>
  <c r="B80" i="14"/>
  <c r="G80" i="14" s="1"/>
  <c r="C80" i="14"/>
  <c r="E80" i="14"/>
  <c r="B76" i="14"/>
  <c r="G76" i="14" s="1"/>
  <c r="C76" i="14"/>
  <c r="E76" i="14"/>
  <c r="B72" i="14"/>
  <c r="C72" i="14"/>
  <c r="E72" i="14"/>
  <c r="B68" i="14"/>
  <c r="C68" i="14"/>
  <c r="E68" i="14"/>
  <c r="B64" i="14"/>
  <c r="C64" i="14"/>
  <c r="E64" i="14"/>
  <c r="C38" i="14"/>
  <c r="E38" i="14"/>
  <c r="E36" i="14"/>
  <c r="C36" i="14"/>
  <c r="F171" i="14"/>
  <c r="C167" i="14"/>
  <c r="E167" i="14"/>
  <c r="G167" i="14" s="1"/>
  <c r="C165" i="14"/>
  <c r="E159" i="14"/>
  <c r="B153" i="14"/>
  <c r="G153" i="14" s="1"/>
  <c r="F153" i="14"/>
  <c r="D141" i="14"/>
  <c r="B141" i="14"/>
  <c r="G141" i="14" s="1"/>
  <c r="F141" i="14"/>
  <c r="F135" i="14"/>
  <c r="E133" i="14"/>
  <c r="E117" i="14"/>
  <c r="B101" i="14"/>
  <c r="G101" i="14" s="1"/>
  <c r="F101" i="14"/>
  <c r="C101" i="14"/>
  <c r="D101" i="14"/>
  <c r="D58" i="14"/>
  <c r="C58" i="14"/>
  <c r="E58" i="14"/>
  <c r="F105" i="14"/>
  <c r="B105" i="14"/>
  <c r="G105" i="14" s="1"/>
  <c r="E100" i="14"/>
  <c r="F89" i="14"/>
  <c r="B89" i="14"/>
  <c r="G89" i="14" s="1"/>
  <c r="B60" i="14"/>
  <c r="C56" i="14"/>
  <c r="F53" i="14"/>
  <c r="B53" i="14"/>
  <c r="G53" i="14" s="1"/>
  <c r="D51" i="14"/>
  <c r="C50" i="14"/>
  <c r="C46" i="14"/>
  <c r="F37" i="14"/>
  <c r="B37" i="14"/>
  <c r="F21" i="14"/>
  <c r="B21" i="14"/>
  <c r="G21" i="14" s="1"/>
  <c r="C20" i="14"/>
  <c r="C16" i="14"/>
  <c r="C12" i="14"/>
  <c r="C8" i="14"/>
  <c r="G99" i="14"/>
  <c r="G95" i="14"/>
  <c r="G31" i="14"/>
  <c r="G27" i="14"/>
  <c r="G19" i="14"/>
  <c r="G16" i="14"/>
  <c r="G15" i="14"/>
  <c r="G12" i="14"/>
  <c r="G11" i="14"/>
  <c r="G8" i="14"/>
  <c r="G7" i="14"/>
  <c r="D123" i="14"/>
  <c r="D119" i="14"/>
  <c r="D107" i="14"/>
  <c r="D103" i="14"/>
  <c r="D91" i="14"/>
  <c r="D87" i="14"/>
  <c r="G84" i="14"/>
  <c r="D79" i="14"/>
  <c r="D75" i="14"/>
  <c r="D71" i="14"/>
  <c r="D67" i="14"/>
  <c r="D63" i="14"/>
  <c r="E60" i="14"/>
  <c r="G60" i="14" s="1"/>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N192" i="2" s="1"/>
  <c r="O192" i="2" s="1"/>
  <c r="P192" i="2"/>
  <c r="E244" i="2"/>
  <c r="F193" i="2"/>
  <c r="S188" i="2"/>
  <c r="S186" i="2"/>
  <c r="F185" i="2"/>
  <c r="S180" i="2"/>
  <c r="S178" i="2"/>
  <c r="F177" i="2"/>
  <c r="S172" i="2"/>
  <c r="F171" i="2"/>
  <c r="M170" i="2"/>
  <c r="E170" i="2"/>
  <c r="B168" i="2"/>
  <c r="R168" i="2"/>
  <c r="E168" i="2"/>
  <c r="G168" i="2" s="1"/>
  <c r="P168" i="2"/>
  <c r="C168" i="2"/>
  <c r="H168" i="2"/>
  <c r="J168" i="2" s="1"/>
  <c r="K168" i="2" s="1"/>
  <c r="M168" i="2"/>
  <c r="N168" i="2" s="1"/>
  <c r="O168" i="2" s="1"/>
  <c r="S168" i="2"/>
  <c r="J167" i="2"/>
  <c r="K167" i="2" s="1"/>
  <c r="D166" i="2"/>
  <c r="H166" i="2"/>
  <c r="J166" i="2" s="1"/>
  <c r="K166" i="2" s="1"/>
  <c r="L166" i="2"/>
  <c r="P166" i="2"/>
  <c r="B166" i="2"/>
  <c r="M166" i="2"/>
  <c r="R166" i="2"/>
  <c r="E166" i="2"/>
  <c r="Q164" i="2"/>
  <c r="Q162" i="2"/>
  <c r="B160" i="2"/>
  <c r="R160" i="2"/>
  <c r="E160" i="2"/>
  <c r="G160" i="2" s="1"/>
  <c r="P160" i="2"/>
  <c r="C160" i="2"/>
  <c r="H160" i="2"/>
  <c r="J160" i="2" s="1"/>
  <c r="K160" i="2" s="1"/>
  <c r="M160" i="2"/>
  <c r="N160" i="2" s="1"/>
  <c r="O160" i="2" s="1"/>
  <c r="S160" i="2"/>
  <c r="D158" i="2"/>
  <c r="H158" i="2"/>
  <c r="J158" i="2" s="1"/>
  <c r="K158" i="2" s="1"/>
  <c r="L158" i="2"/>
  <c r="P158" i="2"/>
  <c r="B158" i="2"/>
  <c r="M158" i="2"/>
  <c r="R158" i="2"/>
  <c r="E158" i="2"/>
  <c r="Q156" i="2"/>
  <c r="Q154" i="2"/>
  <c r="B152" i="2"/>
  <c r="R152" i="2"/>
  <c r="E152" i="2"/>
  <c r="G152" i="2" s="1"/>
  <c r="P152" i="2"/>
  <c r="C152" i="2"/>
  <c r="H152" i="2"/>
  <c r="J152" i="2" s="1"/>
  <c r="K152" i="2" s="1"/>
  <c r="M152" i="2"/>
  <c r="N152" i="2" s="1"/>
  <c r="O152" i="2" s="1"/>
  <c r="S152" i="2"/>
  <c r="D150" i="2"/>
  <c r="H150" i="2"/>
  <c r="J150" i="2" s="1"/>
  <c r="K150" i="2" s="1"/>
  <c r="L150" i="2"/>
  <c r="P150" i="2"/>
  <c r="B150" i="2"/>
  <c r="M150" i="2"/>
  <c r="R150" i="2"/>
  <c r="E150" i="2"/>
  <c r="Q148" i="2"/>
  <c r="Q146" i="2"/>
  <c r="B144" i="2"/>
  <c r="R144" i="2"/>
  <c r="E144" i="2"/>
  <c r="G144" i="2" s="1"/>
  <c r="P144" i="2"/>
  <c r="C144" i="2"/>
  <c r="H144" i="2"/>
  <c r="J144" i="2" s="1"/>
  <c r="K144" i="2" s="1"/>
  <c r="M144" i="2"/>
  <c r="N144" i="2" s="1"/>
  <c r="O144" i="2" s="1"/>
  <c r="S144" i="2"/>
  <c r="Q142" i="2"/>
  <c r="F140" i="2"/>
  <c r="C138" i="2"/>
  <c r="F138" i="2" s="1"/>
  <c r="S138" i="2"/>
  <c r="B138" i="2"/>
  <c r="H138" i="2"/>
  <c r="J138" i="2" s="1"/>
  <c r="K138" i="2" s="1"/>
  <c r="M138" i="2"/>
  <c r="N138" i="2" s="1"/>
  <c r="O138" i="2" s="1"/>
  <c r="R138" i="2"/>
  <c r="E138" i="2"/>
  <c r="P138" i="2"/>
  <c r="S135" i="2"/>
  <c r="Q134" i="2"/>
  <c r="F132" i="2"/>
  <c r="C130" i="2"/>
  <c r="F130" i="2" s="1"/>
  <c r="S130" i="2"/>
  <c r="B130" i="2"/>
  <c r="H130" i="2"/>
  <c r="J130" i="2" s="1"/>
  <c r="K130" i="2" s="1"/>
  <c r="M130" i="2"/>
  <c r="N130" i="2" s="1"/>
  <c r="O130" i="2" s="1"/>
  <c r="R130" i="2"/>
  <c r="E130" i="2"/>
  <c r="P130" i="2"/>
  <c r="S127" i="2"/>
  <c r="Q126" i="2"/>
  <c r="F124" i="2"/>
  <c r="C122" i="2"/>
  <c r="F122" i="2" s="1"/>
  <c r="S122" i="2"/>
  <c r="B122" i="2"/>
  <c r="H122" i="2"/>
  <c r="J122" i="2" s="1"/>
  <c r="K122" i="2" s="1"/>
  <c r="M122" i="2"/>
  <c r="N122" i="2" s="1"/>
  <c r="O122" i="2" s="1"/>
  <c r="R122" i="2"/>
  <c r="E122" i="2"/>
  <c r="P122" i="2"/>
  <c r="S119" i="2"/>
  <c r="Q118" i="2"/>
  <c r="F116" i="2"/>
  <c r="C114" i="2"/>
  <c r="F114" i="2" s="1"/>
  <c r="S114" i="2"/>
  <c r="B114" i="2"/>
  <c r="H114" i="2"/>
  <c r="J114" i="2" s="1"/>
  <c r="K114" i="2" s="1"/>
  <c r="M114" i="2"/>
  <c r="N114" i="2" s="1"/>
  <c r="O114" i="2" s="1"/>
  <c r="R114" i="2"/>
  <c r="E114" i="2"/>
  <c r="P114" i="2"/>
  <c r="S111" i="2"/>
  <c r="Q110" i="2"/>
  <c r="F108" i="2"/>
  <c r="C106" i="2"/>
  <c r="F106" i="2" s="1"/>
  <c r="S106" i="2"/>
  <c r="B106" i="2"/>
  <c r="H106" i="2"/>
  <c r="J106" i="2" s="1"/>
  <c r="K106" i="2" s="1"/>
  <c r="M106" i="2"/>
  <c r="N106" i="2" s="1"/>
  <c r="O106" i="2" s="1"/>
  <c r="R106" i="2"/>
  <c r="E106" i="2"/>
  <c r="P106" i="2"/>
  <c r="S103" i="2"/>
  <c r="Q102" i="2"/>
  <c r="F100" i="2"/>
  <c r="C98" i="2"/>
  <c r="F98" i="2" s="1"/>
  <c r="S98" i="2"/>
  <c r="B98" i="2"/>
  <c r="H98" i="2"/>
  <c r="J98" i="2" s="1"/>
  <c r="K98" i="2" s="1"/>
  <c r="M98" i="2"/>
  <c r="N98" i="2" s="1"/>
  <c r="O98" i="2" s="1"/>
  <c r="R98" i="2"/>
  <c r="E98" i="2"/>
  <c r="P98" i="2"/>
  <c r="S95" i="2"/>
  <c r="Q94" i="2"/>
  <c r="F92" i="2"/>
  <c r="C90" i="2"/>
  <c r="F90" i="2" s="1"/>
  <c r="S90" i="2"/>
  <c r="B90" i="2"/>
  <c r="H90" i="2"/>
  <c r="J90" i="2" s="1"/>
  <c r="K90" i="2" s="1"/>
  <c r="M90" i="2"/>
  <c r="N90" i="2" s="1"/>
  <c r="O90" i="2" s="1"/>
  <c r="R90" i="2"/>
  <c r="E90" i="2"/>
  <c r="P90" i="2"/>
  <c r="S87" i="2"/>
  <c r="Q86" i="2"/>
  <c r="F84" i="2"/>
  <c r="C82" i="2"/>
  <c r="F82" i="2" s="1"/>
  <c r="S82" i="2"/>
  <c r="B82" i="2"/>
  <c r="H82" i="2"/>
  <c r="J82" i="2" s="1"/>
  <c r="K82" i="2" s="1"/>
  <c r="M82" i="2"/>
  <c r="N82" i="2" s="1"/>
  <c r="O82" i="2" s="1"/>
  <c r="R82" i="2"/>
  <c r="E82" i="2"/>
  <c r="P82" i="2"/>
  <c r="S79" i="2"/>
  <c r="Q78" i="2"/>
  <c r="F76" i="2"/>
  <c r="C74" i="2"/>
  <c r="F74" i="2" s="1"/>
  <c r="S74" i="2"/>
  <c r="B74" i="2"/>
  <c r="H74" i="2"/>
  <c r="J74" i="2" s="1"/>
  <c r="K74" i="2" s="1"/>
  <c r="M74" i="2"/>
  <c r="N74" i="2" s="1"/>
  <c r="O74" i="2" s="1"/>
  <c r="R74" i="2"/>
  <c r="E74" i="2"/>
  <c r="P74" i="2"/>
  <c r="S71" i="2"/>
  <c r="Q70" i="2"/>
  <c r="F68" i="2"/>
  <c r="C66" i="2"/>
  <c r="F66" i="2" s="1"/>
  <c r="S66" i="2"/>
  <c r="B66" i="2"/>
  <c r="H66" i="2"/>
  <c r="J66" i="2" s="1"/>
  <c r="K66" i="2" s="1"/>
  <c r="M66" i="2"/>
  <c r="N66" i="2" s="1"/>
  <c r="O66" i="2" s="1"/>
  <c r="R66" i="2"/>
  <c r="E66" i="2"/>
  <c r="P66" i="2"/>
  <c r="S63" i="2"/>
  <c r="Q62" i="2"/>
  <c r="F60" i="2"/>
  <c r="C58" i="2"/>
  <c r="F58" i="2" s="1"/>
  <c r="S58" i="2"/>
  <c r="B58" i="2"/>
  <c r="H58" i="2"/>
  <c r="J58" i="2" s="1"/>
  <c r="K58" i="2" s="1"/>
  <c r="M58" i="2"/>
  <c r="N58" i="2" s="1"/>
  <c r="O58" i="2" s="1"/>
  <c r="R58" i="2"/>
  <c r="E58" i="2"/>
  <c r="P58" i="2"/>
  <c r="S55" i="2"/>
  <c r="Q54" i="2"/>
  <c r="F52" i="2"/>
  <c r="C50" i="2"/>
  <c r="F50" i="2" s="1"/>
  <c r="S50" i="2"/>
  <c r="B50" i="2"/>
  <c r="H50" i="2"/>
  <c r="J50" i="2" s="1"/>
  <c r="K50" i="2" s="1"/>
  <c r="M50" i="2"/>
  <c r="N50" i="2" s="1"/>
  <c r="O50" i="2" s="1"/>
  <c r="R50" i="2"/>
  <c r="E50" i="2"/>
  <c r="P50" i="2"/>
  <c r="S47" i="2"/>
  <c r="Q46" i="2"/>
  <c r="F44" i="2"/>
  <c r="C42" i="2"/>
  <c r="F42" i="2" s="1"/>
  <c r="S42" i="2"/>
  <c r="B42" i="2"/>
  <c r="H42" i="2"/>
  <c r="J42" i="2" s="1"/>
  <c r="K42" i="2" s="1"/>
  <c r="M42" i="2"/>
  <c r="N42" i="2" s="1"/>
  <c r="O42" i="2" s="1"/>
  <c r="R42" i="2"/>
  <c r="E42" i="2"/>
  <c r="P42" i="2"/>
  <c r="S39" i="2"/>
  <c r="Q38" i="2"/>
  <c r="F36" i="2"/>
  <c r="C34" i="2"/>
  <c r="F34" i="2" s="1"/>
  <c r="S34" i="2"/>
  <c r="B34" i="2"/>
  <c r="H34" i="2"/>
  <c r="J34" i="2" s="1"/>
  <c r="K34" i="2" s="1"/>
  <c r="M34" i="2"/>
  <c r="N34" i="2" s="1"/>
  <c r="O34" i="2" s="1"/>
  <c r="R34" i="2"/>
  <c r="E34" i="2"/>
  <c r="P34" i="2"/>
  <c r="S31" i="2"/>
  <c r="Q30" i="2"/>
  <c r="F28" i="2"/>
  <c r="C26" i="2"/>
  <c r="F26" i="2" s="1"/>
  <c r="S26" i="2"/>
  <c r="B26" i="2"/>
  <c r="H26" i="2"/>
  <c r="J26" i="2" s="1"/>
  <c r="K26" i="2" s="1"/>
  <c r="M26" i="2"/>
  <c r="N26" i="2" s="1"/>
  <c r="O26" i="2" s="1"/>
  <c r="R26" i="2"/>
  <c r="E26" i="2"/>
  <c r="P26" i="2"/>
  <c r="B17" i="2"/>
  <c r="R17" i="2"/>
  <c r="D17" i="2"/>
  <c r="I17" i="2"/>
  <c r="E17" i="2"/>
  <c r="P17" i="2"/>
  <c r="C17" i="2"/>
  <c r="H17" i="2"/>
  <c r="J17" i="2" s="1"/>
  <c r="K17" i="2" s="1"/>
  <c r="M17" i="2"/>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J186" i="2" s="1"/>
  <c r="K186" i="2" s="1"/>
  <c r="L186" i="2"/>
  <c r="P186" i="2"/>
  <c r="B186" i="2"/>
  <c r="R186" i="2"/>
  <c r="B180" i="2"/>
  <c r="R180" i="2"/>
  <c r="D180" i="2"/>
  <c r="H180" i="2"/>
  <c r="J180" i="2" s="1"/>
  <c r="K180" i="2" s="1"/>
  <c r="L180" i="2"/>
  <c r="P180" i="2"/>
  <c r="D178" i="2"/>
  <c r="H178" i="2"/>
  <c r="J178" i="2" s="1"/>
  <c r="K178" i="2" s="1"/>
  <c r="L178" i="2"/>
  <c r="P178" i="2"/>
  <c r="B178" i="2"/>
  <c r="R178" i="2"/>
  <c r="B172" i="2"/>
  <c r="R172" i="2"/>
  <c r="D172" i="2"/>
  <c r="H172" i="2"/>
  <c r="J172" i="2" s="1"/>
  <c r="K172" i="2" s="1"/>
  <c r="L172" i="2"/>
  <c r="P172" i="2"/>
  <c r="S170" i="2"/>
  <c r="C170" i="2"/>
  <c r="C169" i="2"/>
  <c r="F169" i="2" s="1"/>
  <c r="S169" i="2"/>
  <c r="B169" i="2"/>
  <c r="H169" i="2"/>
  <c r="J169" i="2" s="1"/>
  <c r="K169" i="2" s="1"/>
  <c r="M169" i="2"/>
  <c r="N169" i="2" s="1"/>
  <c r="O169" i="2" s="1"/>
  <c r="R169" i="2"/>
  <c r="E169" i="2"/>
  <c r="G169" i="2" s="1"/>
  <c r="P169" i="2"/>
  <c r="I3" i="21"/>
  <c r="K3" i="21" s="1"/>
  <c r="G167" i="2"/>
  <c r="D164" i="2"/>
  <c r="C161" i="2"/>
  <c r="F161" i="2" s="1"/>
  <c r="S161" i="2"/>
  <c r="B161" i="2"/>
  <c r="H161" i="2"/>
  <c r="J161" i="2" s="1"/>
  <c r="K161" i="2" s="1"/>
  <c r="M161" i="2"/>
  <c r="N161" i="2" s="1"/>
  <c r="O161" i="2" s="1"/>
  <c r="R161" i="2"/>
  <c r="E161" i="2"/>
  <c r="G161" i="2" s="1"/>
  <c r="P161" i="2"/>
  <c r="D156" i="2"/>
  <c r="C153" i="2"/>
  <c r="F153" i="2" s="1"/>
  <c r="S153" i="2"/>
  <c r="B153" i="2"/>
  <c r="H153" i="2"/>
  <c r="J153" i="2" s="1"/>
  <c r="K153" i="2" s="1"/>
  <c r="M153" i="2"/>
  <c r="N153" i="2" s="1"/>
  <c r="O153" i="2" s="1"/>
  <c r="R153" i="2"/>
  <c r="E153" i="2"/>
  <c r="G153" i="2" s="1"/>
  <c r="P153" i="2"/>
  <c r="C145" i="2"/>
  <c r="F145" i="2" s="1"/>
  <c r="S145" i="2"/>
  <c r="B145" i="2"/>
  <c r="H145" i="2"/>
  <c r="J145" i="2" s="1"/>
  <c r="K145" i="2" s="1"/>
  <c r="M145" i="2"/>
  <c r="N145" i="2" s="1"/>
  <c r="O145" i="2" s="1"/>
  <c r="R145" i="2"/>
  <c r="E145" i="2"/>
  <c r="G145" i="2" s="1"/>
  <c r="P145" i="2"/>
  <c r="B141" i="2"/>
  <c r="R141" i="2"/>
  <c r="C141" i="2"/>
  <c r="F141" i="2" s="1"/>
  <c r="H141" i="2"/>
  <c r="J141" i="2" s="1"/>
  <c r="K141" i="2" s="1"/>
  <c r="M141" i="2"/>
  <c r="N141" i="2" s="1"/>
  <c r="O141" i="2" s="1"/>
  <c r="S141" i="2"/>
  <c r="E141" i="2"/>
  <c r="G141" i="2" s="1"/>
  <c r="P141" i="2"/>
  <c r="D139" i="2"/>
  <c r="H139" i="2"/>
  <c r="J139" i="2" s="1"/>
  <c r="K139" i="2" s="1"/>
  <c r="L139" i="2"/>
  <c r="P139" i="2"/>
  <c r="E139" i="2"/>
  <c r="B139" i="2"/>
  <c r="M139" i="2"/>
  <c r="R139" i="2"/>
  <c r="B133" i="2"/>
  <c r="R133" i="2"/>
  <c r="C133" i="2"/>
  <c r="F133" i="2" s="1"/>
  <c r="H133" i="2"/>
  <c r="J133" i="2" s="1"/>
  <c r="K133" i="2" s="1"/>
  <c r="M133" i="2"/>
  <c r="N133" i="2" s="1"/>
  <c r="O133" i="2" s="1"/>
  <c r="S133" i="2"/>
  <c r="E133" i="2"/>
  <c r="G133" i="2" s="1"/>
  <c r="P133" i="2"/>
  <c r="D131" i="2"/>
  <c r="H131" i="2"/>
  <c r="J131" i="2" s="1"/>
  <c r="K131" i="2" s="1"/>
  <c r="L131" i="2"/>
  <c r="P131" i="2"/>
  <c r="E131" i="2"/>
  <c r="B131" i="2"/>
  <c r="M131" i="2"/>
  <c r="R131" i="2"/>
  <c r="B125" i="2"/>
  <c r="R125" i="2"/>
  <c r="C125" i="2"/>
  <c r="F125" i="2" s="1"/>
  <c r="H125" i="2"/>
  <c r="J125" i="2" s="1"/>
  <c r="K125" i="2" s="1"/>
  <c r="M125" i="2"/>
  <c r="N125" i="2" s="1"/>
  <c r="O125" i="2" s="1"/>
  <c r="S125" i="2"/>
  <c r="E125" i="2"/>
  <c r="G125" i="2" s="1"/>
  <c r="P125" i="2"/>
  <c r="D123" i="2"/>
  <c r="H123" i="2"/>
  <c r="J123" i="2" s="1"/>
  <c r="K123" i="2" s="1"/>
  <c r="L123" i="2"/>
  <c r="P123" i="2"/>
  <c r="E123" i="2"/>
  <c r="B123" i="2"/>
  <c r="M123" i="2"/>
  <c r="R123" i="2"/>
  <c r="B117" i="2"/>
  <c r="R117" i="2"/>
  <c r="C117" i="2"/>
  <c r="F117" i="2" s="1"/>
  <c r="H117" i="2"/>
  <c r="J117" i="2" s="1"/>
  <c r="K117" i="2" s="1"/>
  <c r="M117" i="2"/>
  <c r="N117" i="2" s="1"/>
  <c r="O117" i="2" s="1"/>
  <c r="S117" i="2"/>
  <c r="E117" i="2"/>
  <c r="G117" i="2" s="1"/>
  <c r="P117" i="2"/>
  <c r="D115" i="2"/>
  <c r="H115" i="2"/>
  <c r="J115" i="2" s="1"/>
  <c r="K115" i="2" s="1"/>
  <c r="L115" i="2"/>
  <c r="P115" i="2"/>
  <c r="E115" i="2"/>
  <c r="B115" i="2"/>
  <c r="M115" i="2"/>
  <c r="R115" i="2"/>
  <c r="B109" i="2"/>
  <c r="R109" i="2"/>
  <c r="C109" i="2"/>
  <c r="F109" i="2" s="1"/>
  <c r="H109" i="2"/>
  <c r="J109" i="2" s="1"/>
  <c r="K109" i="2" s="1"/>
  <c r="M109" i="2"/>
  <c r="N109" i="2" s="1"/>
  <c r="O109" i="2" s="1"/>
  <c r="S109" i="2"/>
  <c r="E109" i="2"/>
  <c r="G109" i="2" s="1"/>
  <c r="P109" i="2"/>
  <c r="D107" i="2"/>
  <c r="H107" i="2"/>
  <c r="J107" i="2" s="1"/>
  <c r="K107" i="2" s="1"/>
  <c r="L107" i="2"/>
  <c r="P107" i="2"/>
  <c r="E107" i="2"/>
  <c r="B107" i="2"/>
  <c r="M107" i="2"/>
  <c r="R107" i="2"/>
  <c r="B101" i="2"/>
  <c r="R101" i="2"/>
  <c r="C101" i="2"/>
  <c r="F101" i="2" s="1"/>
  <c r="H101" i="2"/>
  <c r="J101" i="2" s="1"/>
  <c r="K101" i="2" s="1"/>
  <c r="M101" i="2"/>
  <c r="N101" i="2" s="1"/>
  <c r="O101" i="2" s="1"/>
  <c r="S101" i="2"/>
  <c r="E101" i="2"/>
  <c r="G101" i="2" s="1"/>
  <c r="P101" i="2"/>
  <c r="D99" i="2"/>
  <c r="H99" i="2"/>
  <c r="J99" i="2" s="1"/>
  <c r="K99" i="2" s="1"/>
  <c r="L99" i="2"/>
  <c r="P99" i="2"/>
  <c r="E99" i="2"/>
  <c r="B99" i="2"/>
  <c r="M99" i="2"/>
  <c r="R99" i="2"/>
  <c r="B93" i="2"/>
  <c r="R93" i="2"/>
  <c r="C93" i="2"/>
  <c r="F93" i="2" s="1"/>
  <c r="H93" i="2"/>
  <c r="J93" i="2" s="1"/>
  <c r="K93" i="2" s="1"/>
  <c r="M93" i="2"/>
  <c r="N93" i="2" s="1"/>
  <c r="O93" i="2" s="1"/>
  <c r="S93" i="2"/>
  <c r="E93" i="2"/>
  <c r="G93" i="2" s="1"/>
  <c r="P93" i="2"/>
  <c r="D91" i="2"/>
  <c r="H91" i="2"/>
  <c r="J91" i="2" s="1"/>
  <c r="K91" i="2" s="1"/>
  <c r="L91" i="2"/>
  <c r="P91" i="2"/>
  <c r="E91" i="2"/>
  <c r="B91" i="2"/>
  <c r="M91" i="2"/>
  <c r="R91" i="2"/>
  <c r="B85" i="2"/>
  <c r="R85" i="2"/>
  <c r="C85" i="2"/>
  <c r="F85" i="2" s="1"/>
  <c r="H85" i="2"/>
  <c r="J85" i="2" s="1"/>
  <c r="K85" i="2" s="1"/>
  <c r="M85" i="2"/>
  <c r="N85" i="2" s="1"/>
  <c r="O85" i="2" s="1"/>
  <c r="S85" i="2"/>
  <c r="E85" i="2"/>
  <c r="G85" i="2" s="1"/>
  <c r="P85" i="2"/>
  <c r="D83" i="2"/>
  <c r="H83" i="2"/>
  <c r="J83" i="2" s="1"/>
  <c r="K83" i="2" s="1"/>
  <c r="L83" i="2"/>
  <c r="P83" i="2"/>
  <c r="E83" i="2"/>
  <c r="B83" i="2"/>
  <c r="M83" i="2"/>
  <c r="R83" i="2"/>
  <c r="B77" i="2"/>
  <c r="R77" i="2"/>
  <c r="C77" i="2"/>
  <c r="F77" i="2" s="1"/>
  <c r="H77" i="2"/>
  <c r="J77" i="2" s="1"/>
  <c r="K77" i="2" s="1"/>
  <c r="M77" i="2"/>
  <c r="N77" i="2" s="1"/>
  <c r="O77" i="2" s="1"/>
  <c r="S77" i="2"/>
  <c r="E77" i="2"/>
  <c r="G77" i="2" s="1"/>
  <c r="P77" i="2"/>
  <c r="D75" i="2"/>
  <c r="H75" i="2"/>
  <c r="J75" i="2" s="1"/>
  <c r="K75" i="2" s="1"/>
  <c r="L75" i="2"/>
  <c r="P75" i="2"/>
  <c r="E75" i="2"/>
  <c r="B75" i="2"/>
  <c r="M75" i="2"/>
  <c r="R75" i="2"/>
  <c r="B69" i="2"/>
  <c r="R69" i="2"/>
  <c r="C69" i="2"/>
  <c r="F69" i="2" s="1"/>
  <c r="H69" i="2"/>
  <c r="J69" i="2" s="1"/>
  <c r="K69" i="2" s="1"/>
  <c r="M69" i="2"/>
  <c r="N69" i="2" s="1"/>
  <c r="O69" i="2" s="1"/>
  <c r="S69" i="2"/>
  <c r="E69" i="2"/>
  <c r="G69" i="2" s="1"/>
  <c r="P69" i="2"/>
  <c r="D67" i="2"/>
  <c r="H67" i="2"/>
  <c r="J67" i="2" s="1"/>
  <c r="K67" i="2" s="1"/>
  <c r="L67" i="2"/>
  <c r="P67" i="2"/>
  <c r="E67" i="2"/>
  <c r="B67" i="2"/>
  <c r="M67" i="2"/>
  <c r="R67" i="2"/>
  <c r="B61" i="2"/>
  <c r="R61" i="2"/>
  <c r="C61" i="2"/>
  <c r="F61" i="2" s="1"/>
  <c r="H61" i="2"/>
  <c r="J61" i="2" s="1"/>
  <c r="K61" i="2" s="1"/>
  <c r="M61" i="2"/>
  <c r="N61" i="2" s="1"/>
  <c r="O61" i="2" s="1"/>
  <c r="S61" i="2"/>
  <c r="E61" i="2"/>
  <c r="G61" i="2" s="1"/>
  <c r="P61" i="2"/>
  <c r="D59" i="2"/>
  <c r="H59" i="2"/>
  <c r="J59" i="2" s="1"/>
  <c r="K59" i="2" s="1"/>
  <c r="L59" i="2"/>
  <c r="P59" i="2"/>
  <c r="E59" i="2"/>
  <c r="B59" i="2"/>
  <c r="M59" i="2"/>
  <c r="R59" i="2"/>
  <c r="B53" i="2"/>
  <c r="R53" i="2"/>
  <c r="C53" i="2"/>
  <c r="F53" i="2" s="1"/>
  <c r="H53" i="2"/>
  <c r="J53" i="2" s="1"/>
  <c r="K53" i="2" s="1"/>
  <c r="M53" i="2"/>
  <c r="N53" i="2" s="1"/>
  <c r="O53" i="2" s="1"/>
  <c r="S53" i="2"/>
  <c r="E53" i="2"/>
  <c r="G53" i="2" s="1"/>
  <c r="P53" i="2"/>
  <c r="D51" i="2"/>
  <c r="H51" i="2"/>
  <c r="J51" i="2" s="1"/>
  <c r="K51" i="2" s="1"/>
  <c r="L51" i="2"/>
  <c r="P51" i="2"/>
  <c r="E51" i="2"/>
  <c r="B51" i="2"/>
  <c r="M51" i="2"/>
  <c r="R51" i="2"/>
  <c r="B45" i="2"/>
  <c r="R45" i="2"/>
  <c r="C45" i="2"/>
  <c r="F45" i="2" s="1"/>
  <c r="H45" i="2"/>
  <c r="J45" i="2" s="1"/>
  <c r="K45" i="2" s="1"/>
  <c r="M45" i="2"/>
  <c r="N45" i="2" s="1"/>
  <c r="O45" i="2" s="1"/>
  <c r="S45" i="2"/>
  <c r="E45" i="2"/>
  <c r="G45" i="2" s="1"/>
  <c r="P45" i="2"/>
  <c r="D43" i="2"/>
  <c r="H43" i="2"/>
  <c r="J43" i="2" s="1"/>
  <c r="K43" i="2" s="1"/>
  <c r="L43" i="2"/>
  <c r="P43" i="2"/>
  <c r="E43" i="2"/>
  <c r="B43" i="2"/>
  <c r="M43" i="2"/>
  <c r="R43" i="2"/>
  <c r="B37" i="2"/>
  <c r="R37" i="2"/>
  <c r="C37" i="2"/>
  <c r="F37" i="2" s="1"/>
  <c r="H37" i="2"/>
  <c r="J37" i="2" s="1"/>
  <c r="K37" i="2" s="1"/>
  <c r="M37" i="2"/>
  <c r="N37" i="2" s="1"/>
  <c r="O37" i="2" s="1"/>
  <c r="S37" i="2"/>
  <c r="E37" i="2"/>
  <c r="G37" i="2" s="1"/>
  <c r="P37" i="2"/>
  <c r="D35" i="2"/>
  <c r="H35" i="2"/>
  <c r="J35" i="2" s="1"/>
  <c r="K35" i="2" s="1"/>
  <c r="L35" i="2"/>
  <c r="P35" i="2"/>
  <c r="E35" i="2"/>
  <c r="B35" i="2"/>
  <c r="M35" i="2"/>
  <c r="R35" i="2"/>
  <c r="B29" i="2"/>
  <c r="R29" i="2"/>
  <c r="C29" i="2"/>
  <c r="F29" i="2" s="1"/>
  <c r="H29" i="2"/>
  <c r="J29" i="2" s="1"/>
  <c r="K29" i="2" s="1"/>
  <c r="M29" i="2"/>
  <c r="N29" i="2" s="1"/>
  <c r="O29" i="2" s="1"/>
  <c r="S29" i="2"/>
  <c r="E29" i="2"/>
  <c r="G29" i="2" s="1"/>
  <c r="P29" i="2"/>
  <c r="D27" i="2"/>
  <c r="H27" i="2"/>
  <c r="J27" i="2" s="1"/>
  <c r="K27" i="2" s="1"/>
  <c r="L27" i="2"/>
  <c r="P27" i="2"/>
  <c r="E27" i="2"/>
  <c r="B27" i="2"/>
  <c r="M27" i="2"/>
  <c r="R27" i="2"/>
  <c r="C22" i="2"/>
  <c r="S22" i="2"/>
  <c r="E22" i="2"/>
  <c r="P22" i="2"/>
  <c r="B22" i="2"/>
  <c r="H22" i="2"/>
  <c r="M22" i="2"/>
  <c r="R22" i="2"/>
  <c r="D22" i="2"/>
  <c r="I22" i="2"/>
  <c r="E242" i="2"/>
  <c r="L164" i="2"/>
  <c r="N164" i="2" s="1"/>
  <c r="O164" i="2" s="1"/>
  <c r="D162" i="2"/>
  <c r="H162" i="2"/>
  <c r="L162" i="2"/>
  <c r="P162" i="2"/>
  <c r="E162" i="2"/>
  <c r="B162" i="2"/>
  <c r="M162" i="2"/>
  <c r="R162" i="2"/>
  <c r="L156" i="2"/>
  <c r="N156" i="2" s="1"/>
  <c r="O156" i="2" s="1"/>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F142" i="2" s="1"/>
  <c r="B4" i="28" s="1"/>
  <c r="S142" i="2"/>
  <c r="E142" i="2"/>
  <c r="C6" i="28" s="1"/>
  <c r="P142" i="2"/>
  <c r="B142" i="2"/>
  <c r="B2" i="28" s="1"/>
  <c r="H142" i="2"/>
  <c r="M142" i="2"/>
  <c r="N142" i="2" s="1"/>
  <c r="O142" i="2" s="1"/>
  <c r="R142" i="2"/>
  <c r="C134" i="2"/>
  <c r="F134" i="2" s="1"/>
  <c r="S134" i="2"/>
  <c r="E134" i="2"/>
  <c r="G134" i="2" s="1"/>
  <c r="P134" i="2"/>
  <c r="B134" i="2"/>
  <c r="H134" i="2"/>
  <c r="M134" i="2"/>
  <c r="N134" i="2" s="1"/>
  <c r="O134" i="2" s="1"/>
  <c r="R134" i="2"/>
  <c r="C126" i="2"/>
  <c r="F126" i="2" s="1"/>
  <c r="S126" i="2"/>
  <c r="E126" i="2"/>
  <c r="G126" i="2" s="1"/>
  <c r="P126" i="2"/>
  <c r="B126" i="2"/>
  <c r="H126" i="2"/>
  <c r="M126" i="2"/>
  <c r="N126" i="2" s="1"/>
  <c r="O126" i="2" s="1"/>
  <c r="R126" i="2"/>
  <c r="C118" i="2"/>
  <c r="F118" i="2" s="1"/>
  <c r="S118" i="2"/>
  <c r="E118" i="2"/>
  <c r="G118" i="2" s="1"/>
  <c r="P118" i="2"/>
  <c r="B118" i="2"/>
  <c r="H118" i="2"/>
  <c r="M118" i="2"/>
  <c r="N118" i="2" s="1"/>
  <c r="O118" i="2" s="1"/>
  <c r="R118" i="2"/>
  <c r="C110" i="2"/>
  <c r="F110" i="2" s="1"/>
  <c r="S110" i="2"/>
  <c r="E110" i="2"/>
  <c r="G110" i="2" s="1"/>
  <c r="P110" i="2"/>
  <c r="B110" i="2"/>
  <c r="H110" i="2"/>
  <c r="M110" i="2"/>
  <c r="N110" i="2" s="1"/>
  <c r="O110" i="2" s="1"/>
  <c r="R110" i="2"/>
  <c r="C102" i="2"/>
  <c r="F102" i="2" s="1"/>
  <c r="S102" i="2"/>
  <c r="E102" i="2"/>
  <c r="G102" i="2" s="1"/>
  <c r="P102" i="2"/>
  <c r="B102" i="2"/>
  <c r="H102" i="2"/>
  <c r="M102" i="2"/>
  <c r="N102" i="2" s="1"/>
  <c r="O102" i="2" s="1"/>
  <c r="R102" i="2"/>
  <c r="C94" i="2"/>
  <c r="F94" i="2" s="1"/>
  <c r="S94" i="2"/>
  <c r="E94" i="2"/>
  <c r="G94" i="2" s="1"/>
  <c r="P94" i="2"/>
  <c r="B94" i="2"/>
  <c r="H94" i="2"/>
  <c r="M94" i="2"/>
  <c r="N94" i="2" s="1"/>
  <c r="O94" i="2" s="1"/>
  <c r="R94" i="2"/>
  <c r="C86" i="2"/>
  <c r="F86" i="2" s="1"/>
  <c r="S86" i="2"/>
  <c r="E86" i="2"/>
  <c r="G86" i="2" s="1"/>
  <c r="P86" i="2"/>
  <c r="B86" i="2"/>
  <c r="H86" i="2"/>
  <c r="M86" i="2"/>
  <c r="N86" i="2" s="1"/>
  <c r="O86" i="2" s="1"/>
  <c r="R86" i="2"/>
  <c r="C78" i="2"/>
  <c r="F78" i="2" s="1"/>
  <c r="S78" i="2"/>
  <c r="E78" i="2"/>
  <c r="G78" i="2" s="1"/>
  <c r="P78" i="2"/>
  <c r="B78" i="2"/>
  <c r="H78" i="2"/>
  <c r="M78" i="2"/>
  <c r="N78" i="2" s="1"/>
  <c r="O78" i="2" s="1"/>
  <c r="R78" i="2"/>
  <c r="C70" i="2"/>
  <c r="F70" i="2" s="1"/>
  <c r="S70" i="2"/>
  <c r="E70" i="2"/>
  <c r="G70" i="2" s="1"/>
  <c r="P70" i="2"/>
  <c r="B70" i="2"/>
  <c r="H70" i="2"/>
  <c r="M70" i="2"/>
  <c r="N70" i="2" s="1"/>
  <c r="O70" i="2" s="1"/>
  <c r="R70" i="2"/>
  <c r="C62" i="2"/>
  <c r="F62" i="2" s="1"/>
  <c r="S62" i="2"/>
  <c r="E62" i="2"/>
  <c r="G62" i="2" s="1"/>
  <c r="P62" i="2"/>
  <c r="B62" i="2"/>
  <c r="H62" i="2"/>
  <c r="M62" i="2"/>
  <c r="N62" i="2" s="1"/>
  <c r="O62" i="2" s="1"/>
  <c r="R62" i="2"/>
  <c r="C54" i="2"/>
  <c r="F54" i="2" s="1"/>
  <c r="S54" i="2"/>
  <c r="E54" i="2"/>
  <c r="G54" i="2" s="1"/>
  <c r="P54" i="2"/>
  <c r="B54" i="2"/>
  <c r="H54" i="2"/>
  <c r="M54" i="2"/>
  <c r="N54" i="2" s="1"/>
  <c r="O54" i="2" s="1"/>
  <c r="R54" i="2"/>
  <c r="C46" i="2"/>
  <c r="F46" i="2" s="1"/>
  <c r="S46" i="2"/>
  <c r="E46" i="2"/>
  <c r="G46" i="2" s="1"/>
  <c r="P46" i="2"/>
  <c r="B46" i="2"/>
  <c r="H46" i="2"/>
  <c r="M46" i="2"/>
  <c r="N46" i="2" s="1"/>
  <c r="O46" i="2" s="1"/>
  <c r="R46" i="2"/>
  <c r="I4" i="21"/>
  <c r="C38" i="2"/>
  <c r="F38" i="2" s="1"/>
  <c r="S38" i="2"/>
  <c r="E38" i="2"/>
  <c r="G38" i="2" s="1"/>
  <c r="P38" i="2"/>
  <c r="B38" i="2"/>
  <c r="H38" i="2"/>
  <c r="M38" i="2"/>
  <c r="N38" i="2" s="1"/>
  <c r="O38" i="2" s="1"/>
  <c r="R38" i="2"/>
  <c r="C30" i="2"/>
  <c r="F30" i="2" s="1"/>
  <c r="S30" i="2"/>
  <c r="E30" i="2"/>
  <c r="G30" i="2" s="1"/>
  <c r="P30" i="2"/>
  <c r="B30" i="2"/>
  <c r="H30" i="2"/>
  <c r="M30" i="2"/>
  <c r="N30" i="2" s="1"/>
  <c r="O30" i="2" s="1"/>
  <c r="R30" i="2"/>
  <c r="N17" i="2"/>
  <c r="O17" i="2" s="1"/>
  <c r="G16" i="2"/>
  <c r="F16" i="2"/>
  <c r="C14" i="2"/>
  <c r="S14" i="2"/>
  <c r="D14" i="2"/>
  <c r="I14" i="2"/>
  <c r="E14" i="2"/>
  <c r="P14" i="2"/>
  <c r="B14" i="2"/>
  <c r="H14" i="2"/>
  <c r="J14" i="2" s="1"/>
  <c r="K14" i="2" s="1"/>
  <c r="M14" i="2"/>
  <c r="N14" i="2" s="1"/>
  <c r="O14" i="2" s="1"/>
  <c r="R14" i="2"/>
  <c r="I170" i="2"/>
  <c r="Q192" i="2"/>
  <c r="I192" i="2"/>
  <c r="D190" i="2"/>
  <c r="H190" i="2"/>
  <c r="J190" i="2" s="1"/>
  <c r="K190" i="2" s="1"/>
  <c r="L190" i="2"/>
  <c r="N190" i="2" s="1"/>
  <c r="O190" i="2" s="1"/>
  <c r="P190" i="2"/>
  <c r="B190" i="2"/>
  <c r="R190" i="2"/>
  <c r="M188" i="2"/>
  <c r="E188" i="2"/>
  <c r="F187" i="2"/>
  <c r="M186" i="2"/>
  <c r="E186" i="2"/>
  <c r="B184" i="2"/>
  <c r="R184" i="2"/>
  <c r="D184" i="2"/>
  <c r="H184" i="2"/>
  <c r="J184" i="2" s="1"/>
  <c r="K184" i="2" s="1"/>
  <c r="L184" i="2"/>
  <c r="N184" i="2" s="1"/>
  <c r="O184" i="2" s="1"/>
  <c r="P184" i="2"/>
  <c r="D182" i="2"/>
  <c r="H182" i="2"/>
  <c r="J182" i="2" s="1"/>
  <c r="K182" i="2" s="1"/>
  <c r="L182" i="2"/>
  <c r="N182" i="2" s="1"/>
  <c r="O182" i="2" s="1"/>
  <c r="P182" i="2"/>
  <c r="B182" i="2"/>
  <c r="R182" i="2"/>
  <c r="M180" i="2"/>
  <c r="E180" i="2"/>
  <c r="F179" i="2"/>
  <c r="M178" i="2"/>
  <c r="E178" i="2"/>
  <c r="B176" i="2"/>
  <c r="R176" i="2"/>
  <c r="D176" i="2"/>
  <c r="H176" i="2"/>
  <c r="J176" i="2" s="1"/>
  <c r="K176" i="2" s="1"/>
  <c r="L176" i="2"/>
  <c r="N176" i="2" s="1"/>
  <c r="O176" i="2" s="1"/>
  <c r="P176" i="2"/>
  <c r="D174" i="2"/>
  <c r="H174" i="2"/>
  <c r="J174" i="2" s="1"/>
  <c r="K174" i="2" s="1"/>
  <c r="L174" i="2"/>
  <c r="N174" i="2" s="1"/>
  <c r="O174" i="2" s="1"/>
  <c r="P174" i="2"/>
  <c r="B174" i="2"/>
  <c r="R174" i="2"/>
  <c r="M172" i="2"/>
  <c r="E172" i="2"/>
  <c r="Q169" i="2"/>
  <c r="F168" i="2"/>
  <c r="F167" i="2"/>
  <c r="C165" i="2"/>
  <c r="F165" i="2" s="1"/>
  <c r="S165" i="2"/>
  <c r="E165" i="2"/>
  <c r="G165" i="2" s="1"/>
  <c r="P165" i="2"/>
  <c r="B165" i="2"/>
  <c r="H165" i="2"/>
  <c r="J165" i="2" s="1"/>
  <c r="K165" i="2" s="1"/>
  <c r="M165" i="2"/>
  <c r="N165" i="2" s="1"/>
  <c r="O165" i="2" s="1"/>
  <c r="R165" i="2"/>
  <c r="I164" i="2"/>
  <c r="S162" i="2"/>
  <c r="I162" i="2"/>
  <c r="Q161" i="2"/>
  <c r="F160" i="2"/>
  <c r="F159" i="2"/>
  <c r="C157" i="2"/>
  <c r="F157" i="2" s="1"/>
  <c r="S157" i="2"/>
  <c r="E157" i="2"/>
  <c r="G157" i="2" s="1"/>
  <c r="P157" i="2"/>
  <c r="B157" i="2"/>
  <c r="H157" i="2"/>
  <c r="J157" i="2" s="1"/>
  <c r="K157" i="2" s="1"/>
  <c r="M157" i="2"/>
  <c r="N157" i="2" s="1"/>
  <c r="O157" i="2" s="1"/>
  <c r="R157" i="2"/>
  <c r="I156" i="2"/>
  <c r="S154" i="2"/>
  <c r="I154" i="2"/>
  <c r="Q153" i="2"/>
  <c r="F152" i="2"/>
  <c r="F151" i="2"/>
  <c r="C149" i="2"/>
  <c r="F149" i="2" s="1"/>
  <c r="S149" i="2"/>
  <c r="E149" i="2"/>
  <c r="G149" i="2" s="1"/>
  <c r="P149" i="2"/>
  <c r="B149" i="2"/>
  <c r="H149" i="2"/>
  <c r="J149" i="2" s="1"/>
  <c r="K149" i="2" s="1"/>
  <c r="M149" i="2"/>
  <c r="N149" i="2" s="1"/>
  <c r="O149" i="2" s="1"/>
  <c r="R149" i="2"/>
  <c r="I148" i="2"/>
  <c r="S146" i="2"/>
  <c r="I146" i="2"/>
  <c r="Q145" i="2"/>
  <c r="F144" i="2"/>
  <c r="D143" i="2"/>
  <c r="H143" i="2"/>
  <c r="J143" i="2" s="1"/>
  <c r="M143" i="2"/>
  <c r="N143" i="2" s="1"/>
  <c r="O143" i="2" s="1"/>
  <c r="Q143" i="2"/>
  <c r="B143" i="2"/>
  <c r="S143" i="2"/>
  <c r="E143" i="2"/>
  <c r="P143" i="2"/>
  <c r="I142" i="2"/>
  <c r="Q141" i="2"/>
  <c r="Q139" i="2"/>
  <c r="G138" i="2"/>
  <c r="B137" i="2"/>
  <c r="R137" i="2"/>
  <c r="E137" i="2"/>
  <c r="G137" i="2" s="1"/>
  <c r="P137" i="2"/>
  <c r="C137" i="2"/>
  <c r="F137" i="2" s="1"/>
  <c r="H137" i="2"/>
  <c r="J137" i="2" s="1"/>
  <c r="K137" i="2" s="1"/>
  <c r="M137" i="2"/>
  <c r="N137" i="2" s="1"/>
  <c r="O137" i="2" s="1"/>
  <c r="S137" i="2"/>
  <c r="D135" i="2"/>
  <c r="H135" i="2"/>
  <c r="J135" i="2" s="1"/>
  <c r="K135" i="2" s="1"/>
  <c r="L135" i="2"/>
  <c r="P135" i="2"/>
  <c r="B135" i="2"/>
  <c r="M135" i="2"/>
  <c r="R135" i="2"/>
  <c r="E135" i="2"/>
  <c r="I134" i="2"/>
  <c r="Q133" i="2"/>
  <c r="Q131" i="2"/>
  <c r="G130" i="2"/>
  <c r="B129" i="2"/>
  <c r="R129" i="2"/>
  <c r="E129" i="2"/>
  <c r="G129" i="2" s="1"/>
  <c r="P129" i="2"/>
  <c r="C129" i="2"/>
  <c r="F129" i="2" s="1"/>
  <c r="H129" i="2"/>
  <c r="J129" i="2" s="1"/>
  <c r="K129" i="2" s="1"/>
  <c r="M129" i="2"/>
  <c r="N129" i="2" s="1"/>
  <c r="O129" i="2" s="1"/>
  <c r="S129" i="2"/>
  <c r="D127" i="2"/>
  <c r="H127" i="2"/>
  <c r="J127" i="2" s="1"/>
  <c r="K127" i="2" s="1"/>
  <c r="L127" i="2"/>
  <c r="P127" i="2"/>
  <c r="B127" i="2"/>
  <c r="M127" i="2"/>
  <c r="R127" i="2"/>
  <c r="E127" i="2"/>
  <c r="I126" i="2"/>
  <c r="Q125" i="2"/>
  <c r="Q123" i="2"/>
  <c r="G122" i="2"/>
  <c r="B121" i="2"/>
  <c r="R121" i="2"/>
  <c r="E121" i="2"/>
  <c r="G121" i="2" s="1"/>
  <c r="P121" i="2"/>
  <c r="C121" i="2"/>
  <c r="F121" i="2" s="1"/>
  <c r="H121" i="2"/>
  <c r="J121" i="2" s="1"/>
  <c r="K121" i="2" s="1"/>
  <c r="M121" i="2"/>
  <c r="N121" i="2" s="1"/>
  <c r="O121" i="2" s="1"/>
  <c r="S121" i="2"/>
  <c r="D119" i="2"/>
  <c r="H119" i="2"/>
  <c r="J119" i="2" s="1"/>
  <c r="K119" i="2" s="1"/>
  <c r="L119" i="2"/>
  <c r="P119" i="2"/>
  <c r="B119" i="2"/>
  <c r="M119" i="2"/>
  <c r="R119" i="2"/>
  <c r="E119" i="2"/>
  <c r="I118" i="2"/>
  <c r="Q117" i="2"/>
  <c r="Q115" i="2"/>
  <c r="G114" i="2"/>
  <c r="B113" i="2"/>
  <c r="R113" i="2"/>
  <c r="E113" i="2"/>
  <c r="G113" i="2" s="1"/>
  <c r="P113" i="2"/>
  <c r="C113" i="2"/>
  <c r="F113" i="2" s="1"/>
  <c r="H113" i="2"/>
  <c r="J113" i="2" s="1"/>
  <c r="K113" i="2" s="1"/>
  <c r="M113" i="2"/>
  <c r="N113" i="2" s="1"/>
  <c r="O113" i="2" s="1"/>
  <c r="S113" i="2"/>
  <c r="D111" i="2"/>
  <c r="H111" i="2"/>
  <c r="J111" i="2" s="1"/>
  <c r="K111" i="2" s="1"/>
  <c r="L111" i="2"/>
  <c r="P111" i="2"/>
  <c r="B111" i="2"/>
  <c r="M111" i="2"/>
  <c r="R111" i="2"/>
  <c r="E111" i="2"/>
  <c r="I110" i="2"/>
  <c r="Q109" i="2"/>
  <c r="Q107" i="2"/>
  <c r="G106" i="2"/>
  <c r="B105" i="2"/>
  <c r="R105" i="2"/>
  <c r="E105" i="2"/>
  <c r="G105" i="2" s="1"/>
  <c r="P105" i="2"/>
  <c r="C105" i="2"/>
  <c r="F105" i="2" s="1"/>
  <c r="H105" i="2"/>
  <c r="J105" i="2" s="1"/>
  <c r="K105" i="2" s="1"/>
  <c r="M105" i="2"/>
  <c r="N105" i="2" s="1"/>
  <c r="O105" i="2" s="1"/>
  <c r="S105" i="2"/>
  <c r="D103" i="2"/>
  <c r="H103" i="2"/>
  <c r="J103" i="2" s="1"/>
  <c r="K103" i="2" s="1"/>
  <c r="L103" i="2"/>
  <c r="P103" i="2"/>
  <c r="B103" i="2"/>
  <c r="M103" i="2"/>
  <c r="R103" i="2"/>
  <c r="E103" i="2"/>
  <c r="I102" i="2"/>
  <c r="Q101" i="2"/>
  <c r="Q99" i="2"/>
  <c r="G98" i="2"/>
  <c r="B97" i="2"/>
  <c r="R97" i="2"/>
  <c r="E97" i="2"/>
  <c r="G97" i="2" s="1"/>
  <c r="P97" i="2"/>
  <c r="C97" i="2"/>
  <c r="F97" i="2" s="1"/>
  <c r="H97" i="2"/>
  <c r="J97" i="2" s="1"/>
  <c r="K97" i="2" s="1"/>
  <c r="M97" i="2"/>
  <c r="N97" i="2" s="1"/>
  <c r="O97" i="2" s="1"/>
  <c r="S97" i="2"/>
  <c r="D95" i="2"/>
  <c r="H95" i="2"/>
  <c r="J95" i="2" s="1"/>
  <c r="K95" i="2" s="1"/>
  <c r="L95" i="2"/>
  <c r="P95" i="2"/>
  <c r="B95" i="2"/>
  <c r="M95" i="2"/>
  <c r="R95" i="2"/>
  <c r="E95" i="2"/>
  <c r="I94" i="2"/>
  <c r="Q93" i="2"/>
  <c r="Q91" i="2"/>
  <c r="G90" i="2"/>
  <c r="B89" i="2"/>
  <c r="R89" i="2"/>
  <c r="E89" i="2"/>
  <c r="G89" i="2" s="1"/>
  <c r="P89" i="2"/>
  <c r="C89" i="2"/>
  <c r="F89" i="2" s="1"/>
  <c r="H89" i="2"/>
  <c r="J89" i="2" s="1"/>
  <c r="K89" i="2" s="1"/>
  <c r="M89" i="2"/>
  <c r="N89" i="2" s="1"/>
  <c r="O89" i="2" s="1"/>
  <c r="S89" i="2"/>
  <c r="D87" i="2"/>
  <c r="H87" i="2"/>
  <c r="J87" i="2" s="1"/>
  <c r="K87" i="2" s="1"/>
  <c r="L87" i="2"/>
  <c r="P87" i="2"/>
  <c r="B87" i="2"/>
  <c r="M87" i="2"/>
  <c r="R87" i="2"/>
  <c r="E87" i="2"/>
  <c r="I86" i="2"/>
  <c r="Q85" i="2"/>
  <c r="Q83" i="2"/>
  <c r="G82" i="2"/>
  <c r="B81" i="2"/>
  <c r="R81" i="2"/>
  <c r="E81" i="2"/>
  <c r="G81" i="2" s="1"/>
  <c r="P81" i="2"/>
  <c r="C81" i="2"/>
  <c r="F81" i="2" s="1"/>
  <c r="H81" i="2"/>
  <c r="J81" i="2" s="1"/>
  <c r="K81" i="2" s="1"/>
  <c r="M81" i="2"/>
  <c r="N81" i="2" s="1"/>
  <c r="O81" i="2" s="1"/>
  <c r="S81" i="2"/>
  <c r="D79" i="2"/>
  <c r="H79" i="2"/>
  <c r="J79" i="2" s="1"/>
  <c r="K79" i="2" s="1"/>
  <c r="L79" i="2"/>
  <c r="P79" i="2"/>
  <c r="B79" i="2"/>
  <c r="M79" i="2"/>
  <c r="R79" i="2"/>
  <c r="E79" i="2"/>
  <c r="I78" i="2"/>
  <c r="Q77" i="2"/>
  <c r="Q75" i="2"/>
  <c r="G74" i="2"/>
  <c r="B73" i="2"/>
  <c r="R73" i="2"/>
  <c r="E73" i="2"/>
  <c r="G73" i="2" s="1"/>
  <c r="P73" i="2"/>
  <c r="C73" i="2"/>
  <c r="F73" i="2" s="1"/>
  <c r="H73" i="2"/>
  <c r="J73" i="2" s="1"/>
  <c r="K73" i="2" s="1"/>
  <c r="M73" i="2"/>
  <c r="N73" i="2" s="1"/>
  <c r="O73" i="2" s="1"/>
  <c r="S73" i="2"/>
  <c r="D71" i="2"/>
  <c r="H71" i="2"/>
  <c r="J71" i="2" s="1"/>
  <c r="K71" i="2" s="1"/>
  <c r="L71" i="2"/>
  <c r="P71" i="2"/>
  <c r="B71" i="2"/>
  <c r="M71" i="2"/>
  <c r="R71" i="2"/>
  <c r="E71" i="2"/>
  <c r="I70" i="2"/>
  <c r="Q69" i="2"/>
  <c r="Q67" i="2"/>
  <c r="G66" i="2"/>
  <c r="B65" i="2"/>
  <c r="R65" i="2"/>
  <c r="E65" i="2"/>
  <c r="G65" i="2" s="1"/>
  <c r="P65" i="2"/>
  <c r="C65" i="2"/>
  <c r="F65" i="2" s="1"/>
  <c r="H65" i="2"/>
  <c r="J65" i="2" s="1"/>
  <c r="K65" i="2" s="1"/>
  <c r="M65" i="2"/>
  <c r="N65" i="2" s="1"/>
  <c r="O65" i="2" s="1"/>
  <c r="S65" i="2"/>
  <c r="D63" i="2"/>
  <c r="H63" i="2"/>
  <c r="J63" i="2" s="1"/>
  <c r="K63" i="2" s="1"/>
  <c r="L63" i="2"/>
  <c r="P63" i="2"/>
  <c r="B63" i="2"/>
  <c r="M63" i="2"/>
  <c r="R63" i="2"/>
  <c r="E63" i="2"/>
  <c r="I62" i="2"/>
  <c r="Q61" i="2"/>
  <c r="Q59" i="2"/>
  <c r="G58"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G50" i="2"/>
  <c r="B49" i="2"/>
  <c r="R49" i="2"/>
  <c r="E49" i="2"/>
  <c r="G49" i="2" s="1"/>
  <c r="P49" i="2"/>
  <c r="C49" i="2"/>
  <c r="F49" i="2" s="1"/>
  <c r="H49" i="2"/>
  <c r="J49" i="2" s="1"/>
  <c r="K49" i="2" s="1"/>
  <c r="M49" i="2"/>
  <c r="N49" i="2" s="1"/>
  <c r="O49" i="2" s="1"/>
  <c r="S49" i="2"/>
  <c r="D47" i="2"/>
  <c r="H47" i="2"/>
  <c r="J47" i="2" s="1"/>
  <c r="K47" i="2" s="1"/>
  <c r="L47" i="2"/>
  <c r="P47" i="2"/>
  <c r="B47" i="2"/>
  <c r="M47" i="2"/>
  <c r="R47" i="2"/>
  <c r="E47" i="2"/>
  <c r="I46" i="2"/>
  <c r="Q45" i="2"/>
  <c r="Q43" i="2"/>
  <c r="G42" i="2"/>
  <c r="B41" i="2"/>
  <c r="R41" i="2"/>
  <c r="E41" i="2"/>
  <c r="J4" i="21" s="1"/>
  <c r="P41" i="2"/>
  <c r="D4" i="21" s="1"/>
  <c r="C41" i="2"/>
  <c r="H4" i="21" s="1"/>
  <c r="H41" i="2"/>
  <c r="M41" i="2"/>
  <c r="N41" i="2" s="1"/>
  <c r="O41" i="2" s="1"/>
  <c r="S41" i="2"/>
  <c r="D39" i="2"/>
  <c r="H39" i="2"/>
  <c r="J39" i="2" s="1"/>
  <c r="K39" i="2" s="1"/>
  <c r="L39" i="2"/>
  <c r="P39" i="2"/>
  <c r="B39" i="2"/>
  <c r="M39" i="2"/>
  <c r="R39" i="2"/>
  <c r="E4" i="21" s="1"/>
  <c r="E39" i="2"/>
  <c r="I38" i="2"/>
  <c r="Q37" i="2"/>
  <c r="Q35" i="2"/>
  <c r="G34" i="2"/>
  <c r="B33" i="2"/>
  <c r="R33" i="2"/>
  <c r="E33" i="2"/>
  <c r="G33" i="2" s="1"/>
  <c r="P33" i="2"/>
  <c r="C33" i="2"/>
  <c r="F33" i="2" s="1"/>
  <c r="H33" i="2"/>
  <c r="J33" i="2" s="1"/>
  <c r="K33" i="2" s="1"/>
  <c r="M33" i="2"/>
  <c r="N33" i="2" s="1"/>
  <c r="O33" i="2" s="1"/>
  <c r="S33" i="2"/>
  <c r="D31" i="2"/>
  <c r="H31" i="2"/>
  <c r="J31" i="2" s="1"/>
  <c r="K31" i="2" s="1"/>
  <c r="L31" i="2"/>
  <c r="P31" i="2"/>
  <c r="B31" i="2"/>
  <c r="M31" i="2"/>
  <c r="R31" i="2"/>
  <c r="E31" i="2"/>
  <c r="I30" i="2"/>
  <c r="Q29" i="2"/>
  <c r="Q27" i="2"/>
  <c r="G26" i="2"/>
  <c r="B25" i="2"/>
  <c r="R25" i="2"/>
  <c r="E25" i="2"/>
  <c r="G25" i="2" s="1"/>
  <c r="P25" i="2"/>
  <c r="C25" i="2"/>
  <c r="F25" i="2" s="1"/>
  <c r="H25" i="2"/>
  <c r="J25" i="2" s="1"/>
  <c r="K25" i="2" s="1"/>
  <c r="M25" i="2"/>
  <c r="N25" i="2" s="1"/>
  <c r="O25" i="2" s="1"/>
  <c r="S25" i="2"/>
  <c r="L22" i="2"/>
  <c r="N22" i="2" s="1"/>
  <c r="O22" i="2" s="1"/>
  <c r="D19" i="2"/>
  <c r="H19" i="2"/>
  <c r="L19" i="2"/>
  <c r="P19" i="2"/>
  <c r="C19" i="2"/>
  <c r="I19" i="2"/>
  <c r="S19" i="2"/>
  <c r="E19" i="2"/>
  <c r="B19" i="2"/>
  <c r="M19" i="2"/>
  <c r="R19" i="2"/>
  <c r="Q14" i="2"/>
  <c r="F13" i="2"/>
  <c r="H189" i="3"/>
  <c r="D23" i="2"/>
  <c r="H23" i="2"/>
  <c r="J23" i="2" s="1"/>
  <c r="K23" i="2" s="1"/>
  <c r="L23" i="2"/>
  <c r="P23" i="2"/>
  <c r="B21" i="2"/>
  <c r="R21" i="2"/>
  <c r="L18" i="2"/>
  <c r="Q15" i="2"/>
  <c r="S191" i="2"/>
  <c r="S187" i="2"/>
  <c r="S183" i="2"/>
  <c r="S179" i="2"/>
  <c r="S175" i="2"/>
  <c r="E23" i="2"/>
  <c r="P21" i="2"/>
  <c r="E21" i="2"/>
  <c r="G21" i="2" s="1"/>
  <c r="P18" i="2"/>
  <c r="E18" i="2"/>
  <c r="G18" i="2" s="1"/>
  <c r="E15" i="2"/>
  <c r="P13" i="2"/>
  <c r="E13" i="2"/>
  <c r="G13" i="2" s="1"/>
  <c r="E187" i="3"/>
  <c r="P185" i="3"/>
  <c r="K184" i="3"/>
  <c r="D184" i="3"/>
  <c r="L184" i="3"/>
  <c r="P184" i="3"/>
  <c r="C184" i="3"/>
  <c r="G184" i="3"/>
  <c r="O184" i="3"/>
  <c r="C181" i="3"/>
  <c r="E181" i="3" s="1"/>
  <c r="G181" i="3"/>
  <c r="O181" i="3"/>
  <c r="B181" i="3"/>
  <c r="F181" i="3"/>
  <c r="J181" i="3"/>
  <c r="K181" i="3" s="1"/>
  <c r="N181" i="3"/>
  <c r="J180" i="3"/>
  <c r="K180" i="3" s="1"/>
  <c r="H179" i="3"/>
  <c r="L177" i="3"/>
  <c r="E174" i="3"/>
  <c r="N172" i="3"/>
  <c r="F172" i="3"/>
  <c r="P169" i="3"/>
  <c r="K168" i="3"/>
  <c r="D168" i="3"/>
  <c r="L168" i="3"/>
  <c r="P168" i="3"/>
  <c r="C168" i="3"/>
  <c r="G168" i="3"/>
  <c r="O168" i="3"/>
  <c r="C165" i="3"/>
  <c r="E165" i="3" s="1"/>
  <c r="G165" i="3"/>
  <c r="O165" i="3"/>
  <c r="B165" i="3"/>
  <c r="F165" i="3"/>
  <c r="J165" i="3"/>
  <c r="K165" i="3" s="1"/>
  <c r="N165" i="3"/>
  <c r="J164" i="3"/>
  <c r="K164" i="3" s="1"/>
  <c r="H163" i="3"/>
  <c r="L161" i="3"/>
  <c r="E158" i="3"/>
  <c r="N156" i="3"/>
  <c r="F156" i="3"/>
  <c r="P153" i="3"/>
  <c r="K152" i="3"/>
  <c r="D152" i="3"/>
  <c r="L152" i="3"/>
  <c r="P152" i="3"/>
  <c r="C152" i="3"/>
  <c r="G152" i="3"/>
  <c r="H152" i="3" s="1"/>
  <c r="O152" i="3"/>
  <c r="C149" i="3"/>
  <c r="E149" i="3" s="1"/>
  <c r="G149" i="3"/>
  <c r="O149" i="3"/>
  <c r="B149" i="3"/>
  <c r="F149" i="3"/>
  <c r="J149" i="3"/>
  <c r="K149" i="3" s="1"/>
  <c r="N149" i="3"/>
  <c r="J148" i="3"/>
  <c r="K148" i="3" s="1"/>
  <c r="H147" i="3"/>
  <c r="L145" i="3"/>
  <c r="E142" i="3"/>
  <c r="N140" i="3"/>
  <c r="F140" i="3"/>
  <c r="P137" i="3"/>
  <c r="K136" i="3"/>
  <c r="D136" i="3"/>
  <c r="L136" i="3"/>
  <c r="P136" i="3"/>
  <c r="C136" i="3"/>
  <c r="G136" i="3"/>
  <c r="H136" i="3" s="1"/>
  <c r="O136" i="3"/>
  <c r="C133" i="3"/>
  <c r="E133" i="3" s="1"/>
  <c r="G133" i="3"/>
  <c r="O133" i="3"/>
  <c r="B133" i="3"/>
  <c r="F133" i="3"/>
  <c r="J133" i="3"/>
  <c r="K133" i="3" s="1"/>
  <c r="N133" i="3"/>
  <c r="J132" i="3"/>
  <c r="K132" i="3" s="1"/>
  <c r="H131" i="3"/>
  <c r="D124" i="3"/>
  <c r="L124" i="3"/>
  <c r="P124" i="3"/>
  <c r="B124" i="3"/>
  <c r="F124" i="3"/>
  <c r="J124" i="3"/>
  <c r="N124" i="3"/>
  <c r="C124" i="3"/>
  <c r="G124" i="3"/>
  <c r="O124" i="3"/>
  <c r="Q113" i="3"/>
  <c r="Q107" i="3"/>
  <c r="Q97" i="3"/>
  <c r="D180" i="3"/>
  <c r="L180" i="3"/>
  <c r="P180" i="3"/>
  <c r="C180" i="3"/>
  <c r="G180" i="3"/>
  <c r="O180" i="3"/>
  <c r="C177" i="3"/>
  <c r="E177" i="3" s="1"/>
  <c r="G177" i="3"/>
  <c r="O177" i="3"/>
  <c r="B177" i="3"/>
  <c r="F177" i="3"/>
  <c r="J177" i="3"/>
  <c r="K177" i="3" s="1"/>
  <c r="N177" i="3"/>
  <c r="H168" i="3"/>
  <c r="D164" i="3"/>
  <c r="L164" i="3"/>
  <c r="P164" i="3"/>
  <c r="C164" i="3"/>
  <c r="G164" i="3"/>
  <c r="O164" i="3"/>
  <c r="C161" i="3"/>
  <c r="E161" i="3" s="1"/>
  <c r="G161" i="3"/>
  <c r="O161" i="3"/>
  <c r="B161" i="3"/>
  <c r="F161" i="3"/>
  <c r="J161" i="3"/>
  <c r="K161" i="3" s="1"/>
  <c r="N161" i="3"/>
  <c r="D148" i="3"/>
  <c r="L148" i="3"/>
  <c r="P148" i="3"/>
  <c r="C148" i="3"/>
  <c r="G148" i="3"/>
  <c r="O148" i="3"/>
  <c r="C145" i="3"/>
  <c r="E145" i="3" s="1"/>
  <c r="G145" i="3"/>
  <c r="O145" i="3"/>
  <c r="B145" i="3"/>
  <c r="F145" i="3"/>
  <c r="J145" i="3"/>
  <c r="K145" i="3" s="1"/>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H184" i="3"/>
  <c r="C245" i="2"/>
  <c r="E245" i="2" s="1"/>
  <c r="R23" i="2"/>
  <c r="M23" i="2"/>
  <c r="B23" i="2"/>
  <c r="S21" i="2"/>
  <c r="M21" i="2"/>
  <c r="N21" i="2" s="1"/>
  <c r="O21" i="2" s="1"/>
  <c r="H21" i="2"/>
  <c r="J21" i="2" s="1"/>
  <c r="K21" i="2" s="1"/>
  <c r="C21" i="2"/>
  <c r="F21" i="2" s="1"/>
  <c r="R18" i="2"/>
  <c r="M18" i="2"/>
  <c r="H18" i="2"/>
  <c r="J18" i="2" s="1"/>
  <c r="K18" i="2" s="1"/>
  <c r="R15" i="2"/>
  <c r="M15" i="2"/>
  <c r="S13" i="2"/>
  <c r="M13" i="2"/>
  <c r="H13" i="2"/>
  <c r="J13" i="2" s="1"/>
  <c r="K13" i="2" s="1"/>
  <c r="I6" i="3"/>
  <c r="L6" i="3"/>
  <c r="O6" i="3"/>
  <c r="F6" i="3"/>
  <c r="H188" i="3"/>
  <c r="D188" i="3"/>
  <c r="E188" i="3" s="1"/>
  <c r="L188" i="3"/>
  <c r="P188" i="3"/>
  <c r="L185" i="3"/>
  <c r="M184" i="3"/>
  <c r="E182" i="3"/>
  <c r="N180" i="3"/>
  <c r="F180" i="3"/>
  <c r="H180" i="3" s="1"/>
  <c r="P177" i="3"/>
  <c r="K176" i="3"/>
  <c r="D176" i="3"/>
  <c r="L176" i="3"/>
  <c r="P176" i="3"/>
  <c r="C176" i="3"/>
  <c r="G176" i="3"/>
  <c r="O176" i="3"/>
  <c r="C173" i="3"/>
  <c r="E173" i="3" s="1"/>
  <c r="G173" i="3"/>
  <c r="O173" i="3"/>
  <c r="B173" i="3"/>
  <c r="F173" i="3"/>
  <c r="J173" i="3"/>
  <c r="K173" i="3" s="1"/>
  <c r="N173" i="3"/>
  <c r="J172" i="3"/>
  <c r="K172" i="3" s="1"/>
  <c r="H171" i="3"/>
  <c r="L169" i="3"/>
  <c r="M168" i="3"/>
  <c r="E166" i="3"/>
  <c r="N164" i="3"/>
  <c r="F164" i="3"/>
  <c r="H164" i="3" s="1"/>
  <c r="P161" i="3"/>
  <c r="K160" i="3"/>
  <c r="D160" i="3"/>
  <c r="L160" i="3"/>
  <c r="P160" i="3"/>
  <c r="C160" i="3"/>
  <c r="G160" i="3"/>
  <c r="O160" i="3"/>
  <c r="C157" i="3"/>
  <c r="E157" i="3" s="1"/>
  <c r="G157" i="3"/>
  <c r="O157" i="3"/>
  <c r="B157" i="3"/>
  <c r="F157" i="3"/>
  <c r="J157" i="3"/>
  <c r="K157" i="3" s="1"/>
  <c r="N157" i="3"/>
  <c r="J156" i="3"/>
  <c r="K156" i="3" s="1"/>
  <c r="H155" i="3"/>
  <c r="L153" i="3"/>
  <c r="M152" i="3"/>
  <c r="E150" i="3"/>
  <c r="N148" i="3"/>
  <c r="F148" i="3"/>
  <c r="H148" i="3" s="1"/>
  <c r="P145" i="3"/>
  <c r="K144" i="3"/>
  <c r="D144" i="3"/>
  <c r="L144" i="3"/>
  <c r="P144" i="3"/>
  <c r="C144" i="3"/>
  <c r="G144" i="3"/>
  <c r="O144" i="3"/>
  <c r="C141" i="3"/>
  <c r="E141" i="3" s="1"/>
  <c r="G141" i="3"/>
  <c r="O141" i="3"/>
  <c r="B141" i="3"/>
  <c r="F141" i="3"/>
  <c r="J141" i="3"/>
  <c r="K141" i="3" s="1"/>
  <c r="N141" i="3"/>
  <c r="J140" i="3"/>
  <c r="K140" i="3" s="1"/>
  <c r="H139" i="3"/>
  <c r="L137" i="3"/>
  <c r="M136" i="3"/>
  <c r="E134" i="3"/>
  <c r="M133" i="3"/>
  <c r="N132" i="3"/>
  <c r="F132" i="3"/>
  <c r="M128" i="3"/>
  <c r="I124" i="3"/>
  <c r="K124" i="3" s="1"/>
  <c r="O118" i="3"/>
  <c r="Q102" i="3"/>
  <c r="C18" i="2"/>
  <c r="F18" i="2" s="1"/>
  <c r="S18" i="2"/>
  <c r="D15" i="2"/>
  <c r="H15" i="2"/>
  <c r="J15" i="2" s="1"/>
  <c r="K15" i="2" s="1"/>
  <c r="L15" i="2"/>
  <c r="N15" i="2" s="1"/>
  <c r="O15" i="2" s="1"/>
  <c r="P15" i="2"/>
  <c r="N13" i="2"/>
  <c r="O13" i="2" s="1"/>
  <c r="B13" i="2"/>
  <c r="R13" i="2"/>
  <c r="B6" i="6"/>
  <c r="N6" i="5"/>
  <c r="H6" i="5"/>
  <c r="K6" i="5"/>
  <c r="C185" i="3"/>
  <c r="E185" i="3" s="1"/>
  <c r="G185" i="3"/>
  <c r="O185" i="3"/>
  <c r="B185" i="3"/>
  <c r="F185" i="3"/>
  <c r="J185" i="3"/>
  <c r="K185" i="3" s="1"/>
  <c r="N185" i="3"/>
  <c r="M180" i="3"/>
  <c r="M177" i="3"/>
  <c r="H176" i="3"/>
  <c r="D172" i="3"/>
  <c r="L172" i="3"/>
  <c r="P172" i="3"/>
  <c r="C172" i="3"/>
  <c r="G172" i="3"/>
  <c r="O172" i="3"/>
  <c r="C169" i="3"/>
  <c r="E169" i="3" s="1"/>
  <c r="G169" i="3"/>
  <c r="O169" i="3"/>
  <c r="B169" i="3"/>
  <c r="F169" i="3"/>
  <c r="J169" i="3"/>
  <c r="K169" i="3" s="1"/>
  <c r="N169" i="3"/>
  <c r="M164" i="3"/>
  <c r="M161" i="3"/>
  <c r="H160" i="3"/>
  <c r="D156" i="3"/>
  <c r="L156" i="3"/>
  <c r="P156" i="3"/>
  <c r="C156" i="3"/>
  <c r="G156" i="3"/>
  <c r="O156" i="3"/>
  <c r="C153" i="3"/>
  <c r="E153" i="3" s="1"/>
  <c r="G153" i="3"/>
  <c r="O153" i="3"/>
  <c r="B153" i="3"/>
  <c r="F153" i="3"/>
  <c r="J153" i="3"/>
  <c r="K153" i="3" s="1"/>
  <c r="N153" i="3"/>
  <c r="M148" i="3"/>
  <c r="M145" i="3"/>
  <c r="H144" i="3"/>
  <c r="D140" i="3"/>
  <c r="L140" i="3"/>
  <c r="P140" i="3"/>
  <c r="C140" i="3"/>
  <c r="G140" i="3"/>
  <c r="O140" i="3"/>
  <c r="C137" i="3"/>
  <c r="E137" i="3" s="1"/>
  <c r="G137" i="3"/>
  <c r="O137" i="3"/>
  <c r="B137" i="3"/>
  <c r="F137" i="3"/>
  <c r="J137" i="3"/>
  <c r="K137" i="3" s="1"/>
  <c r="N137" i="3"/>
  <c r="M132" i="3"/>
  <c r="I128" i="3"/>
  <c r="K128" i="3" s="1"/>
  <c r="E125" i="3"/>
  <c r="D120" i="3"/>
  <c r="L120" i="3"/>
  <c r="P120" i="3"/>
  <c r="B120" i="3"/>
  <c r="F120" i="3"/>
  <c r="J120" i="3"/>
  <c r="K120" i="3" s="1"/>
  <c r="N120" i="3"/>
  <c r="C120" i="3"/>
  <c r="G120" i="3"/>
  <c r="O120" i="3"/>
  <c r="D113" i="3"/>
  <c r="L113" i="3"/>
  <c r="P113" i="3"/>
  <c r="J113" i="3"/>
  <c r="O113" i="3"/>
  <c r="B113" i="3"/>
  <c r="G113" i="3"/>
  <c r="H113" i="3" s="1"/>
  <c r="M113" i="3"/>
  <c r="C113" i="3"/>
  <c r="E113" i="3" s="1"/>
  <c r="I113" i="3"/>
  <c r="N113" i="3"/>
  <c r="B107" i="3"/>
  <c r="F107" i="3"/>
  <c r="H107" i="3" s="1"/>
  <c r="J107" i="3"/>
  <c r="N107" i="3"/>
  <c r="P107" i="3"/>
  <c r="C107" i="3"/>
  <c r="M107" i="3"/>
  <c r="D107" i="3"/>
  <c r="I107" i="3"/>
  <c r="O107" i="3"/>
  <c r="L102" i="3"/>
  <c r="D97" i="3"/>
  <c r="L97" i="3"/>
  <c r="P97" i="3"/>
  <c r="J97" i="3"/>
  <c r="O97" i="3"/>
  <c r="B97" i="3"/>
  <c r="G97" i="3"/>
  <c r="H97" i="3" s="1"/>
  <c r="M97" i="3"/>
  <c r="C97" i="3"/>
  <c r="E97" i="3" s="1"/>
  <c r="I97" i="3"/>
  <c r="N97" i="3"/>
  <c r="B115" i="3"/>
  <c r="F115" i="3"/>
  <c r="H115" i="3" s="1"/>
  <c r="J115" i="3"/>
  <c r="K115" i="3" s="1"/>
  <c r="N115" i="3"/>
  <c r="C110" i="3"/>
  <c r="E110" i="3" s="1"/>
  <c r="G110" i="3"/>
  <c r="H110" i="3" s="1"/>
  <c r="O110" i="3"/>
  <c r="D105" i="3"/>
  <c r="E105" i="3" s="1"/>
  <c r="L105" i="3"/>
  <c r="P105" i="3"/>
  <c r="B99" i="3"/>
  <c r="F99" i="3"/>
  <c r="H99" i="3" s="1"/>
  <c r="J99" i="3"/>
  <c r="K99" i="3" s="1"/>
  <c r="N99" i="3"/>
  <c r="C94" i="3"/>
  <c r="E94" i="3" s="1"/>
  <c r="G94" i="3"/>
  <c r="H94" i="3" s="1"/>
  <c r="O94" i="3"/>
  <c r="O91" i="3"/>
  <c r="I91" i="3"/>
  <c r="D91" i="3"/>
  <c r="E91" i="3" s="1"/>
  <c r="D89" i="3"/>
  <c r="E89" i="3" s="1"/>
  <c r="L89" i="3"/>
  <c r="P89" i="3"/>
  <c r="N86" i="3"/>
  <c r="I86" i="3"/>
  <c r="D86" i="3"/>
  <c r="B83" i="3"/>
  <c r="F83" i="3"/>
  <c r="H83" i="3" s="1"/>
  <c r="J83" i="3"/>
  <c r="K83" i="3" s="1"/>
  <c r="N83" i="3"/>
  <c r="N81" i="3"/>
  <c r="I81" i="3"/>
  <c r="C81" i="3"/>
  <c r="C78" i="3"/>
  <c r="E78" i="3" s="1"/>
  <c r="G78" i="3"/>
  <c r="H78" i="3" s="1"/>
  <c r="O78" i="3"/>
  <c r="O75" i="3"/>
  <c r="I75" i="3"/>
  <c r="D75" i="3"/>
  <c r="E75" i="3" s="1"/>
  <c r="D73" i="3"/>
  <c r="E73" i="3" s="1"/>
  <c r="L73" i="3"/>
  <c r="P73" i="3"/>
  <c r="N70" i="3"/>
  <c r="I70" i="3"/>
  <c r="D70" i="3"/>
  <c r="B67" i="3"/>
  <c r="F67" i="3"/>
  <c r="H67" i="3" s="1"/>
  <c r="J67" i="3"/>
  <c r="K67" i="3" s="1"/>
  <c r="N67" i="3"/>
  <c r="N65" i="3"/>
  <c r="I65" i="3"/>
  <c r="C65" i="3"/>
  <c r="C62" i="3"/>
  <c r="E62" i="3" s="1"/>
  <c r="G62" i="3"/>
  <c r="H62" i="3" s="1"/>
  <c r="O62" i="3"/>
  <c r="O59" i="3"/>
  <c r="I59" i="3"/>
  <c r="D59" i="3"/>
  <c r="E59" i="3" s="1"/>
  <c r="D57" i="3"/>
  <c r="E57" i="3" s="1"/>
  <c r="L57" i="3"/>
  <c r="P57" i="3"/>
  <c r="N54" i="3"/>
  <c r="I54" i="3"/>
  <c r="D54" i="3"/>
  <c r="B51" i="3"/>
  <c r="F51" i="3"/>
  <c r="H51" i="3" s="1"/>
  <c r="J51" i="3"/>
  <c r="K51" i="3" s="1"/>
  <c r="N51" i="3"/>
  <c r="N49" i="3"/>
  <c r="I49" i="3"/>
  <c r="C49" i="3"/>
  <c r="C46" i="3"/>
  <c r="E46" i="3" s="1"/>
  <c r="G46" i="3"/>
  <c r="H46" i="3" s="1"/>
  <c r="O46" i="3"/>
  <c r="O43" i="3"/>
  <c r="I43" i="3"/>
  <c r="D43" i="3"/>
  <c r="E43" i="3" s="1"/>
  <c r="D41" i="3"/>
  <c r="E41" i="3" s="1"/>
  <c r="L41" i="3"/>
  <c r="P41" i="3"/>
  <c r="N38" i="3"/>
  <c r="I38" i="3"/>
  <c r="D38" i="3"/>
  <c r="B35" i="3"/>
  <c r="F35" i="3"/>
  <c r="H35" i="3" s="1"/>
  <c r="J35" i="3"/>
  <c r="K35" i="3" s="1"/>
  <c r="N35" i="3"/>
  <c r="N33" i="3"/>
  <c r="I33" i="3"/>
  <c r="C33" i="3"/>
  <c r="C30" i="3"/>
  <c r="E30" i="3" s="1"/>
  <c r="G30" i="3"/>
  <c r="H30" i="3" s="1"/>
  <c r="O30" i="3"/>
  <c r="O27" i="3"/>
  <c r="I27" i="3"/>
  <c r="D27" i="3"/>
  <c r="E27" i="3" s="1"/>
  <c r="D25" i="3"/>
  <c r="E25" i="3" s="1"/>
  <c r="L25" i="3"/>
  <c r="P25" i="3"/>
  <c r="N22" i="3"/>
  <c r="I22" i="3"/>
  <c r="D22" i="3"/>
  <c r="B19" i="3"/>
  <c r="F19" i="3"/>
  <c r="H19" i="3" s="1"/>
  <c r="J19" i="3"/>
  <c r="K19" i="3" s="1"/>
  <c r="N19" i="3"/>
  <c r="N17" i="3"/>
  <c r="I17" i="3"/>
  <c r="C17" i="3"/>
  <c r="C14" i="3"/>
  <c r="E14" i="3" s="1"/>
  <c r="G14" i="3"/>
  <c r="H14" i="3" s="1"/>
  <c r="O14" i="3"/>
  <c r="O11" i="3"/>
  <c r="I11" i="3"/>
  <c r="D11" i="3"/>
  <c r="E11" i="3" s="1"/>
  <c r="D9" i="3"/>
  <c r="E9" i="3" s="1"/>
  <c r="L9" i="3"/>
  <c r="P9" i="3"/>
  <c r="D62" i="5"/>
  <c r="I62" i="5"/>
  <c r="O62" i="5"/>
  <c r="D61" i="5"/>
  <c r="H61" i="5"/>
  <c r="D60" i="5"/>
  <c r="H60" i="5"/>
  <c r="L60" i="5"/>
  <c r="D59" i="5"/>
  <c r="H59" i="5"/>
  <c r="L59" i="5"/>
  <c r="D58" i="5"/>
  <c r="H58" i="5"/>
  <c r="D57" i="5"/>
  <c r="H57" i="5"/>
  <c r="D56" i="5"/>
  <c r="H56" i="5"/>
  <c r="D55" i="5"/>
  <c r="H55" i="5"/>
  <c r="L55" i="5"/>
  <c r="D54" i="5"/>
  <c r="H54" i="5"/>
  <c r="D53" i="5"/>
  <c r="H53" i="5"/>
  <c r="D52" i="5"/>
  <c r="H52" i="5"/>
  <c r="L52" i="5"/>
  <c r="D51" i="5"/>
  <c r="H51" i="5"/>
  <c r="L51" i="5"/>
  <c r="D50" i="5"/>
  <c r="H50" i="5"/>
  <c r="L50" i="5"/>
  <c r="E48" i="5"/>
  <c r="E46" i="5"/>
  <c r="E44" i="5"/>
  <c r="E40" i="5"/>
  <c r="E36" i="5"/>
  <c r="E32" i="5"/>
  <c r="F32" i="5" s="1"/>
  <c r="G32" i="5" s="1"/>
  <c r="E30" i="5"/>
  <c r="E28" i="5"/>
  <c r="E24" i="5"/>
  <c r="E20" i="5"/>
  <c r="F20" i="5" s="1"/>
  <c r="G20" i="5" s="1"/>
  <c r="E16" i="5"/>
  <c r="E14"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E126" i="3" s="1"/>
  <c r="P122" i="3"/>
  <c r="L122" i="3"/>
  <c r="D122" i="3"/>
  <c r="E122" i="3" s="1"/>
  <c r="E116" i="3"/>
  <c r="P115" i="3"/>
  <c r="C114" i="3"/>
  <c r="G114" i="3"/>
  <c r="H114" i="3" s="1"/>
  <c r="O114" i="3"/>
  <c r="P110" i="3"/>
  <c r="J110" i="3"/>
  <c r="K110" i="3" s="1"/>
  <c r="H109" i="3"/>
  <c r="D109" i="3"/>
  <c r="L109" i="3"/>
  <c r="P109" i="3"/>
  <c r="K106" i="3"/>
  <c r="O105" i="3"/>
  <c r="J105" i="3"/>
  <c r="K105" i="3" s="1"/>
  <c r="B103" i="3"/>
  <c r="F103" i="3"/>
  <c r="H103" i="3" s="1"/>
  <c r="J103" i="3"/>
  <c r="N103" i="3"/>
  <c r="E100" i="3"/>
  <c r="P99" i="3"/>
  <c r="C98" i="3"/>
  <c r="G98" i="3"/>
  <c r="H98" i="3" s="1"/>
  <c r="O98" i="3"/>
  <c r="P94" i="3"/>
  <c r="J94" i="3"/>
  <c r="K94" i="3" s="1"/>
  <c r="H93" i="3"/>
  <c r="D93" i="3"/>
  <c r="L93" i="3"/>
  <c r="P93" i="3"/>
  <c r="M91" i="3"/>
  <c r="K90" i="3"/>
  <c r="O89" i="3"/>
  <c r="J89" i="3"/>
  <c r="K89" i="3" s="1"/>
  <c r="B87" i="3"/>
  <c r="F87" i="3"/>
  <c r="H87" i="3" s="1"/>
  <c r="J87" i="3"/>
  <c r="N87" i="3"/>
  <c r="M86" i="3"/>
  <c r="E84" i="3"/>
  <c r="P83" i="3"/>
  <c r="C82" i="3"/>
  <c r="G82" i="3"/>
  <c r="H82" i="3" s="1"/>
  <c r="O82" i="3"/>
  <c r="M81" i="3"/>
  <c r="G81" i="3"/>
  <c r="P78" i="3"/>
  <c r="J78" i="3"/>
  <c r="H77" i="3"/>
  <c r="D77" i="3"/>
  <c r="L77" i="3"/>
  <c r="P77" i="3"/>
  <c r="M75" i="3"/>
  <c r="K74" i="3"/>
  <c r="O73" i="3"/>
  <c r="J73" i="3"/>
  <c r="K73" i="3" s="1"/>
  <c r="B71" i="3"/>
  <c r="F71" i="3"/>
  <c r="H71" i="3" s="1"/>
  <c r="J71" i="3"/>
  <c r="N71" i="3"/>
  <c r="M70" i="3"/>
  <c r="E68" i="3"/>
  <c r="P67" i="3"/>
  <c r="C66" i="3"/>
  <c r="G66" i="3"/>
  <c r="H66" i="3" s="1"/>
  <c r="O66" i="3"/>
  <c r="M65" i="3"/>
  <c r="G65" i="3"/>
  <c r="P62" i="3"/>
  <c r="J62" i="3"/>
  <c r="H61" i="3"/>
  <c r="D61" i="3"/>
  <c r="L61" i="3"/>
  <c r="P61" i="3"/>
  <c r="M59" i="3"/>
  <c r="K58" i="3"/>
  <c r="O57" i="3"/>
  <c r="J57" i="3"/>
  <c r="K57" i="3" s="1"/>
  <c r="B55" i="3"/>
  <c r="F55" i="3"/>
  <c r="H55" i="3" s="1"/>
  <c r="J55" i="3"/>
  <c r="N55" i="3"/>
  <c r="M54" i="3"/>
  <c r="E52" i="3"/>
  <c r="P51" i="3"/>
  <c r="C50" i="3"/>
  <c r="G50" i="3"/>
  <c r="H50" i="3" s="1"/>
  <c r="O50" i="3"/>
  <c r="M49" i="3"/>
  <c r="G49" i="3"/>
  <c r="P46" i="3"/>
  <c r="J46" i="3"/>
  <c r="H45" i="3"/>
  <c r="D45" i="3"/>
  <c r="L45" i="3"/>
  <c r="P45" i="3"/>
  <c r="M43" i="3"/>
  <c r="K42" i="3"/>
  <c r="O41" i="3"/>
  <c r="J41" i="3"/>
  <c r="K41" i="3" s="1"/>
  <c r="B39" i="3"/>
  <c r="F39" i="3"/>
  <c r="H39" i="3" s="1"/>
  <c r="J39" i="3"/>
  <c r="N39" i="3"/>
  <c r="M38" i="3"/>
  <c r="E36" i="3"/>
  <c r="P35" i="3"/>
  <c r="C34" i="3"/>
  <c r="G34" i="3"/>
  <c r="H34" i="3" s="1"/>
  <c r="O34" i="3"/>
  <c r="M33" i="3"/>
  <c r="G33" i="3"/>
  <c r="P30" i="3"/>
  <c r="J30" i="3"/>
  <c r="H29" i="3"/>
  <c r="D29" i="3"/>
  <c r="L29" i="3"/>
  <c r="P29" i="3"/>
  <c r="M27" i="3"/>
  <c r="K26" i="3"/>
  <c r="O25" i="3"/>
  <c r="J25" i="3"/>
  <c r="K25" i="3" s="1"/>
  <c r="B23" i="3"/>
  <c r="F23" i="3"/>
  <c r="H23" i="3" s="1"/>
  <c r="J23" i="3"/>
  <c r="N23" i="3"/>
  <c r="M22" i="3"/>
  <c r="E20" i="3"/>
  <c r="P19" i="3"/>
  <c r="C18" i="3"/>
  <c r="G18" i="3"/>
  <c r="H18" i="3" s="1"/>
  <c r="O18" i="3"/>
  <c r="M17" i="3"/>
  <c r="G17" i="3"/>
  <c r="P14" i="3"/>
  <c r="J14" i="3"/>
  <c r="H13" i="3"/>
  <c r="D13" i="3"/>
  <c r="L13" i="3"/>
  <c r="P13" i="3"/>
  <c r="M11" i="3"/>
  <c r="K10" i="3"/>
  <c r="O9" i="3"/>
  <c r="J9" i="3"/>
  <c r="K9" i="3" s="1"/>
  <c r="B8" i="28"/>
  <c r="B7" i="28"/>
  <c r="C8" i="28"/>
  <c r="C7" i="28"/>
  <c r="B7" i="3"/>
  <c r="F7" i="3"/>
  <c r="J7" i="3"/>
  <c r="N7" i="3"/>
  <c r="E166"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8" i="5"/>
  <c r="E127" i="5"/>
  <c r="E126" i="5"/>
  <c r="E124" i="5"/>
  <c r="E123" i="5"/>
  <c r="E122" i="5"/>
  <c r="E120" i="5"/>
  <c r="E119" i="5"/>
  <c r="E118" i="5"/>
  <c r="E117" i="5"/>
  <c r="E116" i="5"/>
  <c r="E115" i="5"/>
  <c r="E114" i="5"/>
  <c r="E113" i="5"/>
  <c r="E112" i="5"/>
  <c r="E111" i="5"/>
  <c r="E110" i="5"/>
  <c r="E109" i="5"/>
  <c r="E108" i="5"/>
  <c r="E107" i="5"/>
  <c r="E104" i="5"/>
  <c r="E103" i="5"/>
  <c r="E102" i="5"/>
  <c r="E101" i="5"/>
  <c r="E100" i="5"/>
  <c r="E99" i="5"/>
  <c r="E98" i="5"/>
  <c r="E97" i="5"/>
  <c r="E96" i="5"/>
  <c r="E95" i="5"/>
  <c r="E94" i="5"/>
  <c r="E93" i="5"/>
  <c r="E92" i="5"/>
  <c r="E91" i="5"/>
  <c r="E88" i="5"/>
  <c r="E87" i="5"/>
  <c r="E85" i="5"/>
  <c r="E84" i="5"/>
  <c r="E83" i="5"/>
  <c r="E81" i="5"/>
  <c r="E80" i="5"/>
  <c r="E79" i="5"/>
  <c r="E78" i="5"/>
  <c r="E77" i="5"/>
  <c r="E76" i="5"/>
  <c r="E75" i="5"/>
  <c r="E72" i="5"/>
  <c r="E71" i="5"/>
  <c r="E69" i="5"/>
  <c r="E68" i="5"/>
  <c r="E67" i="5"/>
  <c r="E66" i="5"/>
  <c r="E65" i="5"/>
  <c r="E64" i="5"/>
  <c r="E63" i="5"/>
  <c r="N62" i="5"/>
  <c r="K61" i="5"/>
  <c r="K60" i="5"/>
  <c r="K59" i="5"/>
  <c r="K58" i="5"/>
  <c r="K57" i="5"/>
  <c r="K56" i="5"/>
  <c r="K55" i="5"/>
  <c r="K54" i="5"/>
  <c r="K53" i="5"/>
  <c r="K52" i="5"/>
  <c r="K51" i="5"/>
  <c r="K50" i="5"/>
  <c r="P47" i="5"/>
  <c r="P45" i="5"/>
  <c r="P43" i="5"/>
  <c r="P41" i="5"/>
  <c r="P39" i="5"/>
  <c r="P37" i="5"/>
  <c r="P35" i="5"/>
  <c r="P33" i="5"/>
  <c r="P31" i="5"/>
  <c r="P29" i="5"/>
  <c r="P27" i="5"/>
  <c r="P25" i="5"/>
  <c r="P23" i="5"/>
  <c r="P21" i="5"/>
  <c r="P19" i="5"/>
  <c r="P17" i="5"/>
  <c r="P15" i="5"/>
  <c r="P13" i="5"/>
  <c r="P11" i="5"/>
  <c r="P9" i="5"/>
  <c r="P7" i="5"/>
  <c r="K188" i="7"/>
  <c r="D186" i="7"/>
  <c r="H186" i="7"/>
  <c r="L186" i="7"/>
  <c r="B186" i="7"/>
  <c r="F186" i="7"/>
  <c r="J186" i="7"/>
  <c r="N186" i="7"/>
  <c r="C178" i="7"/>
  <c r="G178" i="7"/>
  <c r="K178" i="7"/>
  <c r="O178" i="7"/>
  <c r="D178" i="7"/>
  <c r="H178" i="7"/>
  <c r="L178" i="7"/>
  <c r="B178" i="7"/>
  <c r="F178" i="7"/>
  <c r="J178" i="7"/>
  <c r="N178" i="7"/>
  <c r="C170" i="7"/>
  <c r="G170" i="7"/>
  <c r="K170" i="7"/>
  <c r="O170" i="7"/>
  <c r="D170" i="7"/>
  <c r="H170" i="7"/>
  <c r="L170" i="7"/>
  <c r="B170" i="7"/>
  <c r="F170" i="7"/>
  <c r="J170" i="7"/>
  <c r="N170" i="7"/>
  <c r="C162" i="7"/>
  <c r="G162" i="7"/>
  <c r="K162" i="7"/>
  <c r="O162" i="7"/>
  <c r="D162" i="7"/>
  <c r="H162" i="7"/>
  <c r="L162" i="7"/>
  <c r="B162" i="7"/>
  <c r="F162" i="7"/>
  <c r="J162" i="7"/>
  <c r="N162" i="7"/>
  <c r="N159" i="7"/>
  <c r="L149" i="7"/>
  <c r="B91" i="3"/>
  <c r="F91" i="3"/>
  <c r="H91" i="3" s="1"/>
  <c r="J91" i="3"/>
  <c r="N91" i="3"/>
  <c r="C86" i="3"/>
  <c r="E86" i="3" s="1"/>
  <c r="G86" i="3"/>
  <c r="H86" i="3" s="1"/>
  <c r="O86" i="3"/>
  <c r="H81" i="3"/>
  <c r="D81" i="3"/>
  <c r="L81" i="3"/>
  <c r="P81" i="3"/>
  <c r="K78" i="3"/>
  <c r="B75" i="3"/>
  <c r="F75" i="3"/>
  <c r="H75" i="3" s="1"/>
  <c r="J75" i="3"/>
  <c r="N75" i="3"/>
  <c r="C70" i="3"/>
  <c r="E70" i="3" s="1"/>
  <c r="G70" i="3"/>
  <c r="H70" i="3" s="1"/>
  <c r="O70" i="3"/>
  <c r="H65" i="3"/>
  <c r="D65" i="3"/>
  <c r="L65" i="3"/>
  <c r="P65" i="3"/>
  <c r="K62" i="3"/>
  <c r="B59" i="3"/>
  <c r="F59" i="3"/>
  <c r="H59" i="3" s="1"/>
  <c r="J59" i="3"/>
  <c r="N59" i="3"/>
  <c r="C54" i="3"/>
  <c r="E54" i="3" s="1"/>
  <c r="G54" i="3"/>
  <c r="H54" i="3" s="1"/>
  <c r="O54" i="3"/>
  <c r="H49" i="3"/>
  <c r="D49" i="3"/>
  <c r="L49" i="3"/>
  <c r="P49" i="3"/>
  <c r="K46" i="3"/>
  <c r="B43" i="3"/>
  <c r="F43" i="3"/>
  <c r="H43" i="3" s="1"/>
  <c r="J43" i="3"/>
  <c r="N43" i="3"/>
  <c r="C38" i="3"/>
  <c r="E38" i="3" s="1"/>
  <c r="G38" i="3"/>
  <c r="H38" i="3" s="1"/>
  <c r="O38" i="3"/>
  <c r="H33" i="3"/>
  <c r="D33" i="3"/>
  <c r="L33" i="3"/>
  <c r="P33" i="3"/>
  <c r="K30" i="3"/>
  <c r="B27" i="3"/>
  <c r="F27" i="3"/>
  <c r="H27" i="3" s="1"/>
  <c r="J27" i="3"/>
  <c r="N27" i="3"/>
  <c r="C22" i="3"/>
  <c r="E22" i="3" s="1"/>
  <c r="G22" i="3"/>
  <c r="H22" i="3" s="1"/>
  <c r="O22" i="3"/>
  <c r="H17" i="3"/>
  <c r="D17" i="3"/>
  <c r="L17" i="3"/>
  <c r="P17" i="3"/>
  <c r="K14" i="3"/>
  <c r="B11" i="3"/>
  <c r="F11" i="3"/>
  <c r="H11" i="3" s="1"/>
  <c r="J11" i="3"/>
  <c r="N11" i="3"/>
  <c r="E62" i="5"/>
  <c r="E61" i="5"/>
  <c r="E60" i="5"/>
  <c r="E59" i="5"/>
  <c r="E56" i="5"/>
  <c r="E55" i="5"/>
  <c r="E53" i="5"/>
  <c r="E52" i="5"/>
  <c r="E51" i="5"/>
  <c r="E50" i="5"/>
  <c r="E49" i="5"/>
  <c r="F49" i="5" s="1"/>
  <c r="G49" i="5" s="1"/>
  <c r="F48" i="5"/>
  <c r="G48" i="5" s="1"/>
  <c r="E47" i="5"/>
  <c r="F47" i="5" s="1"/>
  <c r="G47" i="5" s="1"/>
  <c r="F46" i="5"/>
  <c r="G46" i="5" s="1"/>
  <c r="E45" i="5"/>
  <c r="F45" i="5" s="1"/>
  <c r="G45" i="5" s="1"/>
  <c r="F44" i="5"/>
  <c r="G44" i="5" s="1"/>
  <c r="E43" i="5"/>
  <c r="F43" i="5" s="1"/>
  <c r="G43" i="5" s="1"/>
  <c r="F40" i="5"/>
  <c r="G40" i="5" s="1"/>
  <c r="E39" i="5"/>
  <c r="F39" i="5" s="1"/>
  <c r="G39" i="5" s="1"/>
  <c r="E37" i="5"/>
  <c r="F37" i="5" s="1"/>
  <c r="F36" i="5"/>
  <c r="G36" i="5" s="1"/>
  <c r="E35" i="5"/>
  <c r="F35" i="5" s="1"/>
  <c r="G35" i="5" s="1"/>
  <c r="E33" i="5"/>
  <c r="F33" i="5" s="1"/>
  <c r="G33" i="5" s="1"/>
  <c r="E31" i="5"/>
  <c r="F31" i="5" s="1"/>
  <c r="G31" i="5" s="1"/>
  <c r="F30" i="5"/>
  <c r="G30" i="5" s="1"/>
  <c r="E29" i="5"/>
  <c r="F29" i="5" s="1"/>
  <c r="G29" i="5" s="1"/>
  <c r="F28" i="5"/>
  <c r="G28" i="5" s="1"/>
  <c r="E27" i="5"/>
  <c r="F27" i="5" s="1"/>
  <c r="G27" i="5" s="1"/>
  <c r="F24" i="5"/>
  <c r="G24" i="5" s="1"/>
  <c r="E23" i="5"/>
  <c r="F23" i="5" s="1"/>
  <c r="G23" i="5" s="1"/>
  <c r="E21" i="5"/>
  <c r="F21" i="5" s="1"/>
  <c r="G21" i="5" s="1"/>
  <c r="E19" i="5"/>
  <c r="F19" i="5" s="1"/>
  <c r="G19" i="5" s="1"/>
  <c r="E17" i="5"/>
  <c r="F17" i="5" s="1"/>
  <c r="G17" i="5" s="1"/>
  <c r="F16" i="5"/>
  <c r="G16" i="5" s="1"/>
  <c r="E15" i="5"/>
  <c r="F15" i="5" s="1"/>
  <c r="G15" i="5" s="1"/>
  <c r="F14" i="5"/>
  <c r="G14" i="5" s="1"/>
  <c r="E13" i="5"/>
  <c r="F13" i="5" s="1"/>
  <c r="G13" i="5" s="1"/>
  <c r="F12" i="5"/>
  <c r="G12" i="5" s="1"/>
  <c r="E11" i="5"/>
  <c r="F11" i="5" s="1"/>
  <c r="G11" i="5" s="1"/>
  <c r="F8" i="5"/>
  <c r="G8" i="5" s="1"/>
  <c r="E7" i="5"/>
  <c r="F7" i="5" s="1"/>
  <c r="G7" i="5" s="1"/>
  <c r="B188" i="7"/>
  <c r="F188" i="7"/>
  <c r="J188" i="7"/>
  <c r="N188" i="7"/>
  <c r="D188" i="7"/>
  <c r="H188" i="7"/>
  <c r="L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K186" i="3" s="1"/>
  <c r="F186" i="3"/>
  <c r="H186" i="3" s="1"/>
  <c r="N182" i="3"/>
  <c r="J182" i="3"/>
  <c r="K182" i="3" s="1"/>
  <c r="F182" i="3"/>
  <c r="H182" i="3" s="1"/>
  <c r="N178" i="3"/>
  <c r="J178" i="3"/>
  <c r="K178" i="3" s="1"/>
  <c r="F178" i="3"/>
  <c r="H178" i="3" s="1"/>
  <c r="N174" i="3"/>
  <c r="J174" i="3"/>
  <c r="K174" i="3" s="1"/>
  <c r="F174" i="3"/>
  <c r="H174" i="3" s="1"/>
  <c r="N170" i="3"/>
  <c r="J170" i="3"/>
  <c r="K170" i="3" s="1"/>
  <c r="F170" i="3"/>
  <c r="H170" i="3" s="1"/>
  <c r="N166" i="3"/>
  <c r="J166" i="3"/>
  <c r="K166" i="3" s="1"/>
  <c r="F166" i="3"/>
  <c r="H166" i="3" s="1"/>
  <c r="N162" i="3"/>
  <c r="J162" i="3"/>
  <c r="K162" i="3" s="1"/>
  <c r="F162" i="3"/>
  <c r="H162" i="3" s="1"/>
  <c r="N158" i="3"/>
  <c r="J158" i="3"/>
  <c r="K158" i="3" s="1"/>
  <c r="F158" i="3"/>
  <c r="H158" i="3" s="1"/>
  <c r="N154" i="3"/>
  <c r="J154" i="3"/>
  <c r="K154" i="3" s="1"/>
  <c r="F154" i="3"/>
  <c r="H154" i="3" s="1"/>
  <c r="N150" i="3"/>
  <c r="J150" i="3"/>
  <c r="K150" i="3" s="1"/>
  <c r="F150" i="3"/>
  <c r="H150" i="3" s="1"/>
  <c r="N146" i="3"/>
  <c r="J146" i="3"/>
  <c r="K146" i="3" s="1"/>
  <c r="F146" i="3"/>
  <c r="H146" i="3" s="1"/>
  <c r="N142" i="3"/>
  <c r="J142" i="3"/>
  <c r="K142" i="3" s="1"/>
  <c r="F142" i="3"/>
  <c r="H142" i="3" s="1"/>
  <c r="N138" i="3"/>
  <c r="J138" i="3"/>
  <c r="K138" i="3" s="1"/>
  <c r="F138" i="3"/>
  <c r="H138" i="3" s="1"/>
  <c r="N134" i="3"/>
  <c r="J134" i="3"/>
  <c r="K134" i="3" s="1"/>
  <c r="F134" i="3"/>
  <c r="H134" i="3" s="1"/>
  <c r="N130" i="3"/>
  <c r="J130" i="3"/>
  <c r="K130" i="3" s="1"/>
  <c r="F130" i="3"/>
  <c r="H130" i="3" s="1"/>
  <c r="O129" i="3"/>
  <c r="G129" i="3"/>
  <c r="H129" i="3" s="1"/>
  <c r="N126" i="3"/>
  <c r="J126" i="3"/>
  <c r="K126" i="3" s="1"/>
  <c r="F126" i="3"/>
  <c r="H126" i="3" s="1"/>
  <c r="O125" i="3"/>
  <c r="G125" i="3"/>
  <c r="H125" i="3" s="1"/>
  <c r="N122" i="3"/>
  <c r="J122" i="3"/>
  <c r="K122" i="3" s="1"/>
  <c r="F122" i="3"/>
  <c r="H122" i="3" s="1"/>
  <c r="O121" i="3"/>
  <c r="G121" i="3"/>
  <c r="H121" i="3" s="1"/>
  <c r="H117" i="3"/>
  <c r="D117" i="3"/>
  <c r="E117" i="3" s="1"/>
  <c r="L117" i="3"/>
  <c r="P117" i="3"/>
  <c r="M115" i="3"/>
  <c r="C115" i="3"/>
  <c r="E115" i="3" s="1"/>
  <c r="N114" i="3"/>
  <c r="I114" i="3"/>
  <c r="K114" i="3" s="1"/>
  <c r="D114" i="3"/>
  <c r="B111" i="3"/>
  <c r="F111" i="3"/>
  <c r="H111" i="3" s="1"/>
  <c r="J111" i="3"/>
  <c r="K111" i="3" s="1"/>
  <c r="N111" i="3"/>
  <c r="M110" i="3"/>
  <c r="B110" i="3"/>
  <c r="N109" i="3"/>
  <c r="I109" i="3"/>
  <c r="K109" i="3" s="1"/>
  <c r="C109" i="3"/>
  <c r="E109" i="3" s="1"/>
  <c r="E108" i="3"/>
  <c r="C106" i="3"/>
  <c r="E106" i="3" s="1"/>
  <c r="G106" i="3"/>
  <c r="H106" i="3" s="1"/>
  <c r="O106" i="3"/>
  <c r="M105" i="3"/>
  <c r="G105" i="3"/>
  <c r="E105" i="5" s="1"/>
  <c r="B105" i="3"/>
  <c r="O103" i="3"/>
  <c r="I103" i="3"/>
  <c r="K103" i="3" s="1"/>
  <c r="D103" i="3"/>
  <c r="E103" i="3" s="1"/>
  <c r="H101" i="3"/>
  <c r="D101" i="3"/>
  <c r="E101" i="3" s="1"/>
  <c r="L101" i="3"/>
  <c r="P101" i="3"/>
  <c r="M99" i="3"/>
  <c r="C99" i="3"/>
  <c r="E99" i="3" s="1"/>
  <c r="N98" i="3"/>
  <c r="I98" i="3"/>
  <c r="K98" i="3" s="1"/>
  <c r="D98" i="3"/>
  <c r="B95" i="3"/>
  <c r="F95" i="3"/>
  <c r="H95" i="3" s="1"/>
  <c r="J95" i="3"/>
  <c r="K95" i="3" s="1"/>
  <c r="N95" i="3"/>
  <c r="M94" i="3"/>
  <c r="B94" i="3"/>
  <c r="N93" i="3"/>
  <c r="I93" i="3"/>
  <c r="K93" i="3" s="1"/>
  <c r="C93" i="3"/>
  <c r="E93" i="3" s="1"/>
  <c r="E92" i="3"/>
  <c r="P91" i="3"/>
  <c r="C90" i="3"/>
  <c r="E90" i="3" s="1"/>
  <c r="G90" i="3"/>
  <c r="H90" i="3" s="1"/>
  <c r="O90" i="3"/>
  <c r="M89" i="3"/>
  <c r="G89" i="3"/>
  <c r="E89" i="5" s="1"/>
  <c r="B89" i="3"/>
  <c r="O87" i="3"/>
  <c r="I87" i="3"/>
  <c r="K87" i="3" s="1"/>
  <c r="D87" i="3"/>
  <c r="E87" i="3" s="1"/>
  <c r="P86" i="3"/>
  <c r="J86" i="3"/>
  <c r="H85" i="3"/>
  <c r="D85" i="3"/>
  <c r="E85" i="3" s="1"/>
  <c r="L85" i="3"/>
  <c r="P85" i="3"/>
  <c r="M83" i="3"/>
  <c r="C83" i="3"/>
  <c r="E83" i="3" s="1"/>
  <c r="N82" i="3"/>
  <c r="I82" i="3"/>
  <c r="K82" i="3" s="1"/>
  <c r="D82" i="3"/>
  <c r="O81" i="3"/>
  <c r="J81" i="3"/>
  <c r="B79" i="3"/>
  <c r="F79" i="3"/>
  <c r="H79" i="3" s="1"/>
  <c r="J79" i="3"/>
  <c r="K79" i="3" s="1"/>
  <c r="N79" i="3"/>
  <c r="M78" i="3"/>
  <c r="B78" i="3"/>
  <c r="N77" i="3"/>
  <c r="I77" i="3"/>
  <c r="K77" i="3" s="1"/>
  <c r="C77" i="3"/>
  <c r="E77" i="3" s="1"/>
  <c r="E76" i="3"/>
  <c r="P75" i="3"/>
  <c r="C74" i="3"/>
  <c r="E74" i="3" s="1"/>
  <c r="G74" i="3"/>
  <c r="H74" i="3" s="1"/>
  <c r="O74" i="3"/>
  <c r="M73" i="3"/>
  <c r="G73" i="3"/>
  <c r="E73" i="5" s="1"/>
  <c r="B73" i="3"/>
  <c r="O71" i="3"/>
  <c r="I71" i="3"/>
  <c r="D71" i="3"/>
  <c r="E71" i="3" s="1"/>
  <c r="P70" i="3"/>
  <c r="J70" i="3"/>
  <c r="H69" i="3"/>
  <c r="D69" i="3"/>
  <c r="E69" i="3" s="1"/>
  <c r="L69" i="3"/>
  <c r="P69" i="3"/>
  <c r="M67" i="3"/>
  <c r="C67" i="3"/>
  <c r="E67" i="3" s="1"/>
  <c r="N66" i="3"/>
  <c r="I66" i="3"/>
  <c r="K66" i="3" s="1"/>
  <c r="D66" i="3"/>
  <c r="O65" i="3"/>
  <c r="J65" i="3"/>
  <c r="B63" i="3"/>
  <c r="F63" i="3"/>
  <c r="H63" i="3" s="1"/>
  <c r="J63" i="3"/>
  <c r="K63" i="3" s="1"/>
  <c r="N63" i="3"/>
  <c r="M62" i="3"/>
  <c r="B62" i="3"/>
  <c r="N61" i="3"/>
  <c r="I61" i="3"/>
  <c r="K61" i="3" s="1"/>
  <c r="C61" i="3"/>
  <c r="E61" i="3" s="1"/>
  <c r="E60" i="3"/>
  <c r="P59" i="3"/>
  <c r="C58" i="3"/>
  <c r="E58" i="3" s="1"/>
  <c r="G58" i="3"/>
  <c r="H58" i="3" s="1"/>
  <c r="O58" i="3"/>
  <c r="M57" i="3"/>
  <c r="G57" i="3"/>
  <c r="H57" i="3" s="1"/>
  <c r="B57" i="3"/>
  <c r="O55" i="3"/>
  <c r="I55" i="3"/>
  <c r="K55" i="3" s="1"/>
  <c r="D55" i="3"/>
  <c r="E55" i="3" s="1"/>
  <c r="P54" i="3"/>
  <c r="J54" i="3"/>
  <c r="H53" i="3"/>
  <c r="D53" i="3"/>
  <c r="E53" i="3" s="1"/>
  <c r="L53" i="3"/>
  <c r="P53" i="3"/>
  <c r="M51" i="3"/>
  <c r="C51" i="3"/>
  <c r="E51" i="3" s="1"/>
  <c r="N50" i="3"/>
  <c r="I50" i="3"/>
  <c r="K50" i="3" s="1"/>
  <c r="D50" i="3"/>
  <c r="O49" i="3"/>
  <c r="J49" i="3"/>
  <c r="B47" i="3"/>
  <c r="F47" i="3"/>
  <c r="H47" i="3" s="1"/>
  <c r="J47" i="3"/>
  <c r="K47" i="3" s="1"/>
  <c r="N47" i="3"/>
  <c r="M46" i="3"/>
  <c r="B46" i="3"/>
  <c r="N45" i="3"/>
  <c r="I45" i="3"/>
  <c r="K45" i="3" s="1"/>
  <c r="C45" i="3"/>
  <c r="E45" i="3" s="1"/>
  <c r="E44" i="3"/>
  <c r="P43" i="3"/>
  <c r="C42" i="3"/>
  <c r="E42" i="3" s="1"/>
  <c r="G42" i="3"/>
  <c r="H42" i="3" s="1"/>
  <c r="O42" i="3"/>
  <c r="M41" i="3"/>
  <c r="G41" i="3"/>
  <c r="H41" i="3" s="1"/>
  <c r="B41" i="3"/>
  <c r="O39" i="3"/>
  <c r="I39" i="3"/>
  <c r="D39" i="3"/>
  <c r="E39" i="3" s="1"/>
  <c r="P38" i="3"/>
  <c r="J38" i="3"/>
  <c r="H37" i="3"/>
  <c r="D37" i="3"/>
  <c r="E37" i="3" s="1"/>
  <c r="L37" i="3"/>
  <c r="P37" i="3"/>
  <c r="M35" i="3"/>
  <c r="C35" i="3"/>
  <c r="E35" i="3" s="1"/>
  <c r="N34" i="3"/>
  <c r="I34" i="3"/>
  <c r="K34" i="3" s="1"/>
  <c r="D34" i="3"/>
  <c r="O33" i="3"/>
  <c r="J33" i="3"/>
  <c r="B31" i="3"/>
  <c r="F31" i="3"/>
  <c r="H31" i="3" s="1"/>
  <c r="J31" i="3"/>
  <c r="K31" i="3" s="1"/>
  <c r="N31" i="3"/>
  <c r="M30" i="3"/>
  <c r="B30" i="3"/>
  <c r="N29" i="3"/>
  <c r="I29" i="3"/>
  <c r="K29" i="3" s="1"/>
  <c r="C29" i="3"/>
  <c r="E29" i="3" s="1"/>
  <c r="E28" i="3"/>
  <c r="P27" i="3"/>
  <c r="C26" i="3"/>
  <c r="E26" i="3" s="1"/>
  <c r="G26" i="3"/>
  <c r="H26" i="3" s="1"/>
  <c r="O26" i="3"/>
  <c r="M25" i="3"/>
  <c r="G25" i="3"/>
  <c r="H25" i="3" s="1"/>
  <c r="B25" i="3"/>
  <c r="O23" i="3"/>
  <c r="I23" i="3"/>
  <c r="K23" i="3" s="1"/>
  <c r="D23" i="3"/>
  <c r="E23" i="3" s="1"/>
  <c r="P22" i="3"/>
  <c r="J22" i="3"/>
  <c r="H21" i="3"/>
  <c r="D21" i="3"/>
  <c r="E21" i="3" s="1"/>
  <c r="L21" i="3"/>
  <c r="P21" i="3"/>
  <c r="M19" i="3"/>
  <c r="C19" i="3"/>
  <c r="E19" i="3" s="1"/>
  <c r="N18" i="3"/>
  <c r="I18" i="3"/>
  <c r="K18" i="3" s="1"/>
  <c r="D18" i="3"/>
  <c r="O17" i="3"/>
  <c r="J17" i="3"/>
  <c r="B15" i="3"/>
  <c r="F15" i="3"/>
  <c r="H15" i="3" s="1"/>
  <c r="J15" i="3"/>
  <c r="K15" i="3" s="1"/>
  <c r="N15" i="3"/>
  <c r="M14" i="3"/>
  <c r="B14" i="3"/>
  <c r="N13" i="3"/>
  <c r="I13" i="3"/>
  <c r="K13" i="3" s="1"/>
  <c r="C13" i="3"/>
  <c r="E13" i="3" s="1"/>
  <c r="E12" i="3"/>
  <c r="P11" i="3"/>
  <c r="C10" i="3"/>
  <c r="E10" i="3" s="1"/>
  <c r="G10" i="3"/>
  <c r="H10" i="3" s="1"/>
  <c r="O10" i="3"/>
  <c r="M9" i="3"/>
  <c r="G9" i="3"/>
  <c r="B9" i="3"/>
  <c r="O7" i="3"/>
  <c r="I7" i="3"/>
  <c r="D7" i="3"/>
  <c r="E7" i="3" s="1"/>
  <c r="O192" i="5"/>
  <c r="D166" i="5"/>
  <c r="F166" i="5" s="1"/>
  <c r="G166" i="5" s="1"/>
  <c r="H166" i="5"/>
  <c r="J166" i="5" s="1"/>
  <c r="L166" i="5"/>
  <c r="M166" i="5" s="1"/>
  <c r="D165" i="5"/>
  <c r="F165" i="5" s="1"/>
  <c r="G165" i="5" s="1"/>
  <c r="H165" i="5"/>
  <c r="J165" i="5" s="1"/>
  <c r="L165" i="5"/>
  <c r="M165" i="5" s="1"/>
  <c r="D164" i="5"/>
  <c r="F164" i="5" s="1"/>
  <c r="G164" i="5" s="1"/>
  <c r="H164" i="5"/>
  <c r="J164" i="5" s="1"/>
  <c r="L164" i="5"/>
  <c r="M164" i="5" s="1"/>
  <c r="D163" i="5"/>
  <c r="H163" i="5"/>
  <c r="J163" i="5" s="1"/>
  <c r="D162" i="5"/>
  <c r="F162" i="5" s="1"/>
  <c r="G162" i="5" s="1"/>
  <c r="H162" i="5"/>
  <c r="J162" i="5" s="1"/>
  <c r="D161" i="5"/>
  <c r="F161" i="5" s="1"/>
  <c r="G161" i="5" s="1"/>
  <c r="H161" i="5"/>
  <c r="J161" i="5" s="1"/>
  <c r="L161" i="5"/>
  <c r="M161" i="5" s="1"/>
  <c r="D160" i="5"/>
  <c r="F160" i="5" s="1"/>
  <c r="G160" i="5" s="1"/>
  <c r="H160" i="5"/>
  <c r="J160" i="5" s="1"/>
  <c r="L160" i="5"/>
  <c r="M160" i="5" s="1"/>
  <c r="D159" i="5"/>
  <c r="H159" i="5"/>
  <c r="J159" i="5" s="1"/>
  <c r="D158" i="5"/>
  <c r="F158" i="5" s="1"/>
  <c r="G158" i="5" s="1"/>
  <c r="H158" i="5"/>
  <c r="J158" i="5" s="1"/>
  <c r="D157" i="5"/>
  <c r="F157" i="5" s="1"/>
  <c r="G157" i="5" s="1"/>
  <c r="H157" i="5"/>
  <c r="J157" i="5" s="1"/>
  <c r="L157" i="5"/>
  <c r="M157" i="5" s="1"/>
  <c r="D156" i="5"/>
  <c r="F156" i="5" s="1"/>
  <c r="G156" i="5" s="1"/>
  <c r="H156" i="5"/>
  <c r="J156" i="5" s="1"/>
  <c r="L156" i="5"/>
  <c r="M156" i="5" s="1"/>
  <c r="D155" i="5"/>
  <c r="H155" i="5"/>
  <c r="J155" i="5" s="1"/>
  <c r="D154" i="5"/>
  <c r="F154" i="5" s="1"/>
  <c r="G154" i="5" s="1"/>
  <c r="H154" i="5"/>
  <c r="J154" i="5" s="1"/>
  <c r="D153" i="5"/>
  <c r="F153" i="5" s="1"/>
  <c r="G153" i="5" s="1"/>
  <c r="H153" i="5"/>
  <c r="J153" i="5" s="1"/>
  <c r="L153" i="5"/>
  <c r="M153" i="5" s="1"/>
  <c r="D152" i="5"/>
  <c r="F152" i="5" s="1"/>
  <c r="G152" i="5" s="1"/>
  <c r="H152" i="5"/>
  <c r="J152" i="5" s="1"/>
  <c r="L152" i="5"/>
  <c r="M152" i="5" s="1"/>
  <c r="D151" i="5"/>
  <c r="H151" i="5"/>
  <c r="J151" i="5" s="1"/>
  <c r="D150" i="5"/>
  <c r="F150" i="5" s="1"/>
  <c r="G150" i="5" s="1"/>
  <c r="H150" i="5"/>
  <c r="J150" i="5" s="1"/>
  <c r="D149" i="5"/>
  <c r="F149" i="5" s="1"/>
  <c r="G149" i="5" s="1"/>
  <c r="H149" i="5"/>
  <c r="J149" i="5" s="1"/>
  <c r="L149" i="5"/>
  <c r="M149" i="5" s="1"/>
  <c r="D148" i="5"/>
  <c r="F148" i="5" s="1"/>
  <c r="G148" i="5" s="1"/>
  <c r="H148" i="5"/>
  <c r="J148" i="5" s="1"/>
  <c r="L148" i="5"/>
  <c r="M148" i="5" s="1"/>
  <c r="D147" i="5"/>
  <c r="H147" i="5"/>
  <c r="J147" i="5" s="1"/>
  <c r="D146" i="5"/>
  <c r="F146" i="5" s="1"/>
  <c r="G146" i="5" s="1"/>
  <c r="H146" i="5"/>
  <c r="J146" i="5" s="1"/>
  <c r="D145" i="5"/>
  <c r="F145" i="5" s="1"/>
  <c r="G145" i="5" s="1"/>
  <c r="H145" i="5"/>
  <c r="J145" i="5" s="1"/>
  <c r="D144" i="5"/>
  <c r="F144" i="5" s="1"/>
  <c r="G144" i="5" s="1"/>
  <c r="H144" i="5"/>
  <c r="J144" i="5" s="1"/>
  <c r="L144" i="5"/>
  <c r="M144" i="5" s="1"/>
  <c r="D143" i="5"/>
  <c r="F143" i="5" s="1"/>
  <c r="G143" i="5" s="1"/>
  <c r="H143" i="5"/>
  <c r="J143" i="5" s="1"/>
  <c r="L143" i="5"/>
  <c r="M143" i="5" s="1"/>
  <c r="D142" i="5"/>
  <c r="F142" i="5" s="1"/>
  <c r="G142" i="5" s="1"/>
  <c r="H142" i="5"/>
  <c r="J142" i="5" s="1"/>
  <c r="L142" i="5"/>
  <c r="M142" i="5" s="1"/>
  <c r="D141" i="5"/>
  <c r="F141" i="5" s="1"/>
  <c r="G141" i="5" s="1"/>
  <c r="H141" i="5"/>
  <c r="J141" i="5" s="1"/>
  <c r="D140" i="5"/>
  <c r="F140" i="5" s="1"/>
  <c r="G140" i="5" s="1"/>
  <c r="H140" i="5"/>
  <c r="J140" i="5" s="1"/>
  <c r="D139" i="5"/>
  <c r="H139" i="5"/>
  <c r="J139" i="5" s="1"/>
  <c r="L139" i="5"/>
  <c r="M139" i="5" s="1"/>
  <c r="D138" i="5"/>
  <c r="F138" i="5" s="1"/>
  <c r="G138" i="5" s="1"/>
  <c r="H138" i="5"/>
  <c r="J138" i="5" s="1"/>
  <c r="L138" i="5"/>
  <c r="M138" i="5" s="1"/>
  <c r="D137" i="5"/>
  <c r="F137" i="5" s="1"/>
  <c r="G137" i="5" s="1"/>
  <c r="H137" i="5"/>
  <c r="J137" i="5" s="1"/>
  <c r="D136" i="5"/>
  <c r="F136" i="5" s="1"/>
  <c r="G136" i="5" s="1"/>
  <c r="H136" i="5"/>
  <c r="J136" i="5" s="1"/>
  <c r="L136" i="5"/>
  <c r="M136" i="5" s="1"/>
  <c r="D135" i="5"/>
  <c r="H135" i="5"/>
  <c r="J135" i="5" s="1"/>
  <c r="L135" i="5"/>
  <c r="M135" i="5" s="1"/>
  <c r="D134" i="5"/>
  <c r="F134" i="5" s="1"/>
  <c r="G134" i="5" s="1"/>
  <c r="H134" i="5"/>
  <c r="J134" i="5" s="1"/>
  <c r="D133" i="5"/>
  <c r="F133" i="5" s="1"/>
  <c r="G133" i="5" s="1"/>
  <c r="H133" i="5"/>
  <c r="J133" i="5" s="1"/>
  <c r="D132" i="5"/>
  <c r="F132" i="5" s="1"/>
  <c r="G132" i="5" s="1"/>
  <c r="H132" i="5"/>
  <c r="J132" i="5" s="1"/>
  <c r="L132" i="5"/>
  <c r="M132" i="5" s="1"/>
  <c r="D131" i="5"/>
  <c r="H131" i="5"/>
  <c r="J131" i="5" s="1"/>
  <c r="L131" i="5"/>
  <c r="M131" i="5" s="1"/>
  <c r="D130" i="5"/>
  <c r="F130" i="5" s="1"/>
  <c r="G130" i="5" s="1"/>
  <c r="H130" i="5"/>
  <c r="J130" i="5" s="1"/>
  <c r="D129" i="5"/>
  <c r="H129" i="5"/>
  <c r="J129" i="5" s="1"/>
  <c r="D128" i="5"/>
  <c r="F128" i="5" s="1"/>
  <c r="G128" i="5" s="1"/>
  <c r="H128" i="5"/>
  <c r="J128" i="5" s="1"/>
  <c r="L128" i="5"/>
  <c r="M128" i="5" s="1"/>
  <c r="D127" i="5"/>
  <c r="F127" i="5" s="1"/>
  <c r="G127" i="5" s="1"/>
  <c r="H127" i="5"/>
  <c r="J127" i="5" s="1"/>
  <c r="L127" i="5"/>
  <c r="M127" i="5" s="1"/>
  <c r="D126" i="5"/>
  <c r="F126" i="5" s="1"/>
  <c r="G126" i="5" s="1"/>
  <c r="H126" i="5"/>
  <c r="J126" i="5" s="1"/>
  <c r="L126" i="5"/>
  <c r="M126" i="5" s="1"/>
  <c r="D125" i="5"/>
  <c r="H125" i="5"/>
  <c r="J125" i="5" s="1"/>
  <c r="D124" i="5"/>
  <c r="F124" i="5" s="1"/>
  <c r="G124" i="5" s="1"/>
  <c r="H124" i="5"/>
  <c r="J124" i="5" s="1"/>
  <c r="D123" i="5"/>
  <c r="F123" i="5" s="1"/>
  <c r="G123" i="5" s="1"/>
  <c r="H123" i="5"/>
  <c r="J123" i="5" s="1"/>
  <c r="L123" i="5"/>
  <c r="M123" i="5" s="1"/>
  <c r="D122" i="5"/>
  <c r="F122" i="5" s="1"/>
  <c r="G122" i="5" s="1"/>
  <c r="H122" i="5"/>
  <c r="J122" i="5" s="1"/>
  <c r="L122" i="5"/>
  <c r="M122" i="5" s="1"/>
  <c r="D121" i="5"/>
  <c r="H121" i="5"/>
  <c r="J121" i="5" s="1"/>
  <c r="D120" i="5"/>
  <c r="H120" i="5"/>
  <c r="J120" i="5" s="1"/>
  <c r="L120" i="5"/>
  <c r="M120" i="5" s="1"/>
  <c r="D119" i="5"/>
  <c r="F119" i="5" s="1"/>
  <c r="G119" i="5" s="1"/>
  <c r="H119" i="5"/>
  <c r="J119" i="5" s="1"/>
  <c r="L119" i="5"/>
  <c r="M119" i="5" s="1"/>
  <c r="D118" i="5"/>
  <c r="F118" i="5" s="1"/>
  <c r="G118" i="5" s="1"/>
  <c r="H118" i="5"/>
  <c r="J118" i="5" s="1"/>
  <c r="D117" i="5"/>
  <c r="F117" i="5" s="1"/>
  <c r="G117" i="5" s="1"/>
  <c r="H117" i="5"/>
  <c r="J117" i="5" s="1"/>
  <c r="D116" i="5"/>
  <c r="H116" i="5"/>
  <c r="J116" i="5" s="1"/>
  <c r="L116" i="5"/>
  <c r="M116" i="5" s="1"/>
  <c r="D115" i="5"/>
  <c r="F115" i="5" s="1"/>
  <c r="G115" i="5" s="1"/>
  <c r="H115" i="5"/>
  <c r="J115" i="5" s="1"/>
  <c r="L115" i="5"/>
  <c r="M115" i="5" s="1"/>
  <c r="D114" i="5"/>
  <c r="F114" i="5" s="1"/>
  <c r="G114" i="5" s="1"/>
  <c r="H114" i="5"/>
  <c r="J114" i="5" s="1"/>
  <c r="D113" i="5"/>
  <c r="F113" i="5" s="1"/>
  <c r="G113" i="5" s="1"/>
  <c r="H113" i="5"/>
  <c r="J113" i="5" s="1"/>
  <c r="D112" i="5"/>
  <c r="H112" i="5"/>
  <c r="J112" i="5" s="1"/>
  <c r="L112" i="5"/>
  <c r="M112" i="5" s="1"/>
  <c r="D111" i="5"/>
  <c r="F111" i="5" s="1"/>
  <c r="G111" i="5" s="1"/>
  <c r="H111" i="5"/>
  <c r="J111" i="5" s="1"/>
  <c r="L111" i="5"/>
  <c r="M111" i="5" s="1"/>
  <c r="D110" i="5"/>
  <c r="F110" i="5" s="1"/>
  <c r="G110" i="5" s="1"/>
  <c r="H110" i="5"/>
  <c r="J110" i="5" s="1"/>
  <c r="L110" i="5"/>
  <c r="M110" i="5" s="1"/>
  <c r="D109" i="5"/>
  <c r="F109" i="5" s="1"/>
  <c r="G109" i="5" s="1"/>
  <c r="H109" i="5"/>
  <c r="J109" i="5" s="1"/>
  <c r="D108" i="5"/>
  <c r="H108" i="5"/>
  <c r="J108" i="5" s="1"/>
  <c r="L108" i="5"/>
  <c r="M108" i="5" s="1"/>
  <c r="D107" i="5"/>
  <c r="F107" i="5" s="1"/>
  <c r="G107" i="5" s="1"/>
  <c r="H107" i="5"/>
  <c r="J107" i="5" s="1"/>
  <c r="L107" i="5"/>
  <c r="M107" i="5" s="1"/>
  <c r="D106" i="5"/>
  <c r="H106" i="5"/>
  <c r="J106" i="5" s="1"/>
  <c r="D105" i="5"/>
  <c r="H105" i="5"/>
  <c r="J105" i="5" s="1"/>
  <c r="D104" i="5"/>
  <c r="F104" i="5" s="1"/>
  <c r="G104" i="5" s="1"/>
  <c r="H104" i="5"/>
  <c r="J104" i="5" s="1"/>
  <c r="L104" i="5"/>
  <c r="M104" i="5" s="1"/>
  <c r="D103" i="5"/>
  <c r="F103" i="5" s="1"/>
  <c r="G103" i="5" s="1"/>
  <c r="H103" i="5"/>
  <c r="J103" i="5" s="1"/>
  <c r="L103" i="5"/>
  <c r="M103" i="5" s="1"/>
  <c r="D102" i="5"/>
  <c r="H102" i="5"/>
  <c r="J102" i="5" s="1"/>
  <c r="L102" i="5"/>
  <c r="M102" i="5" s="1"/>
  <c r="D101" i="5"/>
  <c r="F101" i="5" s="1"/>
  <c r="G101" i="5" s="1"/>
  <c r="H101" i="5"/>
  <c r="J101" i="5" s="1"/>
  <c r="D100" i="5"/>
  <c r="F100" i="5" s="1"/>
  <c r="G100" i="5" s="1"/>
  <c r="H100" i="5"/>
  <c r="J100" i="5" s="1"/>
  <c r="L100" i="5"/>
  <c r="M100" i="5" s="1"/>
  <c r="D99" i="5"/>
  <c r="F99" i="5" s="1"/>
  <c r="G99" i="5" s="1"/>
  <c r="H99" i="5"/>
  <c r="J99" i="5" s="1"/>
  <c r="L99" i="5"/>
  <c r="M99" i="5" s="1"/>
  <c r="D98" i="5"/>
  <c r="H98" i="5"/>
  <c r="J98" i="5" s="1"/>
  <c r="D97" i="5"/>
  <c r="F97" i="5" s="1"/>
  <c r="G97" i="5" s="1"/>
  <c r="H97" i="5"/>
  <c r="J97" i="5" s="1"/>
  <c r="D96" i="5"/>
  <c r="F96" i="5" s="1"/>
  <c r="G96" i="5" s="1"/>
  <c r="H96" i="5"/>
  <c r="J96" i="5" s="1"/>
  <c r="L96" i="5"/>
  <c r="M96" i="5" s="1"/>
  <c r="D95" i="5"/>
  <c r="F95" i="5" s="1"/>
  <c r="G95" i="5" s="1"/>
  <c r="H95" i="5"/>
  <c r="J95" i="5" s="1"/>
  <c r="L95" i="5"/>
  <c r="M95" i="5" s="1"/>
  <c r="D94" i="5"/>
  <c r="H94" i="5"/>
  <c r="J94" i="5" s="1"/>
  <c r="L94" i="5"/>
  <c r="M94" i="5" s="1"/>
  <c r="D93" i="5"/>
  <c r="F93" i="5" s="1"/>
  <c r="G93" i="5" s="1"/>
  <c r="H93" i="5"/>
  <c r="J93" i="5" s="1"/>
  <c r="D92" i="5"/>
  <c r="F92" i="5" s="1"/>
  <c r="G92" i="5" s="1"/>
  <c r="H92" i="5"/>
  <c r="J92" i="5" s="1"/>
  <c r="L92" i="5"/>
  <c r="M92" i="5" s="1"/>
  <c r="D91" i="5"/>
  <c r="F91" i="5" s="1"/>
  <c r="G91" i="5" s="1"/>
  <c r="H91" i="5"/>
  <c r="J91" i="5" s="1"/>
  <c r="L91" i="5"/>
  <c r="M91" i="5" s="1"/>
  <c r="D90" i="5"/>
  <c r="H90" i="5"/>
  <c r="J90" i="5" s="1"/>
  <c r="D89" i="5"/>
  <c r="H89" i="5"/>
  <c r="J89" i="5" s="1"/>
  <c r="D88" i="5"/>
  <c r="H88" i="5"/>
  <c r="J88" i="5" s="1"/>
  <c r="L88" i="5"/>
  <c r="M88" i="5" s="1"/>
  <c r="D87" i="5"/>
  <c r="F87" i="5" s="1"/>
  <c r="G87" i="5" s="1"/>
  <c r="H87" i="5"/>
  <c r="J87" i="5" s="1"/>
  <c r="L87" i="5"/>
  <c r="M87" i="5" s="1"/>
  <c r="D86" i="5"/>
  <c r="H86" i="5"/>
  <c r="J86" i="5" s="1"/>
  <c r="L86" i="5"/>
  <c r="M86" i="5" s="1"/>
  <c r="D85" i="5"/>
  <c r="F85" i="5" s="1"/>
  <c r="G85" i="5" s="1"/>
  <c r="H85" i="5"/>
  <c r="J85" i="5" s="1"/>
  <c r="D84" i="5"/>
  <c r="F84" i="5" s="1"/>
  <c r="G84" i="5" s="1"/>
  <c r="H84" i="5"/>
  <c r="J84" i="5" s="1"/>
  <c r="L84" i="5"/>
  <c r="M84" i="5" s="1"/>
  <c r="D83" i="5"/>
  <c r="F83" i="5" s="1"/>
  <c r="G83" i="5" s="1"/>
  <c r="H83" i="5"/>
  <c r="J83" i="5" s="1"/>
  <c r="L83" i="5"/>
  <c r="M83" i="5" s="1"/>
  <c r="D82" i="5"/>
  <c r="H82" i="5"/>
  <c r="J82" i="5" s="1"/>
  <c r="D81" i="5"/>
  <c r="F81" i="5" s="1"/>
  <c r="G81" i="5" s="1"/>
  <c r="H81" i="5"/>
  <c r="J81" i="5" s="1"/>
  <c r="D80" i="5"/>
  <c r="F80" i="5" s="1"/>
  <c r="G80" i="5" s="1"/>
  <c r="H80" i="5"/>
  <c r="J80" i="5" s="1"/>
  <c r="L80" i="5"/>
  <c r="M80" i="5" s="1"/>
  <c r="D79" i="5"/>
  <c r="H79" i="5"/>
  <c r="J79" i="5" s="1"/>
  <c r="L79" i="5"/>
  <c r="M79" i="5" s="1"/>
  <c r="D78" i="5"/>
  <c r="F78" i="5" s="1"/>
  <c r="G78" i="5" s="1"/>
  <c r="H78" i="5"/>
  <c r="J78" i="5" s="1"/>
  <c r="L78" i="5"/>
  <c r="M78" i="5" s="1"/>
  <c r="D77" i="5"/>
  <c r="F77" i="5" s="1"/>
  <c r="G77" i="5" s="1"/>
  <c r="H77" i="5"/>
  <c r="J77" i="5" s="1"/>
  <c r="D76" i="5"/>
  <c r="F76" i="5" s="1"/>
  <c r="G76" i="5" s="1"/>
  <c r="H76" i="5"/>
  <c r="J76" i="5" s="1"/>
  <c r="L76" i="5"/>
  <c r="M76" i="5" s="1"/>
  <c r="D75" i="5"/>
  <c r="H75" i="5"/>
  <c r="J75" i="5" s="1"/>
  <c r="L75" i="5"/>
  <c r="M75" i="5" s="1"/>
  <c r="D74" i="5"/>
  <c r="H74" i="5"/>
  <c r="J74" i="5" s="1"/>
  <c r="D73" i="5"/>
  <c r="H73" i="5"/>
  <c r="J73" i="5" s="1"/>
  <c r="D72" i="5"/>
  <c r="F72" i="5" s="1"/>
  <c r="G72" i="5" s="1"/>
  <c r="H72" i="5"/>
  <c r="J72" i="5" s="1"/>
  <c r="L72" i="5"/>
  <c r="M72" i="5" s="1"/>
  <c r="D71" i="5"/>
  <c r="F71" i="5" s="1"/>
  <c r="G71" i="5" s="1"/>
  <c r="H71" i="5"/>
  <c r="J71" i="5" s="1"/>
  <c r="L71" i="5"/>
  <c r="M71" i="5" s="1"/>
  <c r="D70" i="5"/>
  <c r="H70" i="5"/>
  <c r="J70" i="5" s="1"/>
  <c r="L70" i="5"/>
  <c r="M70" i="5" s="1"/>
  <c r="D69" i="5"/>
  <c r="F69" i="5" s="1"/>
  <c r="G69" i="5" s="1"/>
  <c r="H69" i="5"/>
  <c r="J69" i="5" s="1"/>
  <c r="D68" i="5"/>
  <c r="H68" i="5"/>
  <c r="J68" i="5" s="1"/>
  <c r="L68" i="5"/>
  <c r="M68" i="5" s="1"/>
  <c r="D67" i="5"/>
  <c r="F67" i="5" s="1"/>
  <c r="G67" i="5" s="1"/>
  <c r="H67" i="5"/>
  <c r="J67" i="5" s="1"/>
  <c r="L67" i="5"/>
  <c r="M67" i="5" s="1"/>
  <c r="D66" i="5"/>
  <c r="F66" i="5" s="1"/>
  <c r="G66" i="5" s="1"/>
  <c r="H66" i="5"/>
  <c r="J66" i="5" s="1"/>
  <c r="D65" i="5"/>
  <c r="F65" i="5" s="1"/>
  <c r="G65" i="5" s="1"/>
  <c r="H65" i="5"/>
  <c r="J65" i="5" s="1"/>
  <c r="D64" i="5"/>
  <c r="H64" i="5"/>
  <c r="J64" i="5" s="1"/>
  <c r="D63" i="5"/>
  <c r="F63" i="5" s="1"/>
  <c r="G63" i="5" s="1"/>
  <c r="H63" i="5"/>
  <c r="J63" i="5" s="1"/>
  <c r="L63" i="5"/>
  <c r="M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49" i="5"/>
  <c r="P48" i="5"/>
  <c r="P46" i="5"/>
  <c r="P44" i="5"/>
  <c r="P42" i="5"/>
  <c r="P40" i="5"/>
  <c r="P38" i="5"/>
  <c r="P36" i="5"/>
  <c r="P34" i="5"/>
  <c r="P32" i="5"/>
  <c r="P30" i="5"/>
  <c r="P28" i="5"/>
  <c r="P26" i="5"/>
  <c r="P24" i="5"/>
  <c r="P22" i="5"/>
  <c r="P20" i="5"/>
  <c r="P18" i="5"/>
  <c r="P16" i="5"/>
  <c r="P14" i="5"/>
  <c r="P12" i="5"/>
  <c r="P10" i="5"/>
  <c r="P8" i="5"/>
  <c r="O188" i="7"/>
  <c r="G188" i="7"/>
  <c r="C182" i="7"/>
  <c r="G182" i="7"/>
  <c r="K182" i="7"/>
  <c r="O182" i="7"/>
  <c r="D182" i="7"/>
  <c r="H182" i="7"/>
  <c r="L182" i="7"/>
  <c r="B182" i="7"/>
  <c r="F182" i="7"/>
  <c r="J182" i="7"/>
  <c r="N182" i="7"/>
  <c r="C174" i="7"/>
  <c r="G174" i="7"/>
  <c r="K174" i="7"/>
  <c r="O174" i="7"/>
  <c r="D174" i="7"/>
  <c r="H174" i="7"/>
  <c r="L174" i="7"/>
  <c r="B174" i="7"/>
  <c r="F174" i="7"/>
  <c r="J174" i="7"/>
  <c r="N174" i="7"/>
  <c r="C166" i="7"/>
  <c r="G166" i="7"/>
  <c r="K166" i="7"/>
  <c r="O166" i="7"/>
  <c r="D166" i="7"/>
  <c r="H166" i="7"/>
  <c r="L166" i="7"/>
  <c r="B166" i="7"/>
  <c r="F166" i="7"/>
  <c r="J166" i="7"/>
  <c r="N166" i="7"/>
  <c r="F159" i="7"/>
  <c r="B149" i="7"/>
  <c r="F149" i="7"/>
  <c r="J149" i="7"/>
  <c r="N149" i="7"/>
  <c r="D149" i="7"/>
  <c r="I149" i="7"/>
  <c r="O149" i="7"/>
  <c r="E149" i="7"/>
  <c r="K149" i="7"/>
  <c r="C149" i="7"/>
  <c r="H149" i="7"/>
  <c r="H149" i="12" s="1"/>
  <c r="M149" i="7"/>
  <c r="L184" i="7"/>
  <c r="H184" i="7"/>
  <c r="D184" i="7"/>
  <c r="L180" i="7"/>
  <c r="H180" i="7"/>
  <c r="D180" i="7"/>
  <c r="L176" i="7"/>
  <c r="H176" i="7"/>
  <c r="D176" i="7"/>
  <c r="L172" i="7"/>
  <c r="H172" i="7"/>
  <c r="D172" i="7"/>
  <c r="L168" i="7"/>
  <c r="H168" i="7"/>
  <c r="D168" i="7"/>
  <c r="L164" i="7"/>
  <c r="H164" i="7"/>
  <c r="D164" i="7"/>
  <c r="L160" i="7"/>
  <c r="H160" i="7"/>
  <c r="D160" i="7"/>
  <c r="C158" i="7"/>
  <c r="G158" i="7"/>
  <c r="K158" i="7"/>
  <c r="O158" i="7"/>
  <c r="K157" i="7"/>
  <c r="E157" i="7"/>
  <c r="B153" i="7"/>
  <c r="F153" i="7"/>
  <c r="J153" i="7"/>
  <c r="N153" i="7"/>
  <c r="O151" i="7"/>
  <c r="J151" i="7"/>
  <c r="E151" i="7"/>
  <c r="D147" i="7"/>
  <c r="H147" i="7"/>
  <c r="L147" i="7"/>
  <c r="J146" i="7"/>
  <c r="E146" i="7"/>
  <c r="C142" i="7"/>
  <c r="G142" i="7"/>
  <c r="K142" i="7"/>
  <c r="O142" i="7"/>
  <c r="K141" i="7"/>
  <c r="E141" i="7"/>
  <c r="B137" i="7"/>
  <c r="F137" i="7"/>
  <c r="J137" i="7"/>
  <c r="N137" i="7"/>
  <c r="O135" i="7"/>
  <c r="J135" i="7"/>
  <c r="E135" i="7"/>
  <c r="M133" i="7"/>
  <c r="H133" i="7"/>
  <c r="D131" i="7"/>
  <c r="H131" i="7"/>
  <c r="L131" i="7"/>
  <c r="J130" i="7"/>
  <c r="E130" i="7"/>
  <c r="M127" i="7"/>
  <c r="G127" i="7"/>
  <c r="C126" i="7"/>
  <c r="G126" i="7"/>
  <c r="K126" i="7"/>
  <c r="O126" i="7"/>
  <c r="K125" i="7"/>
  <c r="E125" i="7"/>
  <c r="M122" i="7"/>
  <c r="H122" i="7"/>
  <c r="B121" i="7"/>
  <c r="F121" i="7"/>
  <c r="J121" i="7"/>
  <c r="N121" i="7"/>
  <c r="O119" i="7"/>
  <c r="J119" i="7"/>
  <c r="E119" i="7"/>
  <c r="M117" i="7"/>
  <c r="H117" i="7"/>
  <c r="D115" i="7"/>
  <c r="H115" i="7"/>
  <c r="L115" i="7"/>
  <c r="J114" i="7"/>
  <c r="E114" i="7"/>
  <c r="M111" i="7"/>
  <c r="G111" i="7"/>
  <c r="C110" i="7"/>
  <c r="G110" i="7"/>
  <c r="K110" i="7"/>
  <c r="O110" i="7"/>
  <c r="K109" i="7"/>
  <c r="E109" i="7"/>
  <c r="M106" i="7"/>
  <c r="H106" i="7"/>
  <c r="B105" i="7"/>
  <c r="F105" i="7"/>
  <c r="J105" i="7"/>
  <c r="N105" i="7"/>
  <c r="O103" i="7"/>
  <c r="J103" i="7"/>
  <c r="E103" i="7"/>
  <c r="M101" i="7"/>
  <c r="H101" i="7"/>
  <c r="D99" i="7"/>
  <c r="H99" i="7"/>
  <c r="L99" i="7"/>
  <c r="J98" i="7"/>
  <c r="E98" i="7"/>
  <c r="M95" i="7"/>
  <c r="G95" i="7"/>
  <c r="C94" i="7"/>
  <c r="G94" i="7"/>
  <c r="K94" i="7"/>
  <c r="O94" i="7"/>
  <c r="K93" i="7"/>
  <c r="E93" i="7"/>
  <c r="M90" i="7"/>
  <c r="H90" i="7"/>
  <c r="B89" i="7"/>
  <c r="F89" i="7"/>
  <c r="J89" i="7"/>
  <c r="N89" i="7"/>
  <c r="O87" i="7"/>
  <c r="J87" i="7"/>
  <c r="E87" i="7"/>
  <c r="M85" i="7"/>
  <c r="H85" i="7"/>
  <c r="H85" i="12" s="1"/>
  <c r="D83" i="7"/>
  <c r="H83" i="7"/>
  <c r="L83" i="7"/>
  <c r="K83" i="12" s="1"/>
  <c r="J82" i="7"/>
  <c r="E82" i="7"/>
  <c r="M79" i="7"/>
  <c r="G79" i="7"/>
  <c r="C78" i="7"/>
  <c r="G78" i="7"/>
  <c r="K78" i="7"/>
  <c r="O78" i="7"/>
  <c r="K77" i="7"/>
  <c r="E77" i="7"/>
  <c r="M74" i="7"/>
  <c r="H74" i="7"/>
  <c r="H74" i="12" s="1"/>
  <c r="B73" i="7"/>
  <c r="F73" i="7"/>
  <c r="J73" i="7"/>
  <c r="N73" i="7"/>
  <c r="O71" i="7"/>
  <c r="J71" i="7"/>
  <c r="E71" i="7"/>
  <c r="M69" i="7"/>
  <c r="H69" i="7"/>
  <c r="D67" i="7"/>
  <c r="H67" i="7"/>
  <c r="L67" i="7"/>
  <c r="J66" i="7"/>
  <c r="E66" i="7"/>
  <c r="M63" i="7"/>
  <c r="G63" i="7"/>
  <c r="C62" i="7"/>
  <c r="G62" i="7"/>
  <c r="K62" i="7"/>
  <c r="O62" i="7"/>
  <c r="K61" i="7"/>
  <c r="J61" i="12" s="1"/>
  <c r="E61" i="7"/>
  <c r="M58" i="7"/>
  <c r="H58" i="7"/>
  <c r="B57" i="7"/>
  <c r="F57" i="7"/>
  <c r="J57" i="7"/>
  <c r="N57" i="7"/>
  <c r="O55" i="7"/>
  <c r="J55" i="7"/>
  <c r="E55" i="7"/>
  <c r="M53" i="7"/>
  <c r="H53" i="7"/>
  <c r="D51" i="7"/>
  <c r="H51" i="7"/>
  <c r="L51" i="7"/>
  <c r="J50" i="7"/>
  <c r="E50" i="7"/>
  <c r="M47" i="7"/>
  <c r="G47" i="7"/>
  <c r="C46" i="7"/>
  <c r="G46" i="7"/>
  <c r="K46" i="7"/>
  <c r="O46" i="7"/>
  <c r="K45" i="7"/>
  <c r="E45" i="7"/>
  <c r="M42" i="7"/>
  <c r="H42" i="7"/>
  <c r="B41" i="7"/>
  <c r="F41" i="7"/>
  <c r="J41" i="7"/>
  <c r="N41" i="7"/>
  <c r="O39" i="7"/>
  <c r="J39" i="7"/>
  <c r="E39" i="7"/>
  <c r="M37" i="7"/>
  <c r="H37" i="7"/>
  <c r="D35" i="7"/>
  <c r="H35" i="7"/>
  <c r="L35" i="7"/>
  <c r="J34" i="7"/>
  <c r="E34" i="7"/>
  <c r="M31" i="7"/>
  <c r="G31" i="7"/>
  <c r="C30" i="7"/>
  <c r="G30" i="7"/>
  <c r="K30" i="7"/>
  <c r="O30" i="7"/>
  <c r="K29" i="7"/>
  <c r="E29" i="7"/>
  <c r="M26" i="7"/>
  <c r="H26" i="7"/>
  <c r="B25" i="7"/>
  <c r="F25" i="7"/>
  <c r="J25" i="7"/>
  <c r="N25" i="7"/>
  <c r="O23" i="7"/>
  <c r="G23" i="7"/>
  <c r="K19" i="7"/>
  <c r="B17" i="7"/>
  <c r="F17" i="7"/>
  <c r="J17" i="7"/>
  <c r="N17" i="7"/>
  <c r="D17" i="7"/>
  <c r="H17" i="7"/>
  <c r="L17" i="7"/>
  <c r="O15" i="7"/>
  <c r="G15" i="7"/>
  <c r="B9" i="7"/>
  <c r="F9" i="7"/>
  <c r="J9" i="7"/>
  <c r="N9" i="7"/>
  <c r="C9" i="7"/>
  <c r="G9" i="7"/>
  <c r="K9" i="7"/>
  <c r="O9" i="7"/>
  <c r="D9" i="7"/>
  <c r="H9" i="7"/>
  <c r="L9" i="7"/>
  <c r="M182" i="6"/>
  <c r="M174" i="6"/>
  <c r="M166" i="6"/>
  <c r="M158" i="6"/>
  <c r="M150" i="6"/>
  <c r="C145" i="6"/>
  <c r="L145" i="5" s="1"/>
  <c r="M145" i="5" s="1"/>
  <c r="G145" i="6"/>
  <c r="K145" i="6"/>
  <c r="R145" i="12" s="1"/>
  <c r="B145" i="6"/>
  <c r="H145" i="6"/>
  <c r="P145" i="12" s="1"/>
  <c r="M145" i="6"/>
  <c r="D145" i="6"/>
  <c r="I145" i="6"/>
  <c r="Q145" i="12" s="1"/>
  <c r="N145" i="6"/>
  <c r="E145" i="6"/>
  <c r="J145" i="6"/>
  <c r="O145" i="6"/>
  <c r="D118" i="6"/>
  <c r="H118" i="6"/>
  <c r="L118" i="6"/>
  <c r="B118" i="6"/>
  <c r="G118" i="6"/>
  <c r="M118" i="6"/>
  <c r="C118" i="6"/>
  <c r="L118" i="5" s="1"/>
  <c r="M118" i="5" s="1"/>
  <c r="I118" i="6"/>
  <c r="Q118" i="12" s="1"/>
  <c r="N118" i="6"/>
  <c r="E118" i="6"/>
  <c r="J118" i="6"/>
  <c r="O118" i="6"/>
  <c r="C113" i="6"/>
  <c r="L113" i="5" s="1"/>
  <c r="M113" i="5" s="1"/>
  <c r="G113" i="6"/>
  <c r="K113" i="6"/>
  <c r="R113" i="12" s="1"/>
  <c r="O113" i="6"/>
  <c r="B113" i="6"/>
  <c r="H113" i="6"/>
  <c r="P113" i="12" s="1"/>
  <c r="M113" i="6"/>
  <c r="D113" i="6"/>
  <c r="I113" i="6"/>
  <c r="Q113" i="12" s="1"/>
  <c r="N113" i="6"/>
  <c r="E113" i="6"/>
  <c r="J113" i="6"/>
  <c r="B133" i="7"/>
  <c r="F133" i="7"/>
  <c r="J133" i="7"/>
  <c r="N133" i="7"/>
  <c r="D127" i="7"/>
  <c r="H127" i="7"/>
  <c r="L127" i="7"/>
  <c r="C122" i="7"/>
  <c r="G122" i="7"/>
  <c r="K122" i="7"/>
  <c r="O122" i="7"/>
  <c r="B117" i="7"/>
  <c r="F117" i="7"/>
  <c r="J117" i="7"/>
  <c r="N117" i="7"/>
  <c r="I61" i="12"/>
  <c r="I65" i="12"/>
  <c r="H65" i="12"/>
  <c r="I70" i="12"/>
  <c r="K64" i="12"/>
  <c r="K65" i="12"/>
  <c r="K70" i="12"/>
  <c r="K68" i="12"/>
  <c r="J72" i="12"/>
  <c r="H78" i="12"/>
  <c r="H80" i="12"/>
  <c r="J81" i="12"/>
  <c r="I82" i="12"/>
  <c r="J83" i="12"/>
  <c r="I86" i="12"/>
  <c r="J87" i="12"/>
  <c r="H89" i="12"/>
  <c r="J91" i="12"/>
  <c r="J95" i="12"/>
  <c r="H97" i="12"/>
  <c r="I98" i="12"/>
  <c r="H70" i="12"/>
  <c r="J78" i="12"/>
  <c r="I80" i="12"/>
  <c r="K81" i="12"/>
  <c r="I93" i="12"/>
  <c r="I97" i="12"/>
  <c r="K99" i="12"/>
  <c r="I109" i="12"/>
  <c r="I60" i="12"/>
  <c r="J63" i="12"/>
  <c r="J65" i="12"/>
  <c r="H72" i="12"/>
  <c r="J73" i="12"/>
  <c r="I76" i="12"/>
  <c r="K77" i="12"/>
  <c r="K78" i="12"/>
  <c r="J80" i="12"/>
  <c r="K82" i="12"/>
  <c r="H83" i="12"/>
  <c r="I84" i="12"/>
  <c r="K86" i="12"/>
  <c r="I88" i="12"/>
  <c r="J89" i="12"/>
  <c r="K90" i="12"/>
  <c r="I92" i="12"/>
  <c r="J93" i="12"/>
  <c r="K60" i="12"/>
  <c r="K61" i="12"/>
  <c r="J64" i="12"/>
  <c r="I71" i="12"/>
  <c r="I72" i="12"/>
  <c r="K73" i="12"/>
  <c r="K74" i="12"/>
  <c r="I87" i="12"/>
  <c r="I91" i="12"/>
  <c r="I103" i="12"/>
  <c r="I107" i="12"/>
  <c r="K94" i="12"/>
  <c r="H99" i="12"/>
  <c r="K102" i="12"/>
  <c r="K106" i="12"/>
  <c r="K110" i="12"/>
  <c r="J137" i="12"/>
  <c r="H143" i="12"/>
  <c r="I144" i="12"/>
  <c r="J145" i="12"/>
  <c r="H147" i="12"/>
  <c r="I148" i="12"/>
  <c r="J149" i="12"/>
  <c r="I152" i="12"/>
  <c r="J153" i="12"/>
  <c r="I156" i="12"/>
  <c r="J157" i="12"/>
  <c r="H159" i="12"/>
  <c r="I160" i="12"/>
  <c r="H163" i="12"/>
  <c r="J99" i="12"/>
  <c r="H101" i="12"/>
  <c r="J103" i="12"/>
  <c r="H105" i="12"/>
  <c r="J107" i="12"/>
  <c r="J111" i="12"/>
  <c r="I143" i="12"/>
  <c r="K145" i="12"/>
  <c r="K149" i="12"/>
  <c r="I151" i="12"/>
  <c r="K153" i="12"/>
  <c r="I155" i="12"/>
  <c r="K157" i="12"/>
  <c r="I159" i="12"/>
  <c r="K161" i="12"/>
  <c r="I163" i="12"/>
  <c r="K165" i="12"/>
  <c r="I167" i="12"/>
  <c r="K169" i="12"/>
  <c r="I171" i="12"/>
  <c r="K173" i="12"/>
  <c r="I175" i="12"/>
  <c r="K177" i="12"/>
  <c r="I179" i="12"/>
  <c r="K181" i="12"/>
  <c r="I183" i="12"/>
  <c r="K185" i="12"/>
  <c r="I187" i="12"/>
  <c r="K189" i="12"/>
  <c r="K98" i="12"/>
  <c r="I100" i="12"/>
  <c r="I104" i="12"/>
  <c r="J105" i="12"/>
  <c r="I108" i="12"/>
  <c r="J109" i="12"/>
  <c r="H137" i="12"/>
  <c r="J143" i="12"/>
  <c r="K144" i="12"/>
  <c r="H145" i="12"/>
  <c r="I146" i="12"/>
  <c r="J147" i="12"/>
  <c r="K148" i="12"/>
  <c r="I150" i="12"/>
  <c r="J151" i="12"/>
  <c r="K152" i="12"/>
  <c r="I96" i="12"/>
  <c r="J97" i="12"/>
  <c r="I102" i="12"/>
  <c r="K143" i="12"/>
  <c r="I145" i="12"/>
  <c r="I149" i="12"/>
  <c r="I157" i="12"/>
  <c r="I161" i="12"/>
  <c r="I165" i="12"/>
  <c r="I169" i="12"/>
  <c r="I173" i="12"/>
  <c r="I177" i="12"/>
  <c r="I181" i="12"/>
  <c r="I185" i="12"/>
  <c r="I189" i="12"/>
  <c r="I154" i="12"/>
  <c r="J155" i="12"/>
  <c r="I162" i="12"/>
  <c r="J163" i="12"/>
  <c r="K166" i="12"/>
  <c r="I168" i="12"/>
  <c r="K170" i="12"/>
  <c r="I172" i="12"/>
  <c r="K160" i="12"/>
  <c r="H165" i="12"/>
  <c r="H169" i="12"/>
  <c r="H173" i="12"/>
  <c r="I174" i="12"/>
  <c r="H177" i="12"/>
  <c r="I178" i="12"/>
  <c r="H181" i="12"/>
  <c r="I182" i="12"/>
  <c r="H185" i="12"/>
  <c r="I186" i="12"/>
  <c r="H189" i="12"/>
  <c r="J159" i="12"/>
  <c r="H167" i="12"/>
  <c r="H171" i="12"/>
  <c r="K174" i="12"/>
  <c r="H175" i="12"/>
  <c r="I176" i="12"/>
  <c r="K178" i="12"/>
  <c r="H179" i="12"/>
  <c r="I180" i="12"/>
  <c r="K182" i="12"/>
  <c r="H183" i="12"/>
  <c r="I184" i="12"/>
  <c r="K186" i="12"/>
  <c r="H187" i="12"/>
  <c r="I188" i="12"/>
  <c r="J189" i="12"/>
  <c r="H153" i="12"/>
  <c r="K156" i="12"/>
  <c r="H161" i="12"/>
  <c r="I166" i="12"/>
  <c r="J167" i="12"/>
  <c r="I170" i="12"/>
  <c r="J171" i="12"/>
  <c r="J175" i="12"/>
  <c r="J179" i="12"/>
  <c r="J183" i="12"/>
  <c r="D111" i="7"/>
  <c r="H111" i="7"/>
  <c r="H111" i="12" s="1"/>
  <c r="L111" i="7"/>
  <c r="K111" i="12" s="1"/>
  <c r="C106" i="7"/>
  <c r="G106" i="7"/>
  <c r="K106" i="7"/>
  <c r="O106" i="7"/>
  <c r="B101" i="7"/>
  <c r="F101" i="7"/>
  <c r="J101" i="7"/>
  <c r="N101" i="7"/>
  <c r="D95" i="7"/>
  <c r="H95" i="7"/>
  <c r="H95" i="12" s="1"/>
  <c r="L95" i="7"/>
  <c r="K95" i="12" s="1"/>
  <c r="C90" i="7"/>
  <c r="G90" i="7"/>
  <c r="K90" i="7"/>
  <c r="O90" i="7"/>
  <c r="B85" i="7"/>
  <c r="F85" i="7"/>
  <c r="J85" i="7"/>
  <c r="N85" i="7"/>
  <c r="D79" i="7"/>
  <c r="H79" i="7"/>
  <c r="H79" i="12" s="1"/>
  <c r="L79" i="7"/>
  <c r="K79" i="12" s="1"/>
  <c r="C74" i="7"/>
  <c r="G74" i="7"/>
  <c r="K74" i="7"/>
  <c r="J74" i="12" s="1"/>
  <c r="O74" i="7"/>
  <c r="B69" i="7"/>
  <c r="F69" i="7"/>
  <c r="J69" i="7"/>
  <c r="N69" i="7"/>
  <c r="D63" i="7"/>
  <c r="H63" i="7"/>
  <c r="H63" i="12" s="1"/>
  <c r="L63" i="7"/>
  <c r="C58" i="7"/>
  <c r="G58" i="7"/>
  <c r="K58" i="7"/>
  <c r="O58" i="7"/>
  <c r="B53" i="7"/>
  <c r="F53" i="7"/>
  <c r="J53" i="7"/>
  <c r="N53" i="7"/>
  <c r="D47" i="7"/>
  <c r="H47" i="7"/>
  <c r="L47" i="7"/>
  <c r="C42" i="7"/>
  <c r="G42" i="7"/>
  <c r="K42" i="7"/>
  <c r="O42" i="7"/>
  <c r="N39" i="7"/>
  <c r="I39" i="7"/>
  <c r="C39" i="7"/>
  <c r="B37" i="7"/>
  <c r="F37" i="7"/>
  <c r="J37" i="7"/>
  <c r="N37" i="7"/>
  <c r="N34" i="7"/>
  <c r="I34" i="7"/>
  <c r="D34" i="7"/>
  <c r="D31" i="7"/>
  <c r="H31" i="7"/>
  <c r="L31" i="7"/>
  <c r="O29" i="7"/>
  <c r="I29" i="7"/>
  <c r="D29" i="7"/>
  <c r="C26" i="7"/>
  <c r="G26" i="7"/>
  <c r="K26" i="7"/>
  <c r="O26" i="7"/>
  <c r="M23" i="7"/>
  <c r="E23" i="7"/>
  <c r="D19" i="7"/>
  <c r="H19" i="7"/>
  <c r="L19" i="7"/>
  <c r="B19" i="7"/>
  <c r="F19" i="7"/>
  <c r="J19" i="7"/>
  <c r="N19" i="7"/>
  <c r="M15" i="7"/>
  <c r="E15" i="7"/>
  <c r="B186" i="6"/>
  <c r="F186" i="6"/>
  <c r="J186" i="6"/>
  <c r="N186" i="6"/>
  <c r="C186" i="6"/>
  <c r="G186" i="6"/>
  <c r="K186" i="6"/>
  <c r="O186" i="6"/>
  <c r="D186" i="6"/>
  <c r="H186" i="6"/>
  <c r="L186" i="6"/>
  <c r="I182" i="6"/>
  <c r="B178" i="6"/>
  <c r="F178" i="6"/>
  <c r="J178" i="6"/>
  <c r="N178" i="6"/>
  <c r="C178" i="6"/>
  <c r="G178" i="6"/>
  <c r="K178" i="6"/>
  <c r="O178" i="6"/>
  <c r="D178" i="6"/>
  <c r="H178" i="6"/>
  <c r="L178" i="6"/>
  <c r="I174" i="6"/>
  <c r="Q170" i="12"/>
  <c r="B170" i="6"/>
  <c r="F170" i="6"/>
  <c r="J170" i="6"/>
  <c r="N170" i="6"/>
  <c r="C170" i="6"/>
  <c r="G170" i="6"/>
  <c r="K170" i="6"/>
  <c r="S170" i="12" s="1"/>
  <c r="O170" i="6"/>
  <c r="D170" i="6"/>
  <c r="H170" i="6"/>
  <c r="L170" i="6"/>
  <c r="I166" i="6"/>
  <c r="Q162" i="12"/>
  <c r="B162" i="6"/>
  <c r="F162" i="6"/>
  <c r="J162" i="6"/>
  <c r="N162" i="6"/>
  <c r="C162" i="6"/>
  <c r="L162" i="5" s="1"/>
  <c r="M162" i="5" s="1"/>
  <c r="G162" i="6"/>
  <c r="K162" i="6"/>
  <c r="O162" i="6"/>
  <c r="D162" i="6"/>
  <c r="H162" i="6"/>
  <c r="L162" i="6"/>
  <c r="I158" i="6"/>
  <c r="Q154" i="12"/>
  <c r="B154" i="6"/>
  <c r="F154" i="6"/>
  <c r="J154" i="6"/>
  <c r="N154" i="6"/>
  <c r="C154" i="6"/>
  <c r="L154" i="5" s="1"/>
  <c r="M154" i="5" s="1"/>
  <c r="G154" i="6"/>
  <c r="K154" i="6"/>
  <c r="O154" i="6"/>
  <c r="D154" i="6"/>
  <c r="H154" i="6"/>
  <c r="L154" i="6"/>
  <c r="I150" i="6"/>
  <c r="Q146" i="12"/>
  <c r="B146" i="6"/>
  <c r="F146" i="6"/>
  <c r="J146" i="6"/>
  <c r="N146" i="6"/>
  <c r="C146" i="6"/>
  <c r="L146" i="5" s="1"/>
  <c r="M146" i="5" s="1"/>
  <c r="G146" i="6"/>
  <c r="K146" i="6"/>
  <c r="O146" i="6"/>
  <c r="D146" i="6"/>
  <c r="H146" i="6"/>
  <c r="L146" i="6"/>
  <c r="L140" i="6"/>
  <c r="B124" i="6"/>
  <c r="F124" i="6"/>
  <c r="J124" i="6"/>
  <c r="N124" i="6"/>
  <c r="C124" i="6"/>
  <c r="L124" i="5" s="1"/>
  <c r="M124" i="5" s="1"/>
  <c r="H124" i="6"/>
  <c r="M124" i="6"/>
  <c r="A124" i="7"/>
  <c r="D124" i="6"/>
  <c r="I124" i="6"/>
  <c r="Q124" i="12" s="1"/>
  <c r="O124" i="6"/>
  <c r="E124" i="6"/>
  <c r="K124" i="6"/>
  <c r="H49" i="5"/>
  <c r="J49" i="5" s="1"/>
  <c r="H48" i="5"/>
  <c r="J48" i="5" s="1"/>
  <c r="L47" i="5"/>
  <c r="M47" i="5" s="1"/>
  <c r="H47" i="5"/>
  <c r="J47" i="5" s="1"/>
  <c r="L46" i="5"/>
  <c r="M46" i="5" s="1"/>
  <c r="H46" i="5"/>
  <c r="J46" i="5" s="1"/>
  <c r="H45" i="5"/>
  <c r="J45" i="5" s="1"/>
  <c r="L44" i="5"/>
  <c r="M44" i="5" s="1"/>
  <c r="H44" i="5"/>
  <c r="J44" i="5" s="1"/>
  <c r="L43" i="5"/>
  <c r="M43" i="5" s="1"/>
  <c r="H43" i="5"/>
  <c r="J43" i="5" s="1"/>
  <c r="L42" i="5"/>
  <c r="M42" i="5" s="1"/>
  <c r="H42" i="5"/>
  <c r="J42" i="5" s="1"/>
  <c r="H41" i="5"/>
  <c r="J41" i="5" s="1"/>
  <c r="H40" i="5"/>
  <c r="J40" i="5" s="1"/>
  <c r="L39" i="5"/>
  <c r="M39" i="5" s="1"/>
  <c r="H39" i="5"/>
  <c r="J39" i="5" s="1"/>
  <c r="H38" i="5"/>
  <c r="J38" i="5" s="1"/>
  <c r="H37" i="5"/>
  <c r="L36" i="5"/>
  <c r="M36" i="5" s="1"/>
  <c r="H36" i="5"/>
  <c r="J36" i="5" s="1"/>
  <c r="L35" i="5"/>
  <c r="M35" i="5" s="1"/>
  <c r="H35" i="5"/>
  <c r="J35" i="5" s="1"/>
  <c r="L34" i="5"/>
  <c r="M34" i="5" s="1"/>
  <c r="H34" i="5"/>
  <c r="J34" i="5" s="1"/>
  <c r="H33" i="5"/>
  <c r="J33" i="5" s="1"/>
  <c r="H32" i="5"/>
  <c r="J32" i="5" s="1"/>
  <c r="L31" i="5"/>
  <c r="M31" i="5" s="1"/>
  <c r="H31" i="5"/>
  <c r="J31" i="5" s="1"/>
  <c r="L30" i="5"/>
  <c r="M30" i="5" s="1"/>
  <c r="H30" i="5"/>
  <c r="J30" i="5" s="1"/>
  <c r="L29" i="5"/>
  <c r="M29" i="5" s="1"/>
  <c r="H29" i="5"/>
  <c r="J29" i="5" s="1"/>
  <c r="H28" i="5"/>
  <c r="J28" i="5" s="1"/>
  <c r="L27" i="5"/>
  <c r="M27" i="5" s="1"/>
  <c r="H27" i="5"/>
  <c r="J27" i="5" s="1"/>
  <c r="H26" i="5"/>
  <c r="J26" i="5" s="1"/>
  <c r="L25" i="5"/>
  <c r="M25" i="5" s="1"/>
  <c r="H25" i="5"/>
  <c r="J25" i="5" s="1"/>
  <c r="L24" i="5"/>
  <c r="M24" i="5" s="1"/>
  <c r="H24" i="5"/>
  <c r="J24" i="5" s="1"/>
  <c r="H23" i="5"/>
  <c r="J23" i="5" s="1"/>
  <c r="L22" i="5"/>
  <c r="M22" i="5" s="1"/>
  <c r="H22" i="5"/>
  <c r="J22" i="5" s="1"/>
  <c r="L21" i="5"/>
  <c r="M21" i="5" s="1"/>
  <c r="H21" i="5"/>
  <c r="J21" i="5" s="1"/>
  <c r="L20" i="5"/>
  <c r="M20" i="5" s="1"/>
  <c r="H20" i="5"/>
  <c r="J20" i="5" s="1"/>
  <c r="H19" i="5"/>
  <c r="J19" i="5" s="1"/>
  <c r="H18" i="5"/>
  <c r="J18" i="5" s="1"/>
  <c r="L17" i="5"/>
  <c r="M17" i="5" s="1"/>
  <c r="H17" i="5"/>
  <c r="J17" i="5" s="1"/>
  <c r="L16" i="5"/>
  <c r="M16" i="5" s="1"/>
  <c r="H16" i="5"/>
  <c r="J16" i="5" s="1"/>
  <c r="H15" i="5"/>
  <c r="J15" i="5" s="1"/>
  <c r="L14" i="5"/>
  <c r="M14" i="5" s="1"/>
  <c r="H14" i="5"/>
  <c r="J14" i="5" s="1"/>
  <c r="L13" i="5"/>
  <c r="M13" i="5" s="1"/>
  <c r="H13" i="5"/>
  <c r="J13" i="5" s="1"/>
  <c r="L12" i="5"/>
  <c r="M12" i="5" s="1"/>
  <c r="H12" i="5"/>
  <c r="J12" i="5" s="1"/>
  <c r="H11" i="5"/>
  <c r="J11" i="5" s="1"/>
  <c r="H10" i="5"/>
  <c r="J10" i="5" s="1"/>
  <c r="L9" i="5"/>
  <c r="M9" i="5" s="1"/>
  <c r="H9" i="5"/>
  <c r="J9" i="5" s="1"/>
  <c r="L8" i="5"/>
  <c r="M8" i="5" s="1"/>
  <c r="H8" i="5"/>
  <c r="J8" i="5" s="1"/>
  <c r="H7" i="5"/>
  <c r="J7" i="5" s="1"/>
  <c r="O189" i="7"/>
  <c r="K189" i="7"/>
  <c r="G189" i="7"/>
  <c r="O185" i="7"/>
  <c r="K185" i="7"/>
  <c r="J185" i="12" s="1"/>
  <c r="G185" i="7"/>
  <c r="N184" i="7"/>
  <c r="J184" i="7"/>
  <c r="F184" i="7"/>
  <c r="O181" i="7"/>
  <c r="K181" i="7"/>
  <c r="J181" i="12" s="1"/>
  <c r="G181" i="7"/>
  <c r="N180" i="7"/>
  <c r="J180" i="7"/>
  <c r="F180" i="7"/>
  <c r="O177" i="7"/>
  <c r="K177" i="7"/>
  <c r="J177" i="12" s="1"/>
  <c r="G177" i="7"/>
  <c r="N176" i="7"/>
  <c r="J176" i="7"/>
  <c r="F176" i="7"/>
  <c r="O173" i="7"/>
  <c r="K173" i="7"/>
  <c r="J173" i="12" s="1"/>
  <c r="G173" i="7"/>
  <c r="N172" i="7"/>
  <c r="J172" i="7"/>
  <c r="F172" i="7"/>
  <c r="O169" i="7"/>
  <c r="K169" i="7"/>
  <c r="J169" i="12" s="1"/>
  <c r="G169" i="7"/>
  <c r="N168" i="7"/>
  <c r="J168" i="7"/>
  <c r="F168" i="7"/>
  <c r="O165" i="7"/>
  <c r="K165" i="7"/>
  <c r="J165" i="12" s="1"/>
  <c r="G165" i="7"/>
  <c r="N164" i="7"/>
  <c r="J164" i="7"/>
  <c r="F164" i="7"/>
  <c r="O161" i="7"/>
  <c r="K161" i="7"/>
  <c r="J161" i="12" s="1"/>
  <c r="G161" i="7"/>
  <c r="N160" i="7"/>
  <c r="J160" i="7"/>
  <c r="F160" i="7"/>
  <c r="N158" i="7"/>
  <c r="I158" i="7"/>
  <c r="D158" i="7"/>
  <c r="M157" i="7"/>
  <c r="H157" i="7"/>
  <c r="H157" i="12" s="1"/>
  <c r="D155" i="7"/>
  <c r="H155" i="7"/>
  <c r="H155" i="12" s="1"/>
  <c r="L155" i="7"/>
  <c r="O153" i="7"/>
  <c r="I153" i="7"/>
  <c r="I153" i="12" s="1"/>
  <c r="D153" i="7"/>
  <c r="M151" i="7"/>
  <c r="G151" i="7"/>
  <c r="C150" i="7"/>
  <c r="G150" i="7"/>
  <c r="K150" i="7"/>
  <c r="O150" i="7"/>
  <c r="N147" i="7"/>
  <c r="I147" i="7"/>
  <c r="I147" i="12" s="1"/>
  <c r="C147" i="7"/>
  <c r="M146" i="7"/>
  <c r="H146" i="7"/>
  <c r="B145" i="7"/>
  <c r="F145" i="7"/>
  <c r="J145" i="7"/>
  <c r="N145" i="7"/>
  <c r="N142" i="7"/>
  <c r="I142" i="7"/>
  <c r="D142" i="7"/>
  <c r="M141" i="7"/>
  <c r="H141" i="7"/>
  <c r="D139" i="7"/>
  <c r="H139" i="7"/>
  <c r="L139" i="7"/>
  <c r="O137" i="7"/>
  <c r="I137" i="7"/>
  <c r="D137" i="7"/>
  <c r="M135" i="7"/>
  <c r="G135" i="7"/>
  <c r="C134" i="7"/>
  <c r="G134" i="7"/>
  <c r="K134" i="7"/>
  <c r="O134" i="7"/>
  <c r="K133" i="7"/>
  <c r="E133" i="7"/>
  <c r="N131" i="7"/>
  <c r="I131" i="7"/>
  <c r="C131" i="7"/>
  <c r="M130" i="7"/>
  <c r="H130" i="7"/>
  <c r="B129" i="7"/>
  <c r="F129" i="7"/>
  <c r="J129" i="7"/>
  <c r="N129" i="7"/>
  <c r="O127" i="7"/>
  <c r="J127" i="7"/>
  <c r="E127" i="7"/>
  <c r="N126" i="7"/>
  <c r="I126" i="7"/>
  <c r="D126" i="7"/>
  <c r="M125" i="7"/>
  <c r="H125" i="7"/>
  <c r="D123" i="7"/>
  <c r="H123" i="7"/>
  <c r="L123" i="7"/>
  <c r="J122" i="7"/>
  <c r="E122" i="7"/>
  <c r="O121" i="7"/>
  <c r="I121" i="7"/>
  <c r="D121" i="7"/>
  <c r="M119" i="7"/>
  <c r="G119" i="7"/>
  <c r="C118" i="7"/>
  <c r="G118" i="7"/>
  <c r="K118" i="7"/>
  <c r="O118" i="7"/>
  <c r="K117" i="7"/>
  <c r="E117" i="7"/>
  <c r="N115" i="7"/>
  <c r="I115" i="7"/>
  <c r="C115" i="7"/>
  <c r="M114" i="7"/>
  <c r="H114" i="7"/>
  <c r="B113" i="7"/>
  <c r="F113" i="7"/>
  <c r="J113" i="7"/>
  <c r="N113" i="7"/>
  <c r="O111" i="7"/>
  <c r="J111" i="7"/>
  <c r="E111" i="7"/>
  <c r="N110" i="7"/>
  <c r="I110" i="7"/>
  <c r="I110" i="12" s="1"/>
  <c r="D110" i="7"/>
  <c r="M109" i="7"/>
  <c r="H109" i="7"/>
  <c r="H109" i="12" s="1"/>
  <c r="D107" i="7"/>
  <c r="H107" i="7"/>
  <c r="H107" i="12" s="1"/>
  <c r="L107" i="7"/>
  <c r="K107" i="12" s="1"/>
  <c r="J106" i="7"/>
  <c r="E106" i="7"/>
  <c r="O105" i="7"/>
  <c r="I105" i="7"/>
  <c r="I105" i="12" s="1"/>
  <c r="D105" i="7"/>
  <c r="M103" i="7"/>
  <c r="G103" i="7"/>
  <c r="C102" i="7"/>
  <c r="G102" i="7"/>
  <c r="K102" i="7"/>
  <c r="O102" i="7"/>
  <c r="K101" i="7"/>
  <c r="J101" i="12" s="1"/>
  <c r="E101" i="7"/>
  <c r="N99" i="7"/>
  <c r="I99" i="7"/>
  <c r="I99" i="12" s="1"/>
  <c r="C99" i="7"/>
  <c r="M98" i="7"/>
  <c r="H98" i="7"/>
  <c r="B97" i="7"/>
  <c r="F97" i="7"/>
  <c r="J97" i="7"/>
  <c r="N97" i="7"/>
  <c r="O95" i="7"/>
  <c r="J95" i="7"/>
  <c r="E95" i="7"/>
  <c r="N94" i="7"/>
  <c r="I94" i="7"/>
  <c r="I94" i="12" s="1"/>
  <c r="D94" i="7"/>
  <c r="M93" i="7"/>
  <c r="H93" i="7"/>
  <c r="H93" i="12" s="1"/>
  <c r="D91" i="7"/>
  <c r="H91" i="7"/>
  <c r="H91" i="12" s="1"/>
  <c r="L91" i="7"/>
  <c r="K91" i="12" s="1"/>
  <c r="J90" i="7"/>
  <c r="E90" i="7"/>
  <c r="O89" i="7"/>
  <c r="I89" i="7"/>
  <c r="I89" i="12" s="1"/>
  <c r="D89" i="7"/>
  <c r="M87" i="7"/>
  <c r="G87" i="7"/>
  <c r="C86" i="7"/>
  <c r="G86" i="7"/>
  <c r="K86" i="7"/>
  <c r="O86" i="7"/>
  <c r="K85" i="7"/>
  <c r="J85" i="12" s="1"/>
  <c r="E85" i="7"/>
  <c r="N83" i="7"/>
  <c r="I83" i="7"/>
  <c r="I83" i="12" s="1"/>
  <c r="C83" i="7"/>
  <c r="M82" i="7"/>
  <c r="H82" i="7"/>
  <c r="H82" i="12" s="1"/>
  <c r="B81" i="7"/>
  <c r="F81" i="7"/>
  <c r="J81" i="7"/>
  <c r="N81" i="7"/>
  <c r="O79" i="7"/>
  <c r="J79" i="7"/>
  <c r="E79" i="7"/>
  <c r="N78" i="7"/>
  <c r="I78" i="7"/>
  <c r="I78" i="12" s="1"/>
  <c r="D78" i="7"/>
  <c r="M77" i="7"/>
  <c r="H77" i="7"/>
  <c r="D75" i="7"/>
  <c r="H75" i="7"/>
  <c r="L75" i="7"/>
  <c r="J74" i="7"/>
  <c r="E74" i="7"/>
  <c r="O73" i="7"/>
  <c r="I73" i="7"/>
  <c r="I73" i="12" s="1"/>
  <c r="D73" i="7"/>
  <c r="M71" i="7"/>
  <c r="G71" i="7"/>
  <c r="C70" i="7"/>
  <c r="G70" i="7"/>
  <c r="K70" i="7"/>
  <c r="J70" i="12" s="1"/>
  <c r="O70" i="7"/>
  <c r="K69" i="7"/>
  <c r="E69" i="7"/>
  <c r="N67" i="7"/>
  <c r="I67" i="7"/>
  <c r="I67" i="12" s="1"/>
  <c r="C67" i="7"/>
  <c r="M66" i="7"/>
  <c r="H66" i="7"/>
  <c r="B65" i="7"/>
  <c r="F65" i="7"/>
  <c r="J65" i="7"/>
  <c r="N65" i="7"/>
  <c r="O63" i="7"/>
  <c r="J63" i="7"/>
  <c r="E63" i="7"/>
  <c r="N62" i="7"/>
  <c r="I62" i="7"/>
  <c r="D62" i="7"/>
  <c r="M61" i="7"/>
  <c r="H61" i="7"/>
  <c r="H61" i="12" s="1"/>
  <c r="D59" i="7"/>
  <c r="H59" i="7"/>
  <c r="L59" i="7"/>
  <c r="J58" i="7"/>
  <c r="E58" i="7"/>
  <c r="O57" i="7"/>
  <c r="I57" i="7"/>
  <c r="D57" i="7"/>
  <c r="M55" i="7"/>
  <c r="G55" i="7"/>
  <c r="C54" i="7"/>
  <c r="G54" i="7"/>
  <c r="K54" i="7"/>
  <c r="O54" i="7"/>
  <c r="K53" i="7"/>
  <c r="E53" i="7"/>
  <c r="N51" i="7"/>
  <c r="I51" i="7"/>
  <c r="C51" i="7"/>
  <c r="M50" i="7"/>
  <c r="H50" i="7"/>
  <c r="B49" i="7"/>
  <c r="F49" i="7"/>
  <c r="J49" i="7"/>
  <c r="N49" i="7"/>
  <c r="O47" i="7"/>
  <c r="J47" i="7"/>
  <c r="E47" i="7"/>
  <c r="N46" i="7"/>
  <c r="I46" i="7"/>
  <c r="D46" i="7"/>
  <c r="M45" i="7"/>
  <c r="H45" i="7"/>
  <c r="D43" i="7"/>
  <c r="H43" i="7"/>
  <c r="L43" i="7"/>
  <c r="J42" i="7"/>
  <c r="E42" i="7"/>
  <c r="O41" i="7"/>
  <c r="I41" i="7"/>
  <c r="D41" i="7"/>
  <c r="M39" i="7"/>
  <c r="G39" i="7"/>
  <c r="C38" i="7"/>
  <c r="G38" i="7"/>
  <c r="K38" i="7"/>
  <c r="O38" i="7"/>
  <c r="K37" i="7"/>
  <c r="E37" i="7"/>
  <c r="N35" i="7"/>
  <c r="I35" i="7"/>
  <c r="C35" i="7"/>
  <c r="M34" i="7"/>
  <c r="H34" i="7"/>
  <c r="B33" i="7"/>
  <c r="F33" i="7"/>
  <c r="J33" i="7"/>
  <c r="N33" i="7"/>
  <c r="O31" i="7"/>
  <c r="J31" i="7"/>
  <c r="E31" i="7"/>
  <c r="N30" i="7"/>
  <c r="I30" i="7"/>
  <c r="D30" i="7"/>
  <c r="M29" i="7"/>
  <c r="H29" i="7"/>
  <c r="D27" i="7"/>
  <c r="H27" i="7"/>
  <c r="L27" i="7"/>
  <c r="J26" i="7"/>
  <c r="E26" i="7"/>
  <c r="O25" i="7"/>
  <c r="I25" i="7"/>
  <c r="D25" i="7"/>
  <c r="K23" i="7"/>
  <c r="B21" i="7"/>
  <c r="F21" i="7"/>
  <c r="J21" i="7"/>
  <c r="N21" i="7"/>
  <c r="D21" i="7"/>
  <c r="H21" i="7"/>
  <c r="L21" i="7"/>
  <c r="O19" i="7"/>
  <c r="G19" i="7"/>
  <c r="M17" i="7"/>
  <c r="E17" i="7"/>
  <c r="K15" i="7"/>
  <c r="B13" i="7"/>
  <c r="F13" i="7"/>
  <c r="J13" i="7"/>
  <c r="N13" i="7"/>
  <c r="D13" i="7"/>
  <c r="H13" i="7"/>
  <c r="L13" i="7"/>
  <c r="I9" i="7"/>
  <c r="M186" i="6"/>
  <c r="M178" i="6"/>
  <c r="M170" i="6"/>
  <c r="M162" i="6"/>
  <c r="M154" i="6"/>
  <c r="M146" i="6"/>
  <c r="L145" i="6"/>
  <c r="S134" i="12"/>
  <c r="D134" i="6"/>
  <c r="H134" i="6"/>
  <c r="L134" i="6"/>
  <c r="B134" i="6"/>
  <c r="G134" i="6"/>
  <c r="M134" i="6"/>
  <c r="C134" i="6"/>
  <c r="L134" i="5" s="1"/>
  <c r="M134" i="5" s="1"/>
  <c r="I134" i="6"/>
  <c r="Q134" i="12" s="1"/>
  <c r="N134" i="6"/>
  <c r="E134" i="6"/>
  <c r="J134" i="6"/>
  <c r="O134" i="6"/>
  <c r="C129" i="6"/>
  <c r="L129" i="5" s="1"/>
  <c r="M129" i="5" s="1"/>
  <c r="G129" i="6"/>
  <c r="K129" i="6"/>
  <c r="R129" i="12" s="1"/>
  <c r="O129" i="6"/>
  <c r="B129" i="6"/>
  <c r="H129" i="6"/>
  <c r="P129" i="12" s="1"/>
  <c r="M129" i="6"/>
  <c r="D129" i="6"/>
  <c r="I129" i="6"/>
  <c r="Q129" i="12" s="1"/>
  <c r="N129" i="6"/>
  <c r="E129" i="6"/>
  <c r="J129" i="6"/>
  <c r="K118" i="6"/>
  <c r="S118" i="12" s="1"/>
  <c r="L113" i="6"/>
  <c r="Q106" i="12"/>
  <c r="D106" i="6"/>
  <c r="H106" i="6"/>
  <c r="L106" i="6"/>
  <c r="B106" i="6"/>
  <c r="F106" i="6"/>
  <c r="J106" i="6"/>
  <c r="N106" i="6"/>
  <c r="C106" i="6"/>
  <c r="L106" i="5" s="1"/>
  <c r="M106" i="5" s="1"/>
  <c r="K106" i="6"/>
  <c r="S106" i="12" s="1"/>
  <c r="E106" i="6"/>
  <c r="M106" i="6"/>
  <c r="G106" i="6"/>
  <c r="O106" i="6"/>
  <c r="B157" i="7"/>
  <c r="F157" i="7"/>
  <c r="J157" i="7"/>
  <c r="N157" i="7"/>
  <c r="D151" i="7"/>
  <c r="H151" i="7"/>
  <c r="H151" i="12" s="1"/>
  <c r="L151" i="7"/>
  <c r="C146" i="7"/>
  <c r="G146" i="7"/>
  <c r="K146" i="7"/>
  <c r="O146" i="7"/>
  <c r="B141" i="7"/>
  <c r="F141" i="7"/>
  <c r="J141" i="7"/>
  <c r="N141" i="7"/>
  <c r="D135" i="7"/>
  <c r="H135" i="7"/>
  <c r="L135" i="7"/>
  <c r="O133" i="7"/>
  <c r="I133" i="7"/>
  <c r="D133" i="7"/>
  <c r="C130" i="7"/>
  <c r="G130" i="7"/>
  <c r="K130" i="7"/>
  <c r="O130" i="7"/>
  <c r="N127" i="7"/>
  <c r="I127" i="7"/>
  <c r="C127" i="7"/>
  <c r="B125" i="7"/>
  <c r="F125" i="7"/>
  <c r="J125" i="7"/>
  <c r="N125" i="7"/>
  <c r="N122" i="7"/>
  <c r="I122" i="7"/>
  <c r="D122" i="7"/>
  <c r="D119" i="7"/>
  <c r="H119" i="7"/>
  <c r="L119" i="7"/>
  <c r="O117" i="7"/>
  <c r="I117" i="7"/>
  <c r="D117" i="7"/>
  <c r="C114" i="7"/>
  <c r="G114" i="7"/>
  <c r="K114" i="7"/>
  <c r="O114" i="7"/>
  <c r="N111" i="7"/>
  <c r="I111" i="7"/>
  <c r="I111" i="12" s="1"/>
  <c r="C111" i="7"/>
  <c r="B109" i="7"/>
  <c r="F109" i="7"/>
  <c r="J109" i="7"/>
  <c r="N109" i="7"/>
  <c r="N106" i="7"/>
  <c r="I106" i="7"/>
  <c r="I106" i="12" s="1"/>
  <c r="D106" i="7"/>
  <c r="D103" i="7"/>
  <c r="H103" i="7"/>
  <c r="H103" i="12" s="1"/>
  <c r="L103" i="7"/>
  <c r="K103" i="12" s="1"/>
  <c r="O101" i="7"/>
  <c r="I101" i="7"/>
  <c r="I101" i="12" s="1"/>
  <c r="D101" i="7"/>
  <c r="C98" i="7"/>
  <c r="G98" i="7"/>
  <c r="K98" i="7"/>
  <c r="O98" i="7"/>
  <c r="N95" i="7"/>
  <c r="I95" i="7"/>
  <c r="I95" i="12" s="1"/>
  <c r="C95" i="7"/>
  <c r="B93" i="7"/>
  <c r="F93" i="7"/>
  <c r="J93" i="7"/>
  <c r="N93" i="7"/>
  <c r="N90" i="7"/>
  <c r="I90" i="7"/>
  <c r="I90" i="12" s="1"/>
  <c r="D90" i="7"/>
  <c r="D87" i="7"/>
  <c r="H87" i="7"/>
  <c r="H87" i="12" s="1"/>
  <c r="L87" i="7"/>
  <c r="K87" i="12" s="1"/>
  <c r="O85" i="7"/>
  <c r="I85" i="7"/>
  <c r="I85" i="12" s="1"/>
  <c r="D85" i="7"/>
  <c r="C82" i="7"/>
  <c r="G82" i="7"/>
  <c r="K82" i="7"/>
  <c r="J82" i="12" s="1"/>
  <c r="O82" i="7"/>
  <c r="N79" i="7"/>
  <c r="I79" i="7"/>
  <c r="C79" i="7"/>
  <c r="B77" i="7"/>
  <c r="F77" i="7"/>
  <c r="J77" i="7"/>
  <c r="N77" i="7"/>
  <c r="N74" i="7"/>
  <c r="I74" i="7"/>
  <c r="I74" i="12" s="1"/>
  <c r="D74" i="7"/>
  <c r="D71" i="7"/>
  <c r="H71" i="7"/>
  <c r="L71" i="7"/>
  <c r="K71" i="12" s="1"/>
  <c r="O69" i="7"/>
  <c r="I69" i="7"/>
  <c r="I69" i="12" s="1"/>
  <c r="D69" i="7"/>
  <c r="C66" i="7"/>
  <c r="G66" i="7"/>
  <c r="K66" i="7"/>
  <c r="O66" i="7"/>
  <c r="N63" i="7"/>
  <c r="I63" i="7"/>
  <c r="I63" i="12" s="1"/>
  <c r="C63" i="7"/>
  <c r="B61" i="7"/>
  <c r="F61" i="7"/>
  <c r="J61" i="7"/>
  <c r="N61" i="7"/>
  <c r="N58" i="7"/>
  <c r="I58" i="7"/>
  <c r="I58" i="12" s="1"/>
  <c r="D58" i="7"/>
  <c r="D55" i="7"/>
  <c r="H55" i="7"/>
  <c r="L55" i="7"/>
  <c r="O53" i="7"/>
  <c r="I53" i="7"/>
  <c r="D53" i="7"/>
  <c r="C50" i="7"/>
  <c r="G50" i="7"/>
  <c r="K50" i="7"/>
  <c r="O50" i="7"/>
  <c r="N47" i="7"/>
  <c r="I47" i="7"/>
  <c r="C47" i="7"/>
  <c r="B45" i="7"/>
  <c r="F45" i="7"/>
  <c r="J45" i="7"/>
  <c r="N45" i="7"/>
  <c r="N42" i="7"/>
  <c r="I42" i="7"/>
  <c r="D42" i="7"/>
  <c r="D39" i="7"/>
  <c r="H39" i="7"/>
  <c r="L39" i="7"/>
  <c r="C34" i="7"/>
  <c r="G34" i="7"/>
  <c r="K34" i="7"/>
  <c r="O34" i="7"/>
  <c r="B29" i="7"/>
  <c r="F29" i="7"/>
  <c r="J29" i="7"/>
  <c r="N29" i="7"/>
  <c r="D23" i="7"/>
  <c r="H23" i="7"/>
  <c r="L23" i="7"/>
  <c r="B23" i="7"/>
  <c r="F23" i="7"/>
  <c r="J23" i="7"/>
  <c r="N23" i="7"/>
  <c r="D15" i="7"/>
  <c r="H15" i="7"/>
  <c r="L15" i="7"/>
  <c r="B15" i="7"/>
  <c r="F15" i="7"/>
  <c r="J15" i="7"/>
  <c r="N15" i="7"/>
  <c r="B182" i="6"/>
  <c r="F182" i="6"/>
  <c r="J182" i="6"/>
  <c r="N182" i="6"/>
  <c r="C182" i="6"/>
  <c r="G182" i="6"/>
  <c r="K182" i="6"/>
  <c r="O182" i="6"/>
  <c r="D182" i="6"/>
  <c r="H182" i="6"/>
  <c r="L182" i="6"/>
  <c r="B174" i="6"/>
  <c r="F174" i="6"/>
  <c r="J174" i="6"/>
  <c r="N174" i="6"/>
  <c r="C174" i="6"/>
  <c r="G174" i="6"/>
  <c r="K174" i="6"/>
  <c r="O174" i="6"/>
  <c r="D174" i="6"/>
  <c r="H174" i="6"/>
  <c r="L174" i="6"/>
  <c r="Q166" i="12"/>
  <c r="B166" i="6"/>
  <c r="F166" i="6"/>
  <c r="J166" i="6"/>
  <c r="N166" i="6"/>
  <c r="C166" i="6"/>
  <c r="G166" i="6"/>
  <c r="K166" i="6"/>
  <c r="S166" i="12" s="1"/>
  <c r="O166" i="6"/>
  <c r="D166" i="6"/>
  <c r="H166" i="6"/>
  <c r="L166" i="6"/>
  <c r="Q158" i="12"/>
  <c r="B158" i="6"/>
  <c r="F158" i="6"/>
  <c r="J158" i="6"/>
  <c r="N158" i="6"/>
  <c r="C158" i="6"/>
  <c r="L158" i="5" s="1"/>
  <c r="M158" i="5" s="1"/>
  <c r="G158" i="6"/>
  <c r="K158" i="6"/>
  <c r="O158" i="6"/>
  <c r="D158" i="6"/>
  <c r="H158" i="6"/>
  <c r="L158" i="6"/>
  <c r="Q150" i="12"/>
  <c r="B150" i="6"/>
  <c r="F150" i="6"/>
  <c r="J150" i="6"/>
  <c r="N150" i="6"/>
  <c r="C150" i="6"/>
  <c r="L150" i="5" s="1"/>
  <c r="M150" i="5" s="1"/>
  <c r="G150" i="6"/>
  <c r="K150" i="6"/>
  <c r="O150" i="6"/>
  <c r="D150" i="6"/>
  <c r="H150" i="6"/>
  <c r="L150" i="6"/>
  <c r="B140" i="6"/>
  <c r="F140" i="6"/>
  <c r="J140" i="6"/>
  <c r="N140" i="6"/>
  <c r="C140" i="6"/>
  <c r="L140" i="5" s="1"/>
  <c r="M140" i="5" s="1"/>
  <c r="H140" i="6"/>
  <c r="M140" i="6"/>
  <c r="A140" i="7"/>
  <c r="D140" i="6"/>
  <c r="I140" i="6"/>
  <c r="Q140" i="12" s="1"/>
  <c r="O140" i="6"/>
  <c r="E140" i="6"/>
  <c r="K140" i="6"/>
  <c r="L124" i="6"/>
  <c r="Q98" i="12"/>
  <c r="D98" i="6"/>
  <c r="H98" i="6"/>
  <c r="L98" i="6"/>
  <c r="B98" i="6"/>
  <c r="F98" i="6"/>
  <c r="J98" i="6"/>
  <c r="N98" i="6"/>
  <c r="Q90" i="12"/>
  <c r="D90" i="6"/>
  <c r="H90" i="6"/>
  <c r="L90" i="6"/>
  <c r="B90" i="6"/>
  <c r="F90" i="6"/>
  <c r="J90" i="6"/>
  <c r="N90" i="6"/>
  <c r="Q82" i="12"/>
  <c r="D82" i="6"/>
  <c r="H82" i="6"/>
  <c r="P82" i="12" s="1"/>
  <c r="L82" i="6"/>
  <c r="B82" i="6"/>
  <c r="F82" i="6"/>
  <c r="J82" i="6"/>
  <c r="N82" i="6"/>
  <c r="Q74" i="12"/>
  <c r="D74" i="6"/>
  <c r="H74" i="6"/>
  <c r="P74" i="12" s="1"/>
  <c r="L74" i="6"/>
  <c r="B74" i="6"/>
  <c r="F74" i="6"/>
  <c r="J74" i="6"/>
  <c r="N74" i="6"/>
  <c r="D66" i="6"/>
  <c r="H66" i="6"/>
  <c r="L66" i="6"/>
  <c r="B66" i="6"/>
  <c r="F66" i="6"/>
  <c r="J66" i="6"/>
  <c r="N66" i="6"/>
  <c r="D58" i="6"/>
  <c r="H58" i="6"/>
  <c r="L58" i="6"/>
  <c r="B58" i="6"/>
  <c r="G58" i="6"/>
  <c r="M58" i="6"/>
  <c r="E58" i="6"/>
  <c r="J58" i="6"/>
  <c r="O58" i="6"/>
  <c r="R40" i="12"/>
  <c r="B40" i="6"/>
  <c r="F40" i="6"/>
  <c r="J40" i="6"/>
  <c r="N40" i="6"/>
  <c r="E40" i="6"/>
  <c r="K40" i="6"/>
  <c r="S40" i="12" s="1"/>
  <c r="C40" i="6"/>
  <c r="L40" i="5" s="1"/>
  <c r="M40" i="5" s="1"/>
  <c r="H40" i="6"/>
  <c r="M40" i="6"/>
  <c r="B32" i="6"/>
  <c r="F32" i="6"/>
  <c r="J32" i="6"/>
  <c r="N32" i="6"/>
  <c r="C32" i="6"/>
  <c r="L32" i="5" s="1"/>
  <c r="M32" i="5" s="1"/>
  <c r="H32" i="6"/>
  <c r="M32" i="6"/>
  <c r="E32" i="6"/>
  <c r="K32" i="6"/>
  <c r="B10" i="28"/>
  <c r="C11" i="28"/>
  <c r="D12" i="28"/>
  <c r="C10" i="28"/>
  <c r="D11" i="28"/>
  <c r="B13" i="28"/>
  <c r="D10" i="28"/>
  <c r="B12" i="28"/>
  <c r="C13" i="28"/>
  <c r="O9" i="12"/>
  <c r="M11" i="12"/>
  <c r="O13" i="12"/>
  <c r="O17" i="12"/>
  <c r="O21" i="12"/>
  <c r="M23" i="12"/>
  <c r="O25" i="12"/>
  <c r="M27" i="12"/>
  <c r="O29" i="12"/>
  <c r="M31" i="12"/>
  <c r="O33" i="12"/>
  <c r="M9" i="12"/>
  <c r="M13" i="12"/>
  <c r="M17" i="12"/>
  <c r="M21" i="12"/>
  <c r="M25" i="12"/>
  <c r="M29" i="12"/>
  <c r="M41" i="12"/>
  <c r="M53" i="12"/>
  <c r="M57" i="12"/>
  <c r="M61" i="12"/>
  <c r="N9" i="12"/>
  <c r="L11" i="12"/>
  <c r="N13" i="12"/>
  <c r="N17" i="12"/>
  <c r="L19" i="12"/>
  <c r="N21" i="12"/>
  <c r="N25" i="12"/>
  <c r="L27" i="12"/>
  <c r="L31" i="12"/>
  <c r="L35" i="12"/>
  <c r="M39" i="12"/>
  <c r="O40" i="12"/>
  <c r="O41" i="12"/>
  <c r="M46" i="12"/>
  <c r="M48" i="12"/>
  <c r="L49" i="12"/>
  <c r="N27" i="12"/>
  <c r="N31" i="12"/>
  <c r="M35" i="12"/>
  <c r="O37" i="12"/>
  <c r="L47" i="12"/>
  <c r="O53" i="12"/>
  <c r="L63" i="12"/>
  <c r="M70" i="12"/>
  <c r="M74" i="12"/>
  <c r="M78" i="12"/>
  <c r="M12" i="12"/>
  <c r="O14" i="12"/>
  <c r="M16" i="12"/>
  <c r="O18" i="12"/>
  <c r="M20" i="12"/>
  <c r="O22" i="12"/>
  <c r="O26" i="12"/>
  <c r="M28" i="12"/>
  <c r="N35" i="12"/>
  <c r="L41" i="12"/>
  <c r="L43" i="12"/>
  <c r="N44" i="12"/>
  <c r="L9" i="12"/>
  <c r="L13" i="12"/>
  <c r="L17" i="12"/>
  <c r="L21" i="12"/>
  <c r="L25" i="12"/>
  <c r="L29" i="12"/>
  <c r="L33" i="12"/>
  <c r="L39" i="12"/>
  <c r="N40" i="12"/>
  <c r="O45" i="12"/>
  <c r="N47" i="12"/>
  <c r="L55" i="12"/>
  <c r="O61" i="12"/>
  <c r="N63" i="12"/>
  <c r="M47" i="12"/>
  <c r="O48" i="12"/>
  <c r="O56" i="12"/>
  <c r="L59" i="12"/>
  <c r="N60" i="12"/>
  <c r="O65" i="12"/>
  <c r="M73" i="12"/>
  <c r="L74" i="12"/>
  <c r="M80" i="12"/>
  <c r="O81" i="12"/>
  <c r="M82" i="12"/>
  <c r="N83" i="12"/>
  <c r="L85" i="12"/>
  <c r="M86" i="12"/>
  <c r="N87" i="12"/>
  <c r="L89" i="12"/>
  <c r="M90" i="12"/>
  <c r="N91" i="12"/>
  <c r="L93" i="12"/>
  <c r="M94" i="12"/>
  <c r="N95" i="12"/>
  <c r="L97" i="12"/>
  <c r="M98" i="12"/>
  <c r="O49" i="12"/>
  <c r="M55" i="12"/>
  <c r="L58" i="12"/>
  <c r="M62" i="12"/>
  <c r="O64" i="12"/>
  <c r="L67" i="12"/>
  <c r="M71" i="12"/>
  <c r="L79" i="12"/>
  <c r="N80" i="12"/>
  <c r="O83" i="12"/>
  <c r="M85" i="12"/>
  <c r="O87" i="12"/>
  <c r="M89" i="12"/>
  <c r="O91" i="12"/>
  <c r="M93" i="12"/>
  <c r="O95" i="12"/>
  <c r="M97" i="12"/>
  <c r="O99" i="12"/>
  <c r="M101" i="12"/>
  <c r="O103" i="12"/>
  <c r="M105" i="12"/>
  <c r="O107" i="12"/>
  <c r="M109" i="12"/>
  <c r="O111" i="12"/>
  <c r="M113" i="12"/>
  <c r="O115" i="12"/>
  <c r="M117" i="12"/>
  <c r="O119" i="12"/>
  <c r="M121" i="12"/>
  <c r="L51" i="12"/>
  <c r="N52" i="12"/>
  <c r="L57" i="12"/>
  <c r="O58" i="12"/>
  <c r="L66" i="12"/>
  <c r="N67" i="12"/>
  <c r="M69" i="12"/>
  <c r="O71" i="12"/>
  <c r="M72" i="12"/>
  <c r="O73" i="12"/>
  <c r="O74" i="12"/>
  <c r="L75" i="12"/>
  <c r="N76" i="12"/>
  <c r="M79" i="12"/>
  <c r="M81" i="12"/>
  <c r="O82" i="12"/>
  <c r="L83" i="12"/>
  <c r="M84" i="12"/>
  <c r="L87" i="12"/>
  <c r="M88" i="12"/>
  <c r="O90" i="12"/>
  <c r="L91" i="12"/>
  <c r="M92" i="12"/>
  <c r="M56" i="12"/>
  <c r="O57" i="12"/>
  <c r="M63" i="12"/>
  <c r="L65" i="12"/>
  <c r="N72" i="12"/>
  <c r="L82" i="12"/>
  <c r="M83" i="12"/>
  <c r="M87" i="12"/>
  <c r="M91" i="12"/>
  <c r="M95" i="12"/>
  <c r="M99" i="12"/>
  <c r="M103" i="12"/>
  <c r="M107" i="12"/>
  <c r="M111" i="12"/>
  <c r="M115" i="12"/>
  <c r="M119" i="12"/>
  <c r="M123" i="12"/>
  <c r="M127" i="12"/>
  <c r="M131" i="12"/>
  <c r="M135" i="12"/>
  <c r="M139" i="12"/>
  <c r="M96" i="12"/>
  <c r="N113" i="12"/>
  <c r="M122" i="12"/>
  <c r="L123" i="12"/>
  <c r="L125" i="12"/>
  <c r="N127" i="12"/>
  <c r="M129" i="12"/>
  <c r="O131" i="12"/>
  <c r="M138" i="12"/>
  <c r="L139" i="12"/>
  <c r="L141" i="12"/>
  <c r="L143" i="12"/>
  <c r="M144" i="12"/>
  <c r="N145" i="12"/>
  <c r="L147" i="12"/>
  <c r="M148" i="12"/>
  <c r="N149" i="12"/>
  <c r="L151" i="12"/>
  <c r="M152" i="12"/>
  <c r="N153" i="12"/>
  <c r="L155" i="12"/>
  <c r="M156" i="12"/>
  <c r="N157" i="12"/>
  <c r="L159" i="12"/>
  <c r="M160" i="12"/>
  <c r="N161" i="12"/>
  <c r="L163" i="12"/>
  <c r="M110" i="12"/>
  <c r="M118" i="12"/>
  <c r="N122" i="12"/>
  <c r="N123" i="12"/>
  <c r="O127" i="12"/>
  <c r="L128" i="12"/>
  <c r="N129" i="12"/>
  <c r="L135" i="12"/>
  <c r="O136" i="12"/>
  <c r="N138" i="12"/>
  <c r="N139" i="12"/>
  <c r="M143" i="12"/>
  <c r="O145" i="12"/>
  <c r="M147" i="12"/>
  <c r="O149" i="12"/>
  <c r="M151" i="12"/>
  <c r="O153" i="12"/>
  <c r="M155" i="12"/>
  <c r="O157" i="12"/>
  <c r="M159" i="12"/>
  <c r="O161" i="12"/>
  <c r="M163" i="12"/>
  <c r="O165" i="12"/>
  <c r="M167" i="12"/>
  <c r="O169" i="12"/>
  <c r="M171" i="12"/>
  <c r="O173" i="12"/>
  <c r="M175" i="12"/>
  <c r="O177" i="12"/>
  <c r="M179" i="12"/>
  <c r="O181" i="12"/>
  <c r="M183" i="12"/>
  <c r="O185" i="12"/>
  <c r="M187" i="12"/>
  <c r="L99" i="12"/>
  <c r="L103" i="12"/>
  <c r="O106" i="12"/>
  <c r="L107" i="12"/>
  <c r="L111" i="12"/>
  <c r="L115" i="12"/>
  <c r="O118" i="12"/>
  <c r="L119" i="12"/>
  <c r="O123" i="12"/>
  <c r="L124" i="12"/>
  <c r="M128" i="12"/>
  <c r="L131" i="12"/>
  <c r="O132" i="12"/>
  <c r="L133" i="12"/>
  <c r="N134" i="12"/>
  <c r="N135" i="12"/>
  <c r="M137" i="12"/>
  <c r="O139" i="12"/>
  <c r="L140" i="12"/>
  <c r="N143" i="12"/>
  <c r="O144" i="12"/>
  <c r="L145" i="12"/>
  <c r="M146" i="12"/>
  <c r="L149" i="12"/>
  <c r="M150" i="12"/>
  <c r="L95" i="12"/>
  <c r="O98" i="12"/>
  <c r="N99" i="12"/>
  <c r="L101" i="12"/>
  <c r="N103" i="12"/>
  <c r="L105" i="12"/>
  <c r="N107" i="12"/>
  <c r="L109" i="12"/>
  <c r="N111" i="12"/>
  <c r="L113" i="12"/>
  <c r="N115" i="12"/>
  <c r="L117" i="12"/>
  <c r="N119" i="12"/>
  <c r="L127" i="12"/>
  <c r="L129" i="12"/>
  <c r="N131" i="12"/>
  <c r="O135" i="12"/>
  <c r="L136" i="12"/>
  <c r="O143" i="12"/>
  <c r="M145" i="12"/>
  <c r="M149" i="12"/>
  <c r="M153" i="12"/>
  <c r="M157" i="12"/>
  <c r="M161" i="12"/>
  <c r="M165" i="12"/>
  <c r="M169" i="12"/>
  <c r="M173" i="12"/>
  <c r="M177" i="12"/>
  <c r="M181" i="12"/>
  <c r="M185" i="12"/>
  <c r="L153" i="12"/>
  <c r="L161" i="12"/>
  <c r="N165" i="12"/>
  <c r="L167" i="12"/>
  <c r="N169" i="12"/>
  <c r="L171" i="12"/>
  <c r="N173" i="12"/>
  <c r="O174" i="12"/>
  <c r="L175" i="12"/>
  <c r="M176" i="12"/>
  <c r="N177" i="12"/>
  <c r="O178" i="12"/>
  <c r="L179" i="12"/>
  <c r="M180" i="12"/>
  <c r="N181" i="12"/>
  <c r="O182" i="12"/>
  <c r="L183" i="12"/>
  <c r="M184" i="12"/>
  <c r="N185" i="12"/>
  <c r="O186" i="12"/>
  <c r="L187" i="12"/>
  <c r="M188" i="12"/>
  <c r="L157" i="12"/>
  <c r="O166" i="12"/>
  <c r="O170" i="12"/>
  <c r="O190" i="12"/>
  <c r="L165" i="12"/>
  <c r="L169" i="12"/>
  <c r="L173" i="12"/>
  <c r="M174" i="12"/>
  <c r="L177" i="12"/>
  <c r="M178" i="12"/>
  <c r="L181" i="12"/>
  <c r="M182" i="12"/>
  <c r="L185" i="12"/>
  <c r="M186"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Q171" i="12"/>
  <c r="P171" i="12"/>
  <c r="N168" i="6"/>
  <c r="J168" i="6"/>
  <c r="F168" i="6"/>
  <c r="Q167" i="12"/>
  <c r="P167" i="12"/>
  <c r="N164" i="6"/>
  <c r="J164" i="6"/>
  <c r="F164" i="6"/>
  <c r="Q163" i="12"/>
  <c r="P163" i="12"/>
  <c r="N160" i="6"/>
  <c r="J160" i="6"/>
  <c r="F160" i="6"/>
  <c r="P159" i="12"/>
  <c r="Q159" i="12"/>
  <c r="N156" i="6"/>
  <c r="J156" i="6"/>
  <c r="F156" i="6"/>
  <c r="P155" i="12"/>
  <c r="Q155" i="12"/>
  <c r="N152" i="6"/>
  <c r="J152" i="6"/>
  <c r="F152" i="6"/>
  <c r="P151" i="12"/>
  <c r="Q151" i="12"/>
  <c r="N148" i="6"/>
  <c r="J148" i="6"/>
  <c r="F148" i="6"/>
  <c r="P147" i="12"/>
  <c r="Q147" i="12"/>
  <c r="M142" i="6"/>
  <c r="G142" i="6"/>
  <c r="C141" i="6"/>
  <c r="L141" i="5" s="1"/>
  <c r="M141" i="5" s="1"/>
  <c r="G141" i="6"/>
  <c r="K141" i="6"/>
  <c r="N141" i="12" s="1"/>
  <c r="O141" i="6"/>
  <c r="M137" i="6"/>
  <c r="H137" i="6"/>
  <c r="L137" i="12" s="1"/>
  <c r="S136" i="12"/>
  <c r="P136" i="12"/>
  <c r="B136" i="6"/>
  <c r="F136" i="6"/>
  <c r="J136" i="6"/>
  <c r="N136" i="6"/>
  <c r="M132" i="6"/>
  <c r="H132" i="6"/>
  <c r="L132" i="12" s="1"/>
  <c r="R130" i="12"/>
  <c r="D130" i="6"/>
  <c r="H130" i="6"/>
  <c r="L130" i="6"/>
  <c r="O130" i="12" s="1"/>
  <c r="M126" i="6"/>
  <c r="G126" i="6"/>
  <c r="C125" i="6"/>
  <c r="L125" i="5" s="1"/>
  <c r="M125" i="5" s="1"/>
  <c r="G125" i="6"/>
  <c r="K125" i="6"/>
  <c r="N125" i="12" s="1"/>
  <c r="O125" i="6"/>
  <c r="M121" i="6"/>
  <c r="H121" i="6"/>
  <c r="L121" i="12" s="1"/>
  <c r="B120" i="6"/>
  <c r="F120" i="6"/>
  <c r="J120" i="6"/>
  <c r="N120" i="6"/>
  <c r="M116" i="6"/>
  <c r="H116" i="6"/>
  <c r="S114" i="12"/>
  <c r="D114" i="6"/>
  <c r="H114" i="6"/>
  <c r="L114" i="6"/>
  <c r="O114" i="12" s="1"/>
  <c r="M110" i="6"/>
  <c r="G110" i="6"/>
  <c r="Q108" i="12"/>
  <c r="B108" i="6"/>
  <c r="F108" i="6"/>
  <c r="J108" i="6"/>
  <c r="N108" i="6"/>
  <c r="D108" i="6"/>
  <c r="H108" i="6"/>
  <c r="L108" i="6"/>
  <c r="K102" i="6"/>
  <c r="Q100" i="12"/>
  <c r="B100" i="6"/>
  <c r="F100" i="6"/>
  <c r="J100" i="6"/>
  <c r="N100" i="6"/>
  <c r="D100" i="6"/>
  <c r="H100" i="6"/>
  <c r="L100" i="6"/>
  <c r="O98" i="6"/>
  <c r="G98" i="6"/>
  <c r="K94" i="6"/>
  <c r="Q92" i="12"/>
  <c r="B92" i="6"/>
  <c r="F92" i="6"/>
  <c r="J92" i="6"/>
  <c r="N92" i="6"/>
  <c r="D92" i="6"/>
  <c r="H92" i="6"/>
  <c r="L92" i="6"/>
  <c r="O90" i="6"/>
  <c r="G90" i="6"/>
  <c r="K86" i="6"/>
  <c r="Q84" i="12"/>
  <c r="B84" i="6"/>
  <c r="F84" i="6"/>
  <c r="J84" i="6"/>
  <c r="N84" i="6"/>
  <c r="D84" i="6"/>
  <c r="H84" i="6"/>
  <c r="L84" i="6"/>
  <c r="O82" i="6"/>
  <c r="G82" i="6"/>
  <c r="K78" i="6"/>
  <c r="N78" i="12" s="1"/>
  <c r="Q76" i="12"/>
  <c r="B76" i="6"/>
  <c r="F76" i="6"/>
  <c r="J76" i="6"/>
  <c r="N76" i="6"/>
  <c r="D76" i="6"/>
  <c r="H76" i="6"/>
  <c r="L76" i="12" s="1"/>
  <c r="L76" i="6"/>
  <c r="O74" i="6"/>
  <c r="G74" i="6"/>
  <c r="K70" i="6"/>
  <c r="N70" i="12" s="1"/>
  <c r="B68" i="6"/>
  <c r="F68" i="6"/>
  <c r="J68" i="6"/>
  <c r="N68" i="6"/>
  <c r="D68" i="6"/>
  <c r="H68" i="6"/>
  <c r="P68" i="12" s="1"/>
  <c r="L68" i="6"/>
  <c r="O66" i="6"/>
  <c r="G66" i="6"/>
  <c r="O64" i="6"/>
  <c r="I58" i="6"/>
  <c r="Q56" i="12"/>
  <c r="B56" i="6"/>
  <c r="F56" i="6"/>
  <c r="J56" i="6"/>
  <c r="N56" i="6"/>
  <c r="E56" i="6"/>
  <c r="K56" i="6"/>
  <c r="N56" i="12" s="1"/>
  <c r="C56" i="6"/>
  <c r="L56" i="5" s="1"/>
  <c r="M56" i="5" s="1"/>
  <c r="H56" i="6"/>
  <c r="M56" i="6"/>
  <c r="Q48" i="12"/>
  <c r="B48" i="6"/>
  <c r="F48" i="6"/>
  <c r="J48" i="6"/>
  <c r="N48" i="6"/>
  <c r="C48" i="6"/>
  <c r="L48" i="5" s="1"/>
  <c r="M48" i="5" s="1"/>
  <c r="H48" i="6"/>
  <c r="M48" i="6"/>
  <c r="E48" i="6"/>
  <c r="K48" i="6"/>
  <c r="R48" i="12" s="1"/>
  <c r="N45" i="6"/>
  <c r="I40" i="6"/>
  <c r="Q40" i="12" s="1"/>
  <c r="N37" i="6"/>
  <c r="N34" i="6"/>
  <c r="I32" i="6"/>
  <c r="Q32" i="12" s="1"/>
  <c r="B10" i="6"/>
  <c r="F10" i="6"/>
  <c r="J10" i="6"/>
  <c r="N10" i="6"/>
  <c r="C10" i="6"/>
  <c r="L10" i="5" s="1"/>
  <c r="M10" i="5" s="1"/>
  <c r="H10" i="6"/>
  <c r="M10" i="6"/>
  <c r="E10" i="6"/>
  <c r="K10" i="6"/>
  <c r="S10" i="12" s="1"/>
  <c r="I10" i="6"/>
  <c r="Q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8" i="12"/>
  <c r="Q164" i="12"/>
  <c r="Q160" i="12"/>
  <c r="S160" i="12"/>
  <c r="Q156" i="12"/>
  <c r="S156" i="12"/>
  <c r="Q152" i="12"/>
  <c r="S152" i="12"/>
  <c r="Q148" i="12"/>
  <c r="S148" i="12"/>
  <c r="Q142" i="12"/>
  <c r="D142" i="6"/>
  <c r="H142" i="6"/>
  <c r="L142" i="6"/>
  <c r="P137" i="12"/>
  <c r="Q137" i="12"/>
  <c r="C137" i="6"/>
  <c r="L137" i="5" s="1"/>
  <c r="M137" i="5" s="1"/>
  <c r="G137" i="6"/>
  <c r="K137" i="6"/>
  <c r="R137" i="12" s="1"/>
  <c r="O137" i="6"/>
  <c r="Q132" i="12"/>
  <c r="B132" i="6"/>
  <c r="F132" i="6"/>
  <c r="J132" i="6"/>
  <c r="N132" i="6"/>
  <c r="Q126" i="12"/>
  <c r="D126" i="6"/>
  <c r="H126" i="6"/>
  <c r="L126" i="6"/>
  <c r="Q121" i="12"/>
  <c r="P121" i="12"/>
  <c r="C121" i="6"/>
  <c r="L121" i="5" s="1"/>
  <c r="M121" i="5" s="1"/>
  <c r="G121" i="6"/>
  <c r="K121" i="6"/>
  <c r="N121" i="12" s="1"/>
  <c r="O121" i="6"/>
  <c r="Q116" i="12"/>
  <c r="B116" i="6"/>
  <c r="F116" i="6"/>
  <c r="J116" i="6"/>
  <c r="N116" i="6"/>
  <c r="S110" i="12"/>
  <c r="Q110" i="12"/>
  <c r="D110" i="6"/>
  <c r="H110" i="6"/>
  <c r="L110" i="6"/>
  <c r="O110" i="12" s="1"/>
  <c r="S102" i="12"/>
  <c r="Q102" i="12"/>
  <c r="D102" i="6"/>
  <c r="H102" i="6"/>
  <c r="L102" i="6"/>
  <c r="O102" i="12" s="1"/>
  <c r="B102" i="6"/>
  <c r="F102" i="6"/>
  <c r="J102" i="6"/>
  <c r="N102" i="6"/>
  <c r="M98" i="6"/>
  <c r="E98" i="6"/>
  <c r="Q94" i="12"/>
  <c r="S94" i="12"/>
  <c r="D94" i="6"/>
  <c r="H94" i="6"/>
  <c r="L94" i="6"/>
  <c r="O94" i="12" s="1"/>
  <c r="B94" i="6"/>
  <c r="F94" i="6"/>
  <c r="J94" i="6"/>
  <c r="N94" i="6"/>
  <c r="M90" i="6"/>
  <c r="E90" i="6"/>
  <c r="Q86" i="12"/>
  <c r="S86" i="12"/>
  <c r="D86" i="6"/>
  <c r="H86" i="6"/>
  <c r="L86" i="6"/>
  <c r="O86" i="12" s="1"/>
  <c r="B86" i="6"/>
  <c r="F86" i="6"/>
  <c r="J86" i="6"/>
  <c r="N86" i="6"/>
  <c r="M82" i="6"/>
  <c r="E82" i="6"/>
  <c r="Q78" i="12"/>
  <c r="S78" i="12"/>
  <c r="R78" i="12"/>
  <c r="D78" i="6"/>
  <c r="H78" i="6"/>
  <c r="P78" i="12" s="1"/>
  <c r="L78" i="6"/>
  <c r="O78" i="12" s="1"/>
  <c r="B78" i="6"/>
  <c r="F78" i="6"/>
  <c r="J78" i="6"/>
  <c r="N78" i="6"/>
  <c r="M74" i="6"/>
  <c r="E74" i="6"/>
  <c r="Q70" i="12"/>
  <c r="R70" i="12"/>
  <c r="D70" i="6"/>
  <c r="H70" i="6"/>
  <c r="L70" i="12" s="1"/>
  <c r="L70" i="6"/>
  <c r="O70" i="12" s="1"/>
  <c r="B70" i="6"/>
  <c r="F70" i="6"/>
  <c r="J70" i="6"/>
  <c r="N70" i="6"/>
  <c r="M66" i="6"/>
  <c r="E66" i="6"/>
  <c r="B64" i="6"/>
  <c r="F64" i="6"/>
  <c r="J64" i="6"/>
  <c r="N64" i="6"/>
  <c r="C64" i="6"/>
  <c r="L64" i="5" s="1"/>
  <c r="M64" i="5" s="1"/>
  <c r="H64" i="6"/>
  <c r="M64" i="6"/>
  <c r="E64" i="6"/>
  <c r="K64" i="6"/>
  <c r="R64" i="12" s="1"/>
  <c r="F58" i="6"/>
  <c r="C45" i="6"/>
  <c r="L45" i="5" s="1"/>
  <c r="M45" i="5" s="1"/>
  <c r="G45" i="6"/>
  <c r="K45" i="6"/>
  <c r="N45" i="12" s="1"/>
  <c r="O45" i="6"/>
  <c r="E45" i="6"/>
  <c r="J45" i="6"/>
  <c r="B45" i="6"/>
  <c r="H45" i="6"/>
  <c r="L45" i="12" s="1"/>
  <c r="M45" i="6"/>
  <c r="G40" i="6"/>
  <c r="C37" i="6"/>
  <c r="L37" i="5" s="1"/>
  <c r="G37" i="6"/>
  <c r="C231" i="2" s="1"/>
  <c r="K37" i="6"/>
  <c r="B233" i="2" s="1"/>
  <c r="O37" i="6"/>
  <c r="B37" i="6"/>
  <c r="H37" i="6"/>
  <c r="B232" i="2" s="1"/>
  <c r="M37" i="6"/>
  <c r="C233" i="2" s="1"/>
  <c r="E37" i="6"/>
  <c r="B231" i="2" s="1"/>
  <c r="J37" i="6"/>
  <c r="C232" i="2" s="1"/>
  <c r="S34" i="12"/>
  <c r="D34" i="6"/>
  <c r="H34" i="6"/>
  <c r="L34" i="6"/>
  <c r="O34" i="12" s="1"/>
  <c r="E34" i="6"/>
  <c r="J34" i="6"/>
  <c r="O34" i="6"/>
  <c r="B34" i="6"/>
  <c r="G34" i="6"/>
  <c r="M34" i="6"/>
  <c r="G32" i="6"/>
  <c r="Q28" i="12"/>
  <c r="D28" i="6"/>
  <c r="H28" i="6"/>
  <c r="L28" i="6"/>
  <c r="B28" i="6"/>
  <c r="F28" i="6"/>
  <c r="J28" i="6"/>
  <c r="N28" i="6"/>
  <c r="G28" i="6"/>
  <c r="O28" i="6"/>
  <c r="C28" i="6"/>
  <c r="L28" i="5" s="1"/>
  <c r="M28" i="5" s="1"/>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I7" i="12" s="1"/>
  <c r="O22" i="7"/>
  <c r="K22" i="7"/>
  <c r="G22" i="7"/>
  <c r="O18" i="7"/>
  <c r="K18" i="7"/>
  <c r="G18" i="7"/>
  <c r="O14" i="7"/>
  <c r="K14" i="7"/>
  <c r="G14" i="7"/>
  <c r="L11" i="7"/>
  <c r="H11" i="7"/>
  <c r="O10" i="7"/>
  <c r="K10" i="7"/>
  <c r="G10" i="7"/>
  <c r="L7" i="7"/>
  <c r="H7" i="7"/>
  <c r="D7" i="7"/>
  <c r="L188" i="6"/>
  <c r="H188" i="6"/>
  <c r="O187" i="6"/>
  <c r="K187" i="6"/>
  <c r="N187" i="12" s="1"/>
  <c r="G187" i="6"/>
  <c r="L184" i="6"/>
  <c r="H184" i="6"/>
  <c r="O183" i="6"/>
  <c r="K183" i="6"/>
  <c r="N183" i="12" s="1"/>
  <c r="G183" i="6"/>
  <c r="L180" i="6"/>
  <c r="H180" i="6"/>
  <c r="O179" i="6"/>
  <c r="K179" i="6"/>
  <c r="N179" i="12" s="1"/>
  <c r="G179" i="6"/>
  <c r="L176" i="6"/>
  <c r="H176" i="6"/>
  <c r="O175" i="6"/>
  <c r="K175" i="6"/>
  <c r="N175" i="12" s="1"/>
  <c r="G175" i="6"/>
  <c r="L172" i="6"/>
  <c r="H172" i="6"/>
  <c r="D172" i="6"/>
  <c r="O171" i="6"/>
  <c r="K171" i="6"/>
  <c r="N171" i="12" s="1"/>
  <c r="G171" i="6"/>
  <c r="C171" i="6"/>
  <c r="S169" i="12"/>
  <c r="Q169" i="12"/>
  <c r="P169" i="12"/>
  <c r="R169" i="12"/>
  <c r="L168" i="6"/>
  <c r="H168" i="6"/>
  <c r="D168" i="6"/>
  <c r="O167" i="6"/>
  <c r="K167" i="6"/>
  <c r="R167" i="12" s="1"/>
  <c r="G167" i="6"/>
  <c r="C167" i="6"/>
  <c r="S165" i="12"/>
  <c r="Q165" i="12"/>
  <c r="P165" i="12"/>
  <c r="R165" i="12"/>
  <c r="L164" i="6"/>
  <c r="H164" i="6"/>
  <c r="D164" i="6"/>
  <c r="O163" i="6"/>
  <c r="K163" i="6"/>
  <c r="D233" i="2" s="1"/>
  <c r="D234" i="2" s="1"/>
  <c r="G163" i="6"/>
  <c r="E231" i="2" s="1"/>
  <c r="C163" i="6"/>
  <c r="L163" i="5" s="1"/>
  <c r="M163" i="5" s="1"/>
  <c r="R161" i="12"/>
  <c r="S161" i="12"/>
  <c r="Q161" i="12"/>
  <c r="P161" i="12"/>
  <c r="L160" i="6"/>
  <c r="O160" i="12" s="1"/>
  <c r="H160" i="6"/>
  <c r="D160" i="6"/>
  <c r="O159" i="6"/>
  <c r="K159" i="6"/>
  <c r="R159" i="12" s="1"/>
  <c r="G159" i="6"/>
  <c r="C159" i="6"/>
  <c r="L159" i="5" s="1"/>
  <c r="M159" i="5" s="1"/>
  <c r="R157" i="12"/>
  <c r="S157" i="12"/>
  <c r="Q157" i="12"/>
  <c r="P157" i="12"/>
  <c r="L156" i="6"/>
  <c r="O156" i="12" s="1"/>
  <c r="H156" i="6"/>
  <c r="D156" i="6"/>
  <c r="O155" i="6"/>
  <c r="K155" i="6"/>
  <c r="N155" i="12" s="1"/>
  <c r="G155" i="6"/>
  <c r="C155" i="6"/>
  <c r="L155" i="5" s="1"/>
  <c r="M155" i="5" s="1"/>
  <c r="R153" i="12"/>
  <c r="S153" i="12"/>
  <c r="Q153" i="12"/>
  <c r="P153" i="12"/>
  <c r="L152" i="6"/>
  <c r="O152" i="12" s="1"/>
  <c r="H152" i="6"/>
  <c r="D152" i="6"/>
  <c r="O151" i="6"/>
  <c r="K151" i="6"/>
  <c r="R151" i="12" s="1"/>
  <c r="G151" i="6"/>
  <c r="C151" i="6"/>
  <c r="L151" i="5" s="1"/>
  <c r="M151" i="5" s="1"/>
  <c r="R149" i="12"/>
  <c r="S149" i="12"/>
  <c r="P149" i="12"/>
  <c r="Q149" i="12"/>
  <c r="L148" i="6"/>
  <c r="O148" i="12" s="1"/>
  <c r="H148" i="6"/>
  <c r="D148" i="6"/>
  <c r="O147" i="6"/>
  <c r="K147" i="6"/>
  <c r="N147" i="12" s="1"/>
  <c r="G147" i="6"/>
  <c r="C147" i="6"/>
  <c r="L147" i="5" s="1"/>
  <c r="M147" i="5" s="1"/>
  <c r="Q144" i="12"/>
  <c r="S144" i="12"/>
  <c r="B144" i="6"/>
  <c r="F144" i="6"/>
  <c r="J144" i="6"/>
  <c r="N144" i="6"/>
  <c r="O142" i="6"/>
  <c r="J142" i="6"/>
  <c r="E142" i="6"/>
  <c r="N141" i="6"/>
  <c r="I141" i="6"/>
  <c r="Q141" i="12" s="1"/>
  <c r="D141" i="6"/>
  <c r="R138" i="12"/>
  <c r="S138" i="12"/>
  <c r="Q138" i="12"/>
  <c r="D138" i="6"/>
  <c r="D13" i="28" s="1"/>
  <c r="H138" i="6"/>
  <c r="B11" i="28" s="1"/>
  <c r="L138" i="6"/>
  <c r="O138" i="12" s="1"/>
  <c r="J137" i="6"/>
  <c r="E137" i="6"/>
  <c r="O136" i="6"/>
  <c r="I136" i="6"/>
  <c r="M136" i="12" s="1"/>
  <c r="D136" i="6"/>
  <c r="Q133" i="12"/>
  <c r="C133" i="6"/>
  <c r="L133" i="5" s="1"/>
  <c r="M133" i="5" s="1"/>
  <c r="G133" i="6"/>
  <c r="K133" i="6"/>
  <c r="O133" i="6"/>
  <c r="K132" i="6"/>
  <c r="E132" i="6"/>
  <c r="N130" i="6"/>
  <c r="I130" i="6"/>
  <c r="Q130" i="12" s="1"/>
  <c r="C130" i="6"/>
  <c r="L130" i="5" s="1"/>
  <c r="M130" i="5" s="1"/>
  <c r="P128" i="12"/>
  <c r="Q128" i="12"/>
  <c r="S128" i="12"/>
  <c r="B128" i="6"/>
  <c r="F128" i="6"/>
  <c r="J128" i="6"/>
  <c r="N128" i="6"/>
  <c r="O126" i="6"/>
  <c r="J126" i="6"/>
  <c r="E126" i="6"/>
  <c r="N125" i="6"/>
  <c r="I125" i="6"/>
  <c r="Q125" i="12" s="1"/>
  <c r="D125" i="6"/>
  <c r="R122" i="12"/>
  <c r="S122" i="12"/>
  <c r="Q122" i="12"/>
  <c r="D122" i="6"/>
  <c r="H122" i="6"/>
  <c r="L122" i="6"/>
  <c r="O122" i="12" s="1"/>
  <c r="J121" i="6"/>
  <c r="E121" i="6"/>
  <c r="O120" i="6"/>
  <c r="I120" i="6"/>
  <c r="Q120" i="12" s="1"/>
  <c r="D120" i="6"/>
  <c r="Q117" i="12"/>
  <c r="P117" i="12"/>
  <c r="C117" i="6"/>
  <c r="L117" i="5" s="1"/>
  <c r="M117" i="5" s="1"/>
  <c r="G117" i="6"/>
  <c r="K117" i="6"/>
  <c r="N117" i="12" s="1"/>
  <c r="O117" i="6"/>
  <c r="K116" i="6"/>
  <c r="E116" i="6"/>
  <c r="N114" i="6"/>
  <c r="I114" i="6"/>
  <c r="M114" i="12" s="1"/>
  <c r="C114" i="6"/>
  <c r="L114" i="5" s="1"/>
  <c r="M114" i="5" s="1"/>
  <c r="Q112" i="12"/>
  <c r="B112" i="6"/>
  <c r="F112" i="6"/>
  <c r="J112" i="6"/>
  <c r="N112" i="6"/>
  <c r="O110" i="6"/>
  <c r="J110" i="6"/>
  <c r="E110" i="6"/>
  <c r="M108" i="6"/>
  <c r="E108" i="6"/>
  <c r="Q104" i="12"/>
  <c r="B104" i="6"/>
  <c r="F104" i="6"/>
  <c r="J104" i="6"/>
  <c r="N104" i="6"/>
  <c r="D104" i="6"/>
  <c r="H104" i="6"/>
  <c r="L104" i="6"/>
  <c r="O102" i="6"/>
  <c r="G102" i="6"/>
  <c r="M100" i="6"/>
  <c r="E100" i="6"/>
  <c r="K98" i="6"/>
  <c r="S98" i="12" s="1"/>
  <c r="C98" i="6"/>
  <c r="L98" i="5" s="1"/>
  <c r="M98" i="5" s="1"/>
  <c r="Q96" i="12"/>
  <c r="B96" i="6"/>
  <c r="F96" i="6"/>
  <c r="J96" i="6"/>
  <c r="N96" i="6"/>
  <c r="D96" i="6"/>
  <c r="H96" i="6"/>
  <c r="L96" i="6"/>
  <c r="O94" i="6"/>
  <c r="G94" i="6"/>
  <c r="M92" i="6"/>
  <c r="E92" i="6"/>
  <c r="K90" i="6"/>
  <c r="S90" i="12" s="1"/>
  <c r="C90" i="6"/>
  <c r="L90" i="5" s="1"/>
  <c r="M90" i="5" s="1"/>
  <c r="Q88" i="12"/>
  <c r="B88" i="6"/>
  <c r="F88" i="6"/>
  <c r="J88" i="6"/>
  <c r="N88" i="6"/>
  <c r="D88" i="6"/>
  <c r="H88" i="6"/>
  <c r="L88" i="6"/>
  <c r="O86" i="6"/>
  <c r="G86" i="6"/>
  <c r="M84" i="6"/>
  <c r="E84" i="6"/>
  <c r="K82" i="6"/>
  <c r="R82" i="12" s="1"/>
  <c r="C82" i="6"/>
  <c r="L82" i="5" s="1"/>
  <c r="M82" i="5" s="1"/>
  <c r="R80" i="12"/>
  <c r="Q80" i="12"/>
  <c r="B80" i="6"/>
  <c r="F80" i="6"/>
  <c r="J80" i="6"/>
  <c r="N80" i="6"/>
  <c r="D80" i="6"/>
  <c r="H80" i="6"/>
  <c r="L80" i="12" s="1"/>
  <c r="L80" i="6"/>
  <c r="O78" i="6"/>
  <c r="G78" i="6"/>
  <c r="M76" i="6"/>
  <c r="E76" i="6"/>
  <c r="K74" i="6"/>
  <c r="R74" i="12" s="1"/>
  <c r="C74" i="6"/>
  <c r="L74" i="5" s="1"/>
  <c r="M74" i="5" s="1"/>
  <c r="Q72" i="12"/>
  <c r="R72" i="12"/>
  <c r="B72" i="6"/>
  <c r="F72" i="6"/>
  <c r="J72" i="6"/>
  <c r="N72" i="6"/>
  <c r="D72" i="6"/>
  <c r="H72" i="6"/>
  <c r="L72" i="12" s="1"/>
  <c r="L72" i="6"/>
  <c r="O70" i="6"/>
  <c r="G70" i="6"/>
  <c r="M68" i="6"/>
  <c r="E68" i="6"/>
  <c r="K66" i="6"/>
  <c r="C66" i="6"/>
  <c r="L66" i="5" s="1"/>
  <c r="M66" i="5" s="1"/>
  <c r="I64" i="6"/>
  <c r="M64" i="12" s="1"/>
  <c r="Q61" i="12"/>
  <c r="C61" i="6"/>
  <c r="L61" i="5" s="1"/>
  <c r="M61" i="5" s="1"/>
  <c r="G61" i="6"/>
  <c r="K61" i="6"/>
  <c r="N61" i="12" s="1"/>
  <c r="O61" i="6"/>
  <c r="E61" i="6"/>
  <c r="J61" i="6"/>
  <c r="B61" i="6"/>
  <c r="H61" i="6"/>
  <c r="P61" i="12" s="1"/>
  <c r="M61" i="6"/>
  <c r="N58" i="6"/>
  <c r="C58" i="6"/>
  <c r="L58" i="5" s="1"/>
  <c r="M58" i="5" s="1"/>
  <c r="G56" i="6"/>
  <c r="Q53" i="12"/>
  <c r="C53" i="6"/>
  <c r="L53" i="5" s="1"/>
  <c r="M53" i="5" s="1"/>
  <c r="G53" i="6"/>
  <c r="K53" i="6"/>
  <c r="S53" i="12" s="1"/>
  <c r="O53" i="6"/>
  <c r="B53" i="6"/>
  <c r="H53" i="6"/>
  <c r="L53" i="12" s="1"/>
  <c r="M53" i="6"/>
  <c r="E53" i="6"/>
  <c r="J53" i="6"/>
  <c r="D50" i="6"/>
  <c r="H50" i="6"/>
  <c r="L50" i="6"/>
  <c r="E50" i="6"/>
  <c r="J50" i="6"/>
  <c r="O50" i="6"/>
  <c r="B50" i="6"/>
  <c r="G50" i="6"/>
  <c r="M50" i="6"/>
  <c r="G48" i="6"/>
  <c r="I45" i="6"/>
  <c r="Q45" i="12" s="1"/>
  <c r="Q42" i="12"/>
  <c r="D42" i="6"/>
  <c r="H42" i="6"/>
  <c r="L42" i="12" s="1"/>
  <c r="L42" i="6"/>
  <c r="O42" i="12" s="1"/>
  <c r="B42" i="6"/>
  <c r="G42" i="6"/>
  <c r="M42" i="6"/>
  <c r="E42" i="6"/>
  <c r="J42" i="6"/>
  <c r="O42" i="6"/>
  <c r="O40" i="6"/>
  <c r="D40" i="6"/>
  <c r="I37" i="6"/>
  <c r="Q37" i="12" s="1"/>
  <c r="I34" i="6"/>
  <c r="Q34" i="12" s="1"/>
  <c r="O32" i="6"/>
  <c r="D32" i="6"/>
  <c r="M28" i="6"/>
  <c r="C15" i="6"/>
  <c r="L15" i="5" s="1"/>
  <c r="M15" i="5" s="1"/>
  <c r="G15" i="6"/>
  <c r="K15" i="6"/>
  <c r="N15" i="12" s="1"/>
  <c r="O15" i="6"/>
  <c r="B15" i="6"/>
  <c r="H15" i="6"/>
  <c r="P15" i="12" s="1"/>
  <c r="M15" i="6"/>
  <c r="E15" i="6"/>
  <c r="J15" i="6"/>
  <c r="D15" i="6"/>
  <c r="N15" i="6"/>
  <c r="I15" i="6"/>
  <c r="M15" i="12" s="1"/>
  <c r="L10" i="6"/>
  <c r="O10" i="12" s="1"/>
  <c r="F7" i="6"/>
  <c r="G53" i="8"/>
  <c r="G45" i="8"/>
  <c r="F36" i="8"/>
  <c r="B178" i="10"/>
  <c r="F178" i="10"/>
  <c r="J178" i="10"/>
  <c r="N178" i="10"/>
  <c r="E178" i="10"/>
  <c r="K178" i="10"/>
  <c r="C178" i="10"/>
  <c r="H178" i="10"/>
  <c r="M178" i="10"/>
  <c r="D178" i="10"/>
  <c r="O178" i="10"/>
  <c r="G178" i="10"/>
  <c r="I178" i="10"/>
  <c r="Q109" i="12"/>
  <c r="P109" i="12"/>
  <c r="Q105" i="12"/>
  <c r="P105" i="12"/>
  <c r="Q101" i="12"/>
  <c r="P101" i="12"/>
  <c r="P97" i="12"/>
  <c r="Q97" i="12"/>
  <c r="P93" i="12"/>
  <c r="Q93" i="12"/>
  <c r="P89" i="12"/>
  <c r="Q89" i="12"/>
  <c r="P85" i="12"/>
  <c r="Q85" i="12"/>
  <c r="Q81" i="12"/>
  <c r="Q77" i="12"/>
  <c r="Q73" i="12"/>
  <c r="Q69" i="12"/>
  <c r="P65" i="12"/>
  <c r="C65" i="6"/>
  <c r="L65" i="5" s="1"/>
  <c r="M65" i="5" s="1"/>
  <c r="G65" i="6"/>
  <c r="K65" i="6"/>
  <c r="N65" i="12" s="1"/>
  <c r="O65" i="6"/>
  <c r="S60" i="12"/>
  <c r="B60" i="6"/>
  <c r="F60" i="6"/>
  <c r="J60" i="6"/>
  <c r="N60" i="6"/>
  <c r="S54" i="12"/>
  <c r="D54" i="6"/>
  <c r="H54" i="6"/>
  <c r="L54" i="12" s="1"/>
  <c r="L54" i="6"/>
  <c r="O54" i="12" s="1"/>
  <c r="P49" i="12"/>
  <c r="C49" i="6"/>
  <c r="L49" i="5" s="1"/>
  <c r="M49" i="5" s="1"/>
  <c r="G49" i="6"/>
  <c r="K49" i="6"/>
  <c r="N49" i="12" s="1"/>
  <c r="O49" i="6"/>
  <c r="S44" i="12"/>
  <c r="B44" i="6"/>
  <c r="F44" i="6"/>
  <c r="J44" i="6"/>
  <c r="N44" i="6"/>
  <c r="S38" i="12"/>
  <c r="D38" i="6"/>
  <c r="H38" i="6"/>
  <c r="P38" i="12" s="1"/>
  <c r="L38" i="6"/>
  <c r="O38" i="12" s="1"/>
  <c r="P33" i="12"/>
  <c r="C33" i="6"/>
  <c r="L33" i="5" s="1"/>
  <c r="M33" i="5" s="1"/>
  <c r="G33" i="6"/>
  <c r="K33" i="6"/>
  <c r="N33" i="12" s="1"/>
  <c r="O33" i="6"/>
  <c r="Q23" i="12"/>
  <c r="C23" i="6"/>
  <c r="L23" i="5" s="1"/>
  <c r="M23" i="5" s="1"/>
  <c r="G23" i="6"/>
  <c r="K23" i="6"/>
  <c r="N23" i="12" s="1"/>
  <c r="O23" i="6"/>
  <c r="E23" i="6"/>
  <c r="J23" i="6"/>
  <c r="B23" i="6"/>
  <c r="H23" i="6"/>
  <c r="L23" i="12" s="1"/>
  <c r="M23" i="6"/>
  <c r="Q20" i="12"/>
  <c r="D20" i="6"/>
  <c r="H20" i="6"/>
  <c r="L20" i="6"/>
  <c r="B20" i="6"/>
  <c r="G20" i="6"/>
  <c r="M20" i="6"/>
  <c r="E20" i="6"/>
  <c r="J20" i="6"/>
  <c r="O20" i="6"/>
  <c r="Q12" i="12"/>
  <c r="D12" i="6"/>
  <c r="H12" i="6"/>
  <c r="L12" i="6"/>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P143" i="12"/>
  <c r="Q143" i="12"/>
  <c r="R143" i="12"/>
  <c r="S143" i="12"/>
  <c r="Q139" i="12"/>
  <c r="R139" i="12"/>
  <c r="S139" i="12"/>
  <c r="P139" i="12"/>
  <c r="Q135" i="12"/>
  <c r="P135" i="12"/>
  <c r="R135" i="12"/>
  <c r="S135" i="12"/>
  <c r="Q131" i="12"/>
  <c r="P131" i="12"/>
  <c r="R131" i="12"/>
  <c r="S131" i="12"/>
  <c r="Q127" i="12"/>
  <c r="S127" i="12"/>
  <c r="P127" i="12"/>
  <c r="R127" i="12"/>
  <c r="Q123" i="12"/>
  <c r="R123" i="12"/>
  <c r="S123" i="12"/>
  <c r="P123" i="12"/>
  <c r="S119" i="12"/>
  <c r="Q119" i="12"/>
  <c r="P119" i="12"/>
  <c r="R119" i="12"/>
  <c r="S115" i="12"/>
  <c r="Q115" i="12"/>
  <c r="P115" i="12"/>
  <c r="R115" i="12"/>
  <c r="S111" i="12"/>
  <c r="Q111" i="12"/>
  <c r="P111" i="12"/>
  <c r="R111" i="12"/>
  <c r="O109" i="6"/>
  <c r="K109" i="6"/>
  <c r="N109" i="12" s="1"/>
  <c r="G109" i="6"/>
  <c r="C109" i="6"/>
  <c r="L109" i="5" s="1"/>
  <c r="M109" i="5" s="1"/>
  <c r="S107" i="12"/>
  <c r="Q107" i="12"/>
  <c r="P107" i="12"/>
  <c r="R107" i="12"/>
  <c r="O105" i="6"/>
  <c r="K105" i="6"/>
  <c r="N105" i="12" s="1"/>
  <c r="G105" i="6"/>
  <c r="C105" i="6"/>
  <c r="L105" i="5" s="1"/>
  <c r="M105" i="5" s="1"/>
  <c r="S103" i="12"/>
  <c r="Q103" i="12"/>
  <c r="P103" i="12"/>
  <c r="R103" i="12"/>
  <c r="O101" i="6"/>
  <c r="K101" i="6"/>
  <c r="R101" i="12" s="1"/>
  <c r="G101" i="6"/>
  <c r="C101" i="6"/>
  <c r="L101" i="5" s="1"/>
  <c r="M101" i="5" s="1"/>
  <c r="S99" i="12"/>
  <c r="Q99" i="12"/>
  <c r="P99" i="12"/>
  <c r="R99" i="12"/>
  <c r="O97" i="6"/>
  <c r="K97" i="6"/>
  <c r="N97" i="12" s="1"/>
  <c r="G97" i="6"/>
  <c r="C97" i="6"/>
  <c r="L97" i="5" s="1"/>
  <c r="M97" i="5" s="1"/>
  <c r="R95" i="12"/>
  <c r="S95" i="12"/>
  <c r="Q95" i="12"/>
  <c r="P95" i="12"/>
  <c r="O93" i="6"/>
  <c r="K93" i="6"/>
  <c r="N93" i="12" s="1"/>
  <c r="G93" i="6"/>
  <c r="C93" i="6"/>
  <c r="L93" i="5" s="1"/>
  <c r="M93" i="5" s="1"/>
  <c r="R91" i="12"/>
  <c r="S91" i="12"/>
  <c r="P91" i="12"/>
  <c r="Q91" i="12"/>
  <c r="O89" i="6"/>
  <c r="K89" i="6"/>
  <c r="N89" i="12" s="1"/>
  <c r="G89" i="6"/>
  <c r="C89" i="6"/>
  <c r="L89" i="5" s="1"/>
  <c r="M89" i="5" s="1"/>
  <c r="R87" i="12"/>
  <c r="S87" i="12"/>
  <c r="P87" i="12"/>
  <c r="Q87" i="12"/>
  <c r="O85" i="6"/>
  <c r="K85" i="6"/>
  <c r="N85" i="12" s="1"/>
  <c r="G85" i="6"/>
  <c r="C85" i="6"/>
  <c r="L85" i="5" s="1"/>
  <c r="M85" i="5" s="1"/>
  <c r="R83" i="12"/>
  <c r="S83" i="12"/>
  <c r="P83" i="12"/>
  <c r="Q83" i="12"/>
  <c r="O81" i="6"/>
  <c r="K81" i="6"/>
  <c r="R81" i="12" s="1"/>
  <c r="G81" i="6"/>
  <c r="C81" i="6"/>
  <c r="L81" i="5" s="1"/>
  <c r="M81" i="5" s="1"/>
  <c r="P79" i="12"/>
  <c r="Q79" i="12"/>
  <c r="S79" i="12"/>
  <c r="O77" i="6"/>
  <c r="K77" i="6"/>
  <c r="G77" i="6"/>
  <c r="C77" i="6"/>
  <c r="L77" i="5" s="1"/>
  <c r="M77" i="5" s="1"/>
  <c r="Q75" i="12"/>
  <c r="O73" i="6"/>
  <c r="K73" i="6"/>
  <c r="R73" i="12" s="1"/>
  <c r="G73" i="6"/>
  <c r="C73" i="6"/>
  <c r="L73" i="5" s="1"/>
  <c r="M73" i="5" s="1"/>
  <c r="S71" i="12"/>
  <c r="Q71" i="12"/>
  <c r="O69" i="6"/>
  <c r="K69" i="6"/>
  <c r="G69" i="6"/>
  <c r="C69" i="6"/>
  <c r="L69" i="5" s="1"/>
  <c r="M69" i="5" s="1"/>
  <c r="N65" i="6"/>
  <c r="I65" i="6"/>
  <c r="Q65" i="12" s="1"/>
  <c r="D65" i="6"/>
  <c r="Q62" i="12"/>
  <c r="S62" i="12"/>
  <c r="D62" i="6"/>
  <c r="H62" i="6"/>
  <c r="P62" i="12" s="1"/>
  <c r="L62" i="6"/>
  <c r="O60" i="6"/>
  <c r="I60" i="6"/>
  <c r="Q60" i="12" s="1"/>
  <c r="D60" i="6"/>
  <c r="Q57" i="12"/>
  <c r="P57" i="12"/>
  <c r="C57" i="6"/>
  <c r="L57" i="5" s="1"/>
  <c r="M57" i="5" s="1"/>
  <c r="G57" i="6"/>
  <c r="K57" i="6"/>
  <c r="N57" i="12" s="1"/>
  <c r="O57" i="6"/>
  <c r="N54" i="6"/>
  <c r="I54" i="6"/>
  <c r="Q54" i="12" s="1"/>
  <c r="C54" i="6"/>
  <c r="L54" i="5" s="1"/>
  <c r="M54" i="5" s="1"/>
  <c r="S52" i="12"/>
  <c r="B52" i="6"/>
  <c r="F52" i="6"/>
  <c r="J52" i="6"/>
  <c r="N52" i="6"/>
  <c r="N49" i="6"/>
  <c r="I49" i="6"/>
  <c r="Q49" i="12" s="1"/>
  <c r="D49" i="6"/>
  <c r="S46" i="12"/>
  <c r="Q46" i="12"/>
  <c r="D46" i="6"/>
  <c r="H46" i="6"/>
  <c r="P46" i="12" s="1"/>
  <c r="L46" i="6"/>
  <c r="O44" i="6"/>
  <c r="I44" i="6"/>
  <c r="Q44" i="12" s="1"/>
  <c r="D44" i="6"/>
  <c r="Q41" i="12"/>
  <c r="P41" i="12"/>
  <c r="C41" i="6"/>
  <c r="L41" i="5" s="1"/>
  <c r="M41" i="5" s="1"/>
  <c r="G41" i="6"/>
  <c r="K41" i="6"/>
  <c r="N41" i="12" s="1"/>
  <c r="O41" i="6"/>
  <c r="N38" i="6"/>
  <c r="I38" i="6"/>
  <c r="M38" i="12" s="1"/>
  <c r="C38" i="6"/>
  <c r="L38" i="5" s="1"/>
  <c r="M38" i="5" s="1"/>
  <c r="Q36" i="12"/>
  <c r="B36" i="6"/>
  <c r="F36" i="6"/>
  <c r="J36" i="6"/>
  <c r="N36" i="6"/>
  <c r="N33" i="6"/>
  <c r="I33" i="6"/>
  <c r="Q33" i="12" s="1"/>
  <c r="D33" i="6"/>
  <c r="S30" i="12"/>
  <c r="Q30" i="12"/>
  <c r="B30" i="6"/>
  <c r="F30" i="6"/>
  <c r="J30" i="6"/>
  <c r="N30" i="6"/>
  <c r="D30" i="6"/>
  <c r="H30" i="6"/>
  <c r="L30" i="6"/>
  <c r="O30" i="12" s="1"/>
  <c r="Q26" i="12"/>
  <c r="B26" i="6"/>
  <c r="F26" i="6"/>
  <c r="J26" i="6"/>
  <c r="N26" i="6"/>
  <c r="C26" i="6"/>
  <c r="L26" i="5" s="1"/>
  <c r="M26" i="5" s="1"/>
  <c r="H26" i="6"/>
  <c r="M26" i="6"/>
  <c r="E26" i="6"/>
  <c r="K26" i="6"/>
  <c r="S26" i="12" s="1"/>
  <c r="F23" i="6"/>
  <c r="F20" i="6"/>
  <c r="Q18" i="12"/>
  <c r="B18" i="6"/>
  <c r="F18" i="6"/>
  <c r="J18" i="6"/>
  <c r="N18" i="6"/>
  <c r="E18" i="6"/>
  <c r="K18" i="6"/>
  <c r="S18" i="12" s="1"/>
  <c r="C18" i="6"/>
  <c r="L18" i="5" s="1"/>
  <c r="M18" i="5" s="1"/>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63" i="12"/>
  <c r="P63" i="12"/>
  <c r="R63" i="12"/>
  <c r="Q59" i="12"/>
  <c r="Q55" i="12"/>
  <c r="P55" i="12"/>
  <c r="R55" i="12"/>
  <c r="P47" i="12"/>
  <c r="Q47" i="12"/>
  <c r="R47" i="12"/>
  <c r="Q43" i="12"/>
  <c r="R39" i="12"/>
  <c r="P39" i="12"/>
  <c r="Q39" i="12"/>
  <c r="Q35" i="12"/>
  <c r="R35" i="12"/>
  <c r="P35" i="12"/>
  <c r="Q31" i="12"/>
  <c r="P31" i="12"/>
  <c r="R31" i="12"/>
  <c r="O29" i="6"/>
  <c r="K29" i="6"/>
  <c r="N29" i="12" s="1"/>
  <c r="G29" i="6"/>
  <c r="Q27" i="12"/>
  <c r="P27" i="12"/>
  <c r="R27" i="12"/>
  <c r="N24" i="6"/>
  <c r="I24" i="6"/>
  <c r="M24" i="12" s="1"/>
  <c r="S22" i="12"/>
  <c r="Q22" i="12"/>
  <c r="B22" i="6"/>
  <c r="F22" i="6"/>
  <c r="J22" i="6"/>
  <c r="N22" i="6"/>
  <c r="N19" i="6"/>
  <c r="I19" i="6"/>
  <c r="M19" i="12" s="1"/>
  <c r="Q16" i="12"/>
  <c r="D16" i="6"/>
  <c r="H16" i="6"/>
  <c r="L16" i="6"/>
  <c r="O14" i="6"/>
  <c r="I14" i="6"/>
  <c r="Q14" i="12" s="1"/>
  <c r="Q11" i="12"/>
  <c r="P11" i="12"/>
  <c r="C11" i="6"/>
  <c r="L11" i="5" s="1"/>
  <c r="M11" i="5" s="1"/>
  <c r="G11" i="6"/>
  <c r="K11" i="6"/>
  <c r="N11" i="12" s="1"/>
  <c r="O11" i="6"/>
  <c r="N8" i="6"/>
  <c r="I8" i="6"/>
  <c r="Q8" i="12" s="1"/>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Q29" i="12"/>
  <c r="P29" i="12"/>
  <c r="Q24" i="12"/>
  <c r="D24" i="6"/>
  <c r="H24" i="6"/>
  <c r="L24" i="6"/>
  <c r="Q19" i="12"/>
  <c r="P19" i="12"/>
  <c r="C19" i="6"/>
  <c r="L19" i="5" s="1"/>
  <c r="M19" i="5" s="1"/>
  <c r="G19" i="6"/>
  <c r="K19" i="6"/>
  <c r="N19" i="12" s="1"/>
  <c r="O19" i="6"/>
  <c r="S14" i="12"/>
  <c r="B14" i="6"/>
  <c r="F14" i="6"/>
  <c r="J14" i="6"/>
  <c r="N14" i="6"/>
  <c r="D8" i="6"/>
  <c r="H8" i="6"/>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S25" i="12"/>
  <c r="Q25" i="12"/>
  <c r="P25" i="12"/>
  <c r="R25" i="12"/>
  <c r="S21" i="12"/>
  <c r="Q21" i="12"/>
  <c r="P21" i="12"/>
  <c r="R21" i="12"/>
  <c r="S17" i="12"/>
  <c r="Q17" i="12"/>
  <c r="P17" i="12"/>
  <c r="R17" i="12"/>
  <c r="S13" i="12"/>
  <c r="Q13" i="12"/>
  <c r="P13" i="12"/>
  <c r="R13" i="12"/>
  <c r="S9" i="12"/>
  <c r="Q9"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N190" i="12"/>
  <c r="K188" i="12"/>
  <c r="K184" i="12"/>
  <c r="K180" i="12"/>
  <c r="K176" i="12"/>
  <c r="O172" i="12"/>
  <c r="G172" i="12"/>
  <c r="D170" i="12"/>
  <c r="H170" i="12"/>
  <c r="L170" i="12"/>
  <c r="P170" i="12"/>
  <c r="B170" i="12"/>
  <c r="F170" i="12"/>
  <c r="J170" i="12"/>
  <c r="N170" i="12"/>
  <c r="R170" i="12"/>
  <c r="O168" i="12"/>
  <c r="G168" i="12"/>
  <c r="D166" i="12"/>
  <c r="H166" i="12"/>
  <c r="L166" i="12"/>
  <c r="P166" i="12"/>
  <c r="B166" i="12"/>
  <c r="F166" i="12"/>
  <c r="J166" i="12"/>
  <c r="N166" i="12"/>
  <c r="R166" i="12"/>
  <c r="O164" i="12"/>
  <c r="G164" i="12"/>
  <c r="M158"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J188" i="12"/>
  <c r="N188" i="12"/>
  <c r="D188" i="12"/>
  <c r="H188" i="12"/>
  <c r="L188" i="12"/>
  <c r="B184" i="12"/>
  <c r="F184" i="12"/>
  <c r="J184" i="12"/>
  <c r="N184" i="12"/>
  <c r="D184" i="12"/>
  <c r="H184" i="12"/>
  <c r="L184" i="12"/>
  <c r="B180" i="12"/>
  <c r="F180" i="12"/>
  <c r="J180" i="12"/>
  <c r="N180" i="12"/>
  <c r="D180" i="12"/>
  <c r="H180" i="12"/>
  <c r="L180" i="12"/>
  <c r="B176" i="12"/>
  <c r="F176" i="12"/>
  <c r="J176" i="12"/>
  <c r="N176" i="12"/>
  <c r="D176" i="12"/>
  <c r="H176" i="12"/>
  <c r="L176" i="12"/>
  <c r="M172" i="12"/>
  <c r="E172" i="12"/>
  <c r="M168" i="12"/>
  <c r="E168" i="12"/>
  <c r="M164" i="12"/>
  <c r="E164" i="12"/>
  <c r="C162" i="12"/>
  <c r="G162" i="12"/>
  <c r="K162" i="12"/>
  <c r="O162" i="12"/>
  <c r="S162" i="12"/>
  <c r="D162" i="12"/>
  <c r="H162" i="12"/>
  <c r="L162" i="12"/>
  <c r="P162" i="12"/>
  <c r="B162" i="12"/>
  <c r="F162" i="12"/>
  <c r="J162" i="12"/>
  <c r="N162" i="12"/>
  <c r="R162" i="12"/>
  <c r="I158" i="12"/>
  <c r="C154" i="12"/>
  <c r="G154" i="12"/>
  <c r="K154" i="12"/>
  <c r="O154" i="12"/>
  <c r="S154" i="12"/>
  <c r="D154" i="12"/>
  <c r="H154" i="12"/>
  <c r="L154" i="12"/>
  <c r="P154" i="12"/>
  <c r="B154" i="12"/>
  <c r="F154" i="12"/>
  <c r="J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M190" i="12"/>
  <c r="E190" i="12"/>
  <c r="O188" i="12"/>
  <c r="G188" i="12"/>
  <c r="D186" i="12"/>
  <c r="H186" i="12"/>
  <c r="L186" i="12"/>
  <c r="B186" i="12"/>
  <c r="F186" i="12"/>
  <c r="J186" i="12"/>
  <c r="N186" i="12"/>
  <c r="O184" i="12"/>
  <c r="G184" i="12"/>
  <c r="D182" i="12"/>
  <c r="H182" i="12"/>
  <c r="L182" i="12"/>
  <c r="B182" i="12"/>
  <c r="F182" i="12"/>
  <c r="J182" i="12"/>
  <c r="N182" i="12"/>
  <c r="O180" i="12"/>
  <c r="G180" i="12"/>
  <c r="D178" i="12"/>
  <c r="H178" i="12"/>
  <c r="L178" i="12"/>
  <c r="B178" i="12"/>
  <c r="F178" i="12"/>
  <c r="J178" i="12"/>
  <c r="N178" i="12"/>
  <c r="O176" i="12"/>
  <c r="G176" i="12"/>
  <c r="D174" i="12"/>
  <c r="H174" i="12"/>
  <c r="L174" i="12"/>
  <c r="B174" i="12"/>
  <c r="F174" i="12"/>
  <c r="J174" i="12"/>
  <c r="N174" i="12"/>
  <c r="S172" i="12"/>
  <c r="K172" i="12"/>
  <c r="M170" i="12"/>
  <c r="E170" i="12"/>
  <c r="S168" i="12"/>
  <c r="K168" i="12"/>
  <c r="M166" i="12"/>
  <c r="E166" i="12"/>
  <c r="S164" i="12"/>
  <c r="K164" i="12"/>
  <c r="M162" i="12"/>
  <c r="M154"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J172" i="12"/>
  <c r="N172" i="12"/>
  <c r="R172" i="12"/>
  <c r="D172" i="12"/>
  <c r="H172" i="12"/>
  <c r="L172" i="12"/>
  <c r="P172" i="12"/>
  <c r="B168" i="12"/>
  <c r="F168" i="12"/>
  <c r="J168" i="12"/>
  <c r="N168" i="12"/>
  <c r="R168" i="12"/>
  <c r="D168" i="12"/>
  <c r="H168" i="12"/>
  <c r="L168" i="12"/>
  <c r="P168" i="12"/>
  <c r="B164" i="12"/>
  <c r="F164" i="12"/>
  <c r="J164" i="12"/>
  <c r="N164" i="12"/>
  <c r="R164" i="12"/>
  <c r="D164" i="12"/>
  <c r="H164" i="12"/>
  <c r="L164" i="12"/>
  <c r="P164" i="12"/>
  <c r="C158" i="12"/>
  <c r="G158" i="12"/>
  <c r="K158" i="12"/>
  <c r="O158" i="12"/>
  <c r="S158" i="12"/>
  <c r="D158" i="12"/>
  <c r="H158" i="12"/>
  <c r="L158" i="12"/>
  <c r="P158" i="12"/>
  <c r="B158" i="12"/>
  <c r="F158" i="12"/>
  <c r="J158" i="12"/>
  <c r="N158" i="12"/>
  <c r="R158" i="12"/>
  <c r="O16" i="11"/>
  <c r="K16" i="11"/>
  <c r="G16" i="11"/>
  <c r="O12" i="11"/>
  <c r="K12" i="11"/>
  <c r="G12" i="11"/>
  <c r="O8" i="11"/>
  <c r="K8" i="11"/>
  <c r="G8" i="11"/>
  <c r="O187" i="12"/>
  <c r="K187" i="12"/>
  <c r="G187" i="12"/>
  <c r="O183" i="12"/>
  <c r="K183" i="12"/>
  <c r="G183" i="12"/>
  <c r="O179" i="12"/>
  <c r="K179" i="12"/>
  <c r="G179" i="12"/>
  <c r="O175" i="12"/>
  <c r="K175" i="12"/>
  <c r="G175" i="12"/>
  <c r="S171" i="12"/>
  <c r="O171" i="12"/>
  <c r="K171" i="12"/>
  <c r="G171" i="12"/>
  <c r="S167" i="12"/>
  <c r="O167" i="12"/>
  <c r="K167" i="12"/>
  <c r="G167" i="12"/>
  <c r="S163" i="12"/>
  <c r="O163" i="12"/>
  <c r="K163" i="12"/>
  <c r="G163" i="12"/>
  <c r="P160" i="12"/>
  <c r="L160" i="12"/>
  <c r="H160" i="12"/>
  <c r="D160" i="12"/>
  <c r="S159" i="12"/>
  <c r="O159" i="12"/>
  <c r="K159" i="12"/>
  <c r="G159" i="12"/>
  <c r="P156" i="12"/>
  <c r="L156" i="12"/>
  <c r="H156" i="12"/>
  <c r="D156" i="12"/>
  <c r="S155" i="12"/>
  <c r="O155" i="12"/>
  <c r="K155" i="12"/>
  <c r="G155" i="12"/>
  <c r="P152" i="12"/>
  <c r="L152" i="12"/>
  <c r="H152" i="12"/>
  <c r="D152" i="12"/>
  <c r="S151" i="12"/>
  <c r="O151" i="12"/>
  <c r="K151" i="12"/>
  <c r="G151" i="12"/>
  <c r="R150" i="12"/>
  <c r="N150" i="12"/>
  <c r="J150" i="12"/>
  <c r="F150" i="12"/>
  <c r="B150" i="12"/>
  <c r="P148" i="12"/>
  <c r="L148" i="12"/>
  <c r="H148" i="12"/>
  <c r="D148" i="12"/>
  <c r="S147" i="12"/>
  <c r="O147" i="12"/>
  <c r="K147" i="12"/>
  <c r="G147" i="12"/>
  <c r="R146" i="12"/>
  <c r="N146" i="12"/>
  <c r="J146" i="12"/>
  <c r="F146" i="12"/>
  <c r="B146" i="12"/>
  <c r="P144" i="12"/>
  <c r="L144" i="12"/>
  <c r="H144" i="12"/>
  <c r="D144" i="12"/>
  <c r="R142" i="12"/>
  <c r="M142" i="12"/>
  <c r="G142" i="12"/>
  <c r="P141" i="12"/>
  <c r="J141" i="12"/>
  <c r="E141" i="12"/>
  <c r="S140" i="12"/>
  <c r="M140" i="12"/>
  <c r="D138" i="12"/>
  <c r="H138" i="12"/>
  <c r="L138" i="12"/>
  <c r="P138" i="12"/>
  <c r="N137" i="12"/>
  <c r="I137" i="12"/>
  <c r="B136" i="12"/>
  <c r="F136" i="12"/>
  <c r="J136" i="12"/>
  <c r="N136" i="12"/>
  <c r="R136" i="12"/>
  <c r="O134" i="12"/>
  <c r="J134" i="12"/>
  <c r="E134" i="12"/>
  <c r="R133" i="12"/>
  <c r="M133" i="12"/>
  <c r="H133" i="12"/>
  <c r="P132" i="12"/>
  <c r="K132" i="12"/>
  <c r="E132" i="12"/>
  <c r="S130" i="12"/>
  <c r="N130" i="12"/>
  <c r="I130" i="12"/>
  <c r="C129" i="12"/>
  <c r="G129" i="12"/>
  <c r="K129" i="12"/>
  <c r="O129" i="12"/>
  <c r="S129" i="12"/>
  <c r="O128" i="12"/>
  <c r="I128" i="12"/>
  <c r="R126" i="12"/>
  <c r="M126" i="12"/>
  <c r="G126" i="12"/>
  <c r="P125" i="12"/>
  <c r="J125" i="12"/>
  <c r="E125" i="12"/>
  <c r="S124" i="12"/>
  <c r="M124" i="12"/>
  <c r="D122" i="12"/>
  <c r="H122" i="12"/>
  <c r="L122" i="12"/>
  <c r="P122" i="12"/>
  <c r="S120" i="12"/>
  <c r="K120" i="12"/>
  <c r="B118" i="12"/>
  <c r="F118" i="12"/>
  <c r="J118" i="12"/>
  <c r="N118" i="12"/>
  <c r="R118" i="12"/>
  <c r="D118" i="12"/>
  <c r="H118" i="12"/>
  <c r="L118" i="12"/>
  <c r="P118" i="12"/>
  <c r="S116" i="12"/>
  <c r="K116" i="12"/>
  <c r="B114" i="12"/>
  <c r="F114" i="12"/>
  <c r="J114" i="12"/>
  <c r="N114" i="12"/>
  <c r="R114" i="12"/>
  <c r="D114" i="12"/>
  <c r="H114" i="12"/>
  <c r="L114" i="12"/>
  <c r="P114" i="12"/>
  <c r="S112" i="12"/>
  <c r="K112" i="12"/>
  <c r="B110" i="12"/>
  <c r="F110" i="12"/>
  <c r="J110" i="12"/>
  <c r="N110" i="12"/>
  <c r="R110" i="12"/>
  <c r="D110" i="12"/>
  <c r="L110" i="12"/>
  <c r="P110" i="12"/>
  <c r="S108" i="12"/>
  <c r="K108" i="12"/>
  <c r="B106" i="12"/>
  <c r="F106" i="12"/>
  <c r="J106" i="12"/>
  <c r="N106" i="12"/>
  <c r="R106" i="12"/>
  <c r="D106" i="12"/>
  <c r="H106" i="12"/>
  <c r="L106" i="12"/>
  <c r="P106" i="12"/>
  <c r="S104" i="12"/>
  <c r="K104" i="12"/>
  <c r="B102" i="12"/>
  <c r="F102" i="12"/>
  <c r="J102" i="12"/>
  <c r="N102" i="12"/>
  <c r="R102" i="12"/>
  <c r="D102" i="12"/>
  <c r="L102" i="12"/>
  <c r="P102" i="12"/>
  <c r="S100" i="12"/>
  <c r="K100" i="12"/>
  <c r="D142" i="12"/>
  <c r="H142" i="12"/>
  <c r="L142" i="12"/>
  <c r="P142" i="12"/>
  <c r="B140" i="12"/>
  <c r="F140" i="12"/>
  <c r="N140" i="12"/>
  <c r="R140" i="12"/>
  <c r="C133" i="12"/>
  <c r="G133" i="12"/>
  <c r="K133" i="12"/>
  <c r="O133" i="12"/>
  <c r="S133" i="12"/>
  <c r="D126" i="12"/>
  <c r="H126" i="12"/>
  <c r="L126" i="12"/>
  <c r="P126" i="12"/>
  <c r="B124" i="12"/>
  <c r="F124" i="12"/>
  <c r="N124" i="12"/>
  <c r="R124" i="12"/>
  <c r="D120" i="12"/>
  <c r="H120" i="12"/>
  <c r="L120" i="12"/>
  <c r="P120" i="12"/>
  <c r="B120" i="12"/>
  <c r="F120" i="12"/>
  <c r="J120" i="12"/>
  <c r="N120" i="12"/>
  <c r="R120" i="12"/>
  <c r="D116" i="12"/>
  <c r="H116" i="12"/>
  <c r="L116" i="12"/>
  <c r="P116" i="12"/>
  <c r="B116" i="12"/>
  <c r="F116" i="12"/>
  <c r="J116" i="12"/>
  <c r="N116" i="12"/>
  <c r="R116" i="12"/>
  <c r="D112" i="12"/>
  <c r="H112" i="12"/>
  <c r="L112" i="12"/>
  <c r="P112" i="12"/>
  <c r="B112" i="12"/>
  <c r="F112" i="12"/>
  <c r="J112" i="12"/>
  <c r="N112" i="12"/>
  <c r="R112" i="12"/>
  <c r="D108" i="12"/>
  <c r="H108" i="12"/>
  <c r="L108" i="12"/>
  <c r="P108" i="12"/>
  <c r="B108" i="12"/>
  <c r="F108" i="12"/>
  <c r="J108" i="12"/>
  <c r="N108" i="12"/>
  <c r="R108" i="12"/>
  <c r="D104" i="12"/>
  <c r="H104" i="12"/>
  <c r="L104" i="12"/>
  <c r="P104" i="12"/>
  <c r="B104" i="12"/>
  <c r="F104" i="12"/>
  <c r="J104" i="12"/>
  <c r="N104" i="12"/>
  <c r="R104" i="12"/>
  <c r="D100" i="12"/>
  <c r="H100" i="12"/>
  <c r="L100" i="12"/>
  <c r="P100" i="12"/>
  <c r="B100" i="12"/>
  <c r="F100" i="12"/>
  <c r="J100" i="12"/>
  <c r="N100" i="12"/>
  <c r="R100" i="12"/>
  <c r="R160" i="12"/>
  <c r="N160" i="12"/>
  <c r="J160" i="12"/>
  <c r="F160" i="12"/>
  <c r="R156" i="12"/>
  <c r="N156" i="12"/>
  <c r="J156" i="12"/>
  <c r="F156" i="12"/>
  <c r="R152" i="12"/>
  <c r="N152" i="12"/>
  <c r="J152" i="12"/>
  <c r="F152" i="12"/>
  <c r="P150" i="12"/>
  <c r="L150" i="12"/>
  <c r="H150" i="12"/>
  <c r="D150" i="12"/>
  <c r="R148" i="12"/>
  <c r="N148" i="12"/>
  <c r="J148" i="12"/>
  <c r="F148" i="12"/>
  <c r="P146" i="12"/>
  <c r="L146" i="12"/>
  <c r="H146" i="12"/>
  <c r="D146" i="12"/>
  <c r="R144" i="12"/>
  <c r="N144" i="12"/>
  <c r="J144" i="12"/>
  <c r="F144" i="12"/>
  <c r="O142" i="12"/>
  <c r="J142" i="12"/>
  <c r="E142" i="12"/>
  <c r="R141" i="12"/>
  <c r="M141" i="12"/>
  <c r="H141" i="12"/>
  <c r="P140" i="12"/>
  <c r="E140" i="12"/>
  <c r="C137" i="12"/>
  <c r="G137" i="12"/>
  <c r="K137" i="12"/>
  <c r="O137" i="12"/>
  <c r="S137" i="12"/>
  <c r="R134" i="12"/>
  <c r="M134" i="12"/>
  <c r="G134" i="12"/>
  <c r="P133" i="12"/>
  <c r="J133" i="12"/>
  <c r="E133" i="12"/>
  <c r="S132" i="12"/>
  <c r="M132" i="12"/>
  <c r="H132" i="12"/>
  <c r="D130" i="12"/>
  <c r="H130" i="12"/>
  <c r="L130" i="12"/>
  <c r="P130" i="12"/>
  <c r="B128" i="12"/>
  <c r="F128" i="12"/>
  <c r="J128" i="12"/>
  <c r="N128" i="12"/>
  <c r="R128" i="12"/>
  <c r="O126" i="12"/>
  <c r="J126" i="12"/>
  <c r="E126" i="12"/>
  <c r="R125" i="12"/>
  <c r="M125" i="12"/>
  <c r="H125" i="12"/>
  <c r="P124" i="12"/>
  <c r="E124" i="12"/>
  <c r="O120" i="12"/>
  <c r="G120" i="12"/>
  <c r="O116" i="12"/>
  <c r="G116" i="12"/>
  <c r="O112" i="12"/>
  <c r="G112" i="12"/>
  <c r="O108" i="12"/>
  <c r="G108" i="12"/>
  <c r="M106" i="12"/>
  <c r="E106" i="12"/>
  <c r="O104" i="12"/>
  <c r="G104" i="12"/>
  <c r="M102" i="12"/>
  <c r="E102" i="12"/>
  <c r="O100" i="12"/>
  <c r="G100" i="12"/>
  <c r="C96" i="12"/>
  <c r="G96" i="12"/>
  <c r="K96" i="12"/>
  <c r="O96" i="12"/>
  <c r="S96" i="12"/>
  <c r="D96" i="12"/>
  <c r="H96" i="12"/>
  <c r="L96" i="12"/>
  <c r="P96" i="12"/>
  <c r="B96" i="12"/>
  <c r="F96" i="12"/>
  <c r="J96" i="12"/>
  <c r="N96" i="12"/>
  <c r="R96" i="12"/>
  <c r="S150" i="12"/>
  <c r="O150" i="12"/>
  <c r="G150" i="12"/>
  <c r="S146" i="12"/>
  <c r="O146" i="12"/>
  <c r="K146" i="12"/>
  <c r="G146" i="12"/>
  <c r="S142" i="12"/>
  <c r="N142" i="12"/>
  <c r="I142" i="12"/>
  <c r="C142" i="12"/>
  <c r="C141" i="12"/>
  <c r="G141" i="12"/>
  <c r="O141" i="12"/>
  <c r="S141" i="12"/>
  <c r="O140" i="12"/>
  <c r="D140" i="12"/>
  <c r="D134" i="12"/>
  <c r="H134" i="12"/>
  <c r="L134" i="12"/>
  <c r="P134" i="12"/>
  <c r="N133" i="12"/>
  <c r="I133" i="12"/>
  <c r="D133" i="12"/>
  <c r="B132" i="12"/>
  <c r="F132" i="12"/>
  <c r="J132" i="12"/>
  <c r="N132" i="12"/>
  <c r="R132" i="12"/>
  <c r="S126" i="12"/>
  <c r="N126" i="12"/>
  <c r="I126" i="12"/>
  <c r="C126" i="12"/>
  <c r="C125" i="12"/>
  <c r="G125" i="12"/>
  <c r="K125" i="12"/>
  <c r="O125" i="12"/>
  <c r="S125" i="12"/>
  <c r="O124" i="12"/>
  <c r="D124" i="12"/>
  <c r="M120" i="12"/>
  <c r="E120" i="12"/>
  <c r="M116" i="12"/>
  <c r="E116" i="12"/>
  <c r="M112" i="12"/>
  <c r="E112" i="12"/>
  <c r="M108" i="12"/>
  <c r="E108" i="12"/>
  <c r="M104" i="12"/>
  <c r="E104" i="12"/>
  <c r="M100" i="12"/>
  <c r="E100" i="12"/>
  <c r="S121" i="12"/>
  <c r="O121" i="12"/>
  <c r="K121" i="12"/>
  <c r="G121" i="12"/>
  <c r="S117" i="12"/>
  <c r="O117" i="12"/>
  <c r="K117" i="12"/>
  <c r="G117" i="12"/>
  <c r="S113" i="12"/>
  <c r="O113" i="12"/>
  <c r="K113" i="12"/>
  <c r="G113" i="12"/>
  <c r="S109" i="12"/>
  <c r="O109" i="12"/>
  <c r="K109" i="12"/>
  <c r="G109" i="12"/>
  <c r="S105" i="12"/>
  <c r="O105" i="12"/>
  <c r="K105" i="12"/>
  <c r="G105" i="12"/>
  <c r="S101" i="12"/>
  <c r="O101" i="12"/>
  <c r="K101" i="12"/>
  <c r="G101" i="12"/>
  <c r="P98" i="12"/>
  <c r="L98" i="12"/>
  <c r="H98" i="12"/>
  <c r="D98" i="12"/>
  <c r="S97" i="12"/>
  <c r="O97" i="12"/>
  <c r="K97" i="12"/>
  <c r="G97" i="12"/>
  <c r="P94" i="12"/>
  <c r="L94" i="12"/>
  <c r="H94" i="12"/>
  <c r="D94" i="12"/>
  <c r="S93" i="12"/>
  <c r="O93" i="12"/>
  <c r="K93" i="12"/>
  <c r="G93" i="12"/>
  <c r="R92" i="12"/>
  <c r="N92" i="12"/>
  <c r="J92" i="12"/>
  <c r="F92" i="12"/>
  <c r="B92" i="12"/>
  <c r="P90" i="12"/>
  <c r="L90" i="12"/>
  <c r="H90" i="12"/>
  <c r="D90" i="12"/>
  <c r="S89" i="12"/>
  <c r="O89" i="12"/>
  <c r="K89" i="12"/>
  <c r="G89" i="12"/>
  <c r="R88" i="12"/>
  <c r="N88" i="12"/>
  <c r="J88" i="12"/>
  <c r="F88" i="12"/>
  <c r="B88" i="12"/>
  <c r="P86" i="12"/>
  <c r="L86" i="12"/>
  <c r="H86" i="12"/>
  <c r="D86" i="12"/>
  <c r="S85" i="12"/>
  <c r="O85" i="12"/>
  <c r="K85" i="12"/>
  <c r="G85" i="12"/>
  <c r="R84" i="12"/>
  <c r="N84" i="12"/>
  <c r="J84" i="12"/>
  <c r="F84" i="12"/>
  <c r="B84" i="12"/>
  <c r="S81" i="12"/>
  <c r="N81" i="12"/>
  <c r="I81" i="12"/>
  <c r="C80" i="12"/>
  <c r="G80" i="12"/>
  <c r="K80" i="12"/>
  <c r="O80" i="12"/>
  <c r="S80" i="12"/>
  <c r="O79" i="12"/>
  <c r="I79" i="12"/>
  <c r="R77" i="12"/>
  <c r="M77" i="12"/>
  <c r="G77" i="12"/>
  <c r="P76" i="12"/>
  <c r="J76" i="12"/>
  <c r="E76" i="12"/>
  <c r="S75" i="12"/>
  <c r="M75" i="12"/>
  <c r="H75" i="12"/>
  <c r="D73" i="12"/>
  <c r="H73" i="12"/>
  <c r="L73" i="12"/>
  <c r="P73" i="12"/>
  <c r="B71" i="12"/>
  <c r="F71" i="12"/>
  <c r="J71" i="12"/>
  <c r="N71" i="12"/>
  <c r="R71" i="12"/>
  <c r="D71" i="12"/>
  <c r="H71" i="12"/>
  <c r="L71" i="12"/>
  <c r="P71" i="12"/>
  <c r="O69" i="12"/>
  <c r="G69" i="12"/>
  <c r="R68" i="12"/>
  <c r="I68" i="12"/>
  <c r="Q67" i="12"/>
  <c r="O66" i="12"/>
  <c r="D60" i="12"/>
  <c r="H60" i="12"/>
  <c r="L60" i="12"/>
  <c r="P60" i="12"/>
  <c r="B60" i="12"/>
  <c r="G60" i="12"/>
  <c r="M60" i="12"/>
  <c r="R60" i="12"/>
  <c r="E60" i="12"/>
  <c r="J60" i="12"/>
  <c r="O60" i="12"/>
  <c r="I59" i="12"/>
  <c r="Q58" i="12"/>
  <c r="Q52" i="12"/>
  <c r="N51" i="12"/>
  <c r="D77" i="12"/>
  <c r="H77" i="12"/>
  <c r="L77" i="12"/>
  <c r="P77" i="12"/>
  <c r="B75" i="12"/>
  <c r="F75" i="12"/>
  <c r="J75" i="12"/>
  <c r="N75" i="12"/>
  <c r="R75" i="12"/>
  <c r="B66" i="12"/>
  <c r="F66" i="12"/>
  <c r="J66" i="12"/>
  <c r="N66" i="12"/>
  <c r="R66" i="12"/>
  <c r="E66" i="12"/>
  <c r="K66" i="12"/>
  <c r="P66" i="12"/>
  <c r="C66" i="12"/>
  <c r="H66" i="12"/>
  <c r="M66" i="12"/>
  <c r="S66" i="12"/>
  <c r="C51" i="12"/>
  <c r="G51" i="12"/>
  <c r="K51" i="12"/>
  <c r="O51" i="12"/>
  <c r="S51" i="12"/>
  <c r="B51" i="12"/>
  <c r="H51" i="12"/>
  <c r="M51" i="12"/>
  <c r="R51" i="12"/>
  <c r="E51" i="12"/>
  <c r="J51" i="12"/>
  <c r="P51" i="12"/>
  <c r="B50" i="12"/>
  <c r="F50" i="12"/>
  <c r="J50" i="12"/>
  <c r="N50" i="12"/>
  <c r="R50" i="12"/>
  <c r="D50" i="12"/>
  <c r="I50" i="12"/>
  <c r="O50" i="12"/>
  <c r="E50" i="12"/>
  <c r="K50" i="12"/>
  <c r="P50" i="12"/>
  <c r="C50" i="12"/>
  <c r="H50" i="12"/>
  <c r="M50" i="12"/>
  <c r="S50" i="12"/>
  <c r="R98" i="12"/>
  <c r="N98" i="12"/>
  <c r="J98" i="12"/>
  <c r="F98" i="12"/>
  <c r="R94" i="12"/>
  <c r="N94" i="12"/>
  <c r="J94" i="12"/>
  <c r="F94" i="12"/>
  <c r="P92" i="12"/>
  <c r="L92" i="12"/>
  <c r="H92" i="12"/>
  <c r="D92" i="12"/>
  <c r="R90" i="12"/>
  <c r="N90" i="12"/>
  <c r="J90" i="12"/>
  <c r="F90" i="12"/>
  <c r="P88" i="12"/>
  <c r="L88" i="12"/>
  <c r="H88" i="12"/>
  <c r="D88" i="12"/>
  <c r="R86" i="12"/>
  <c r="N86" i="12"/>
  <c r="J86" i="12"/>
  <c r="F86" i="12"/>
  <c r="P84" i="12"/>
  <c r="L84" i="12"/>
  <c r="H84" i="12"/>
  <c r="D84" i="12"/>
  <c r="D81" i="12"/>
  <c r="H81" i="12"/>
  <c r="L81" i="12"/>
  <c r="P81" i="12"/>
  <c r="B79" i="12"/>
  <c r="F79" i="12"/>
  <c r="J79" i="12"/>
  <c r="N79" i="12"/>
  <c r="R79" i="12"/>
  <c r="O77" i="12"/>
  <c r="J77" i="12"/>
  <c r="E77" i="12"/>
  <c r="R76" i="12"/>
  <c r="M76" i="12"/>
  <c r="H76" i="12"/>
  <c r="P75" i="12"/>
  <c r="K75" i="12"/>
  <c r="E75" i="12"/>
  <c r="S69" i="12"/>
  <c r="K69" i="12"/>
  <c r="N68" i="12"/>
  <c r="C67" i="12"/>
  <c r="G67" i="12"/>
  <c r="K67" i="12"/>
  <c r="O67" i="12"/>
  <c r="S67" i="12"/>
  <c r="B67" i="12"/>
  <c r="H67" i="12"/>
  <c r="M67" i="12"/>
  <c r="R67" i="12"/>
  <c r="E67" i="12"/>
  <c r="J67" i="12"/>
  <c r="P67" i="12"/>
  <c r="I66" i="12"/>
  <c r="N59" i="12"/>
  <c r="B58" i="12"/>
  <c r="F58" i="12"/>
  <c r="J58" i="12"/>
  <c r="N58" i="12"/>
  <c r="R58" i="12"/>
  <c r="C58" i="12"/>
  <c r="H58" i="12"/>
  <c r="M58" i="12"/>
  <c r="S58" i="12"/>
  <c r="E58" i="12"/>
  <c r="K58" i="12"/>
  <c r="P58" i="12"/>
  <c r="D52" i="12"/>
  <c r="H52" i="12"/>
  <c r="L52" i="12"/>
  <c r="P52" i="12"/>
  <c r="E52" i="12"/>
  <c r="J52" i="12"/>
  <c r="O52" i="12"/>
  <c r="B52" i="12"/>
  <c r="G52" i="12"/>
  <c r="M52" i="12"/>
  <c r="R52" i="12"/>
  <c r="I51" i="12"/>
  <c r="Q50" i="12"/>
  <c r="S92" i="12"/>
  <c r="O92" i="12"/>
  <c r="K92" i="12"/>
  <c r="G92" i="12"/>
  <c r="S88" i="12"/>
  <c r="O88" i="12"/>
  <c r="K88" i="12"/>
  <c r="G88" i="12"/>
  <c r="S84" i="12"/>
  <c r="O84" i="12"/>
  <c r="K84" i="12"/>
  <c r="G84" i="12"/>
  <c r="S77" i="12"/>
  <c r="N77" i="12"/>
  <c r="I77" i="12"/>
  <c r="C77" i="12"/>
  <c r="C76" i="12"/>
  <c r="G76" i="12"/>
  <c r="K76" i="12"/>
  <c r="O76" i="12"/>
  <c r="S76" i="12"/>
  <c r="O75" i="12"/>
  <c r="I75" i="12"/>
  <c r="D75" i="12"/>
  <c r="D69" i="12"/>
  <c r="H69" i="12"/>
  <c r="L69" i="12"/>
  <c r="P69" i="12"/>
  <c r="B69" i="12"/>
  <c r="F69" i="12"/>
  <c r="J69" i="12"/>
  <c r="N69" i="12"/>
  <c r="R69" i="12"/>
  <c r="D68" i="12"/>
  <c r="H68" i="12"/>
  <c r="L68" i="12"/>
  <c r="E68" i="12"/>
  <c r="J68" i="12"/>
  <c r="O68" i="12"/>
  <c r="S68" i="12"/>
  <c r="B68" i="12"/>
  <c r="G68" i="12"/>
  <c r="M68" i="12"/>
  <c r="Q68" i="12"/>
  <c r="Q66" i="12"/>
  <c r="G66" i="12"/>
  <c r="C59" i="12"/>
  <c r="G59" i="12"/>
  <c r="K59" i="12"/>
  <c r="O59" i="12"/>
  <c r="S59" i="12"/>
  <c r="E59" i="12"/>
  <c r="J59" i="12"/>
  <c r="P59" i="12"/>
  <c r="B59" i="12"/>
  <c r="H59" i="12"/>
  <c r="M59" i="12"/>
  <c r="R59" i="12"/>
  <c r="Q51" i="12"/>
  <c r="F51" i="12"/>
  <c r="L50" i="12"/>
  <c r="D64" i="12"/>
  <c r="H64" i="12"/>
  <c r="L64" i="12"/>
  <c r="P64" i="12"/>
  <c r="B62" i="12"/>
  <c r="F62" i="12"/>
  <c r="J62" i="12"/>
  <c r="N62" i="12"/>
  <c r="R62" i="12"/>
  <c r="C55" i="12"/>
  <c r="G55" i="12"/>
  <c r="K55" i="12"/>
  <c r="O55" i="12"/>
  <c r="S55" i="12"/>
  <c r="D48" i="12"/>
  <c r="H48" i="12"/>
  <c r="L48" i="12"/>
  <c r="P48" i="12"/>
  <c r="B46" i="12"/>
  <c r="F46" i="12"/>
  <c r="J46" i="12"/>
  <c r="N46" i="12"/>
  <c r="R46" i="12"/>
  <c r="O44" i="12"/>
  <c r="J44" i="12"/>
  <c r="E44" i="12"/>
  <c r="R43" i="12"/>
  <c r="M43" i="12"/>
  <c r="H43" i="12"/>
  <c r="P42" i="12"/>
  <c r="K42" i="12"/>
  <c r="E42" i="12"/>
  <c r="C39" i="12"/>
  <c r="G39" i="12"/>
  <c r="K39" i="12"/>
  <c r="O39" i="12"/>
  <c r="S39" i="12"/>
  <c r="R36" i="12"/>
  <c r="M36" i="12"/>
  <c r="G36" i="12"/>
  <c r="D34" i="12"/>
  <c r="H34" i="12"/>
  <c r="L34" i="12"/>
  <c r="P34" i="12"/>
  <c r="B34" i="12"/>
  <c r="F34" i="12"/>
  <c r="J34" i="12"/>
  <c r="N34" i="12"/>
  <c r="R34" i="12"/>
  <c r="O32" i="12"/>
  <c r="G32" i="12"/>
  <c r="D30" i="12"/>
  <c r="H30" i="12"/>
  <c r="L30" i="12"/>
  <c r="P30" i="12"/>
  <c r="B30" i="12"/>
  <c r="F30" i="12"/>
  <c r="J30" i="12"/>
  <c r="N30" i="12"/>
  <c r="R30" i="12"/>
  <c r="O28" i="12"/>
  <c r="G28" i="12"/>
  <c r="D26" i="12"/>
  <c r="H26" i="12"/>
  <c r="L26" i="12"/>
  <c r="P26" i="12"/>
  <c r="B26" i="12"/>
  <c r="F26" i="12"/>
  <c r="J26" i="12"/>
  <c r="N26" i="12"/>
  <c r="R26" i="12"/>
  <c r="O24" i="12"/>
  <c r="G24" i="12"/>
  <c r="D22" i="12"/>
  <c r="H22" i="12"/>
  <c r="L22" i="12"/>
  <c r="P22" i="12"/>
  <c r="B22" i="12"/>
  <c r="F22" i="12"/>
  <c r="J22" i="12"/>
  <c r="N22" i="12"/>
  <c r="R22" i="12"/>
  <c r="O20" i="12"/>
  <c r="G20" i="12"/>
  <c r="D18" i="12"/>
  <c r="H18" i="12"/>
  <c r="L18" i="12"/>
  <c r="P18" i="12"/>
  <c r="B18" i="12"/>
  <c r="F18" i="12"/>
  <c r="J18" i="12"/>
  <c r="N18" i="12"/>
  <c r="R18" i="12"/>
  <c r="O16" i="12"/>
  <c r="G16" i="12"/>
  <c r="D14" i="12"/>
  <c r="H14" i="12"/>
  <c r="L14" i="12"/>
  <c r="P14" i="12"/>
  <c r="B14" i="12"/>
  <c r="F14" i="12"/>
  <c r="J14" i="12"/>
  <c r="N14" i="12"/>
  <c r="R14" i="12"/>
  <c r="O12" i="12"/>
  <c r="G12" i="12"/>
  <c r="D10" i="12"/>
  <c r="H10" i="12"/>
  <c r="L10" i="12"/>
  <c r="P10" i="12"/>
  <c r="B10" i="12"/>
  <c r="F10" i="12"/>
  <c r="J10" i="12"/>
  <c r="N10" i="12"/>
  <c r="R10" i="12"/>
  <c r="O8" i="12"/>
  <c r="G8" i="12"/>
  <c r="C43" i="12"/>
  <c r="G43" i="12"/>
  <c r="K43" i="12"/>
  <c r="O43" i="12"/>
  <c r="S43" i="12"/>
  <c r="D36" i="12"/>
  <c r="H36" i="12"/>
  <c r="L36" i="12"/>
  <c r="P36" i="12"/>
  <c r="M8" i="12"/>
  <c r="E8" i="12"/>
  <c r="B187" i="13"/>
  <c r="F187" i="13"/>
  <c r="D187" i="13"/>
  <c r="B183" i="13"/>
  <c r="F183" i="13"/>
  <c r="D183" i="13"/>
  <c r="B179" i="13"/>
  <c r="F179" i="13"/>
  <c r="D179" i="13"/>
  <c r="S72" i="12"/>
  <c r="O72" i="12"/>
  <c r="K72" i="12"/>
  <c r="G72" i="12"/>
  <c r="S64" i="12"/>
  <c r="N64" i="12"/>
  <c r="I64" i="12"/>
  <c r="C64" i="12"/>
  <c r="C63" i="12"/>
  <c r="G63" i="12"/>
  <c r="K63" i="12"/>
  <c r="O63" i="12"/>
  <c r="S63" i="12"/>
  <c r="O62" i="12"/>
  <c r="I62" i="12"/>
  <c r="D62" i="12"/>
  <c r="D56" i="12"/>
  <c r="H56" i="12"/>
  <c r="L56" i="12"/>
  <c r="P56" i="12"/>
  <c r="N55" i="12"/>
  <c r="I55" i="12"/>
  <c r="D55" i="12"/>
  <c r="B54" i="12"/>
  <c r="F54" i="12"/>
  <c r="J54" i="12"/>
  <c r="N54" i="12"/>
  <c r="R54" i="12"/>
  <c r="S48" i="12"/>
  <c r="N48" i="12"/>
  <c r="I48" i="12"/>
  <c r="C48" i="12"/>
  <c r="C47" i="12"/>
  <c r="G47" i="12"/>
  <c r="K47" i="12"/>
  <c r="O47" i="12"/>
  <c r="S47" i="12"/>
  <c r="O46" i="12"/>
  <c r="I46" i="12"/>
  <c r="D46" i="12"/>
  <c r="R44" i="12"/>
  <c r="M44" i="12"/>
  <c r="G44" i="12"/>
  <c r="P43" i="12"/>
  <c r="J43" i="12"/>
  <c r="E43" i="12"/>
  <c r="S42" i="12"/>
  <c r="M42" i="12"/>
  <c r="H42" i="12"/>
  <c r="D40" i="12"/>
  <c r="L40" i="12"/>
  <c r="P40" i="12"/>
  <c r="N39" i="12"/>
  <c r="I39" i="12"/>
  <c r="D39" i="12"/>
  <c r="B38" i="12"/>
  <c r="F38" i="12"/>
  <c r="J38" i="12"/>
  <c r="N38" i="12"/>
  <c r="R38" i="12"/>
  <c r="O36" i="12"/>
  <c r="J36" i="12"/>
  <c r="E36" i="12"/>
  <c r="M34" i="12"/>
  <c r="E34" i="12"/>
  <c r="S32" i="12"/>
  <c r="M30" i="12"/>
  <c r="E30" i="12"/>
  <c r="S28" i="12"/>
  <c r="M26" i="12"/>
  <c r="E26" i="12"/>
  <c r="S24" i="12"/>
  <c r="K24" i="12"/>
  <c r="M22" i="12"/>
  <c r="E22" i="12"/>
  <c r="S20" i="12"/>
  <c r="K20" i="12"/>
  <c r="M18" i="12"/>
  <c r="E18" i="12"/>
  <c r="S16" i="12"/>
  <c r="K16" i="12"/>
  <c r="M14" i="12"/>
  <c r="E14" i="12"/>
  <c r="S12" i="12"/>
  <c r="K12" i="12"/>
  <c r="M10" i="12"/>
  <c r="E10" i="12"/>
  <c r="S8" i="12"/>
  <c r="K8" i="12"/>
  <c r="G187" i="13"/>
  <c r="D185" i="13"/>
  <c r="B185" i="13"/>
  <c r="F185" i="13"/>
  <c r="G183" i="13"/>
  <c r="D181" i="13"/>
  <c r="B181" i="13"/>
  <c r="F181" i="13"/>
  <c r="G179" i="13"/>
  <c r="C172" i="13"/>
  <c r="G172" i="13"/>
  <c r="B172" i="13"/>
  <c r="D172" i="13"/>
  <c r="E172" i="13"/>
  <c r="D44" i="12"/>
  <c r="H44" i="12"/>
  <c r="L44" i="12"/>
  <c r="P44" i="12"/>
  <c r="N43" i="12"/>
  <c r="I43" i="12"/>
  <c r="D43" i="12"/>
  <c r="B42" i="12"/>
  <c r="F42" i="12"/>
  <c r="J42" i="12"/>
  <c r="N42" i="12"/>
  <c r="R42" i="12"/>
  <c r="S36" i="12"/>
  <c r="N36" i="12"/>
  <c r="I36" i="12"/>
  <c r="C36" i="12"/>
  <c r="B32" i="12"/>
  <c r="F32" i="12"/>
  <c r="N32" i="12"/>
  <c r="R32" i="12"/>
  <c r="D32" i="12"/>
  <c r="L32" i="12"/>
  <c r="P32" i="12"/>
  <c r="B28" i="12"/>
  <c r="F28" i="12"/>
  <c r="N28" i="12"/>
  <c r="R28" i="12"/>
  <c r="D28" i="12"/>
  <c r="L28" i="12"/>
  <c r="P28" i="12"/>
  <c r="B24" i="12"/>
  <c r="F24" i="12"/>
  <c r="J24" i="12"/>
  <c r="N24" i="12"/>
  <c r="R24" i="12"/>
  <c r="D24" i="12"/>
  <c r="H24" i="12"/>
  <c r="L24" i="12"/>
  <c r="P24" i="12"/>
  <c r="B20" i="12"/>
  <c r="F20" i="12"/>
  <c r="J20" i="12"/>
  <c r="N20" i="12"/>
  <c r="R20" i="12"/>
  <c r="D20" i="12"/>
  <c r="H20" i="12"/>
  <c r="L20" i="12"/>
  <c r="P20" i="12"/>
  <c r="B16" i="12"/>
  <c r="F16" i="12"/>
  <c r="J16" i="12"/>
  <c r="N16" i="12"/>
  <c r="R16" i="12"/>
  <c r="D16" i="12"/>
  <c r="H16" i="12"/>
  <c r="L16" i="12"/>
  <c r="P16" i="12"/>
  <c r="B12" i="12"/>
  <c r="F12" i="12"/>
  <c r="J12" i="12"/>
  <c r="N12" i="12"/>
  <c r="R12" i="12"/>
  <c r="D12" i="12"/>
  <c r="H12" i="12"/>
  <c r="L12" i="12"/>
  <c r="P12" i="12"/>
  <c r="B8" i="12"/>
  <c r="F8" i="12"/>
  <c r="J8" i="12"/>
  <c r="N8" i="12"/>
  <c r="R8" i="12"/>
  <c r="D8" i="12"/>
  <c r="H8" i="12"/>
  <c r="L8" i="12"/>
  <c r="P8" i="12"/>
  <c r="S35" i="12"/>
  <c r="O35" i="12"/>
  <c r="K35" i="12"/>
  <c r="G35" i="12"/>
  <c r="S31" i="12"/>
  <c r="O31" i="12"/>
  <c r="K31" i="12"/>
  <c r="G31" i="12"/>
  <c r="S27" i="12"/>
  <c r="O27" i="12"/>
  <c r="K27" i="12"/>
  <c r="G27" i="12"/>
  <c r="S23" i="12"/>
  <c r="O23" i="12"/>
  <c r="K23" i="12"/>
  <c r="G23" i="12"/>
  <c r="S19" i="12"/>
  <c r="O19" i="12"/>
  <c r="K19" i="12"/>
  <c r="G19" i="12"/>
  <c r="S15" i="12"/>
  <c r="O15" i="12"/>
  <c r="K15" i="12"/>
  <c r="G15" i="12"/>
  <c r="S11" i="12"/>
  <c r="O11" i="12"/>
  <c r="K11" i="12"/>
  <c r="G11" i="12"/>
  <c r="S7" i="12"/>
  <c r="O7" i="12"/>
  <c r="K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G186" i="14" s="1"/>
  <c r="F186" i="14"/>
  <c r="B180" i="14"/>
  <c r="G180" i="14" s="1"/>
  <c r="F180" i="14"/>
  <c r="D180" i="14"/>
  <c r="E178" i="14"/>
  <c r="D176" i="14"/>
  <c r="E171" i="14"/>
  <c r="B170" i="14"/>
  <c r="G170" i="14" s="1"/>
  <c r="F170" i="14"/>
  <c r="E166" i="14"/>
  <c r="B163" i="14"/>
  <c r="E160" i="14"/>
  <c r="E155" i="14"/>
  <c r="B154" i="14"/>
  <c r="G154" i="14" s="1"/>
  <c r="F154" i="14"/>
  <c r="B152" i="14"/>
  <c r="E150" i="14"/>
  <c r="B147" i="14"/>
  <c r="E144" i="14"/>
  <c r="E139" i="14"/>
  <c r="B138" i="14"/>
  <c r="G138" i="14" s="1"/>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G171" i="14" s="1"/>
  <c r="D170" i="14"/>
  <c r="C164" i="14"/>
  <c r="E163" i="14"/>
  <c r="F3" i="21" s="1"/>
  <c r="B162" i="14"/>
  <c r="G162" i="14" s="1"/>
  <c r="F162" i="14"/>
  <c r="B160" i="14"/>
  <c r="G160" i="14" s="1"/>
  <c r="D159" i="14"/>
  <c r="E158" i="14"/>
  <c r="B155" i="14"/>
  <c r="D154" i="14"/>
  <c r="E152" i="14"/>
  <c r="C148" i="14"/>
  <c r="E147" i="14"/>
  <c r="B146" i="14"/>
  <c r="G146" i="14" s="1"/>
  <c r="F146" i="14"/>
  <c r="B144" i="14"/>
  <c r="G144" i="14" s="1"/>
  <c r="D143" i="14"/>
  <c r="E142" i="14"/>
  <c r="B139" i="14"/>
  <c r="D138" i="14"/>
  <c r="E136" i="14"/>
  <c r="E130" i="14"/>
  <c r="B128" i="14"/>
  <c r="G128" i="14" s="1"/>
  <c r="F128" i="14"/>
  <c r="D128" i="14"/>
  <c r="D122" i="14"/>
  <c r="B122" i="14"/>
  <c r="G122" i="14" s="1"/>
  <c r="F122" i="14"/>
  <c r="E120" i="14"/>
  <c r="E114" i="14"/>
  <c r="B112" i="14"/>
  <c r="G112" i="14" s="1"/>
  <c r="F112" i="14"/>
  <c r="D112" i="14"/>
  <c r="D106" i="14"/>
  <c r="B106" i="14"/>
  <c r="G106" i="14" s="1"/>
  <c r="F106" i="14"/>
  <c r="E104" i="14"/>
  <c r="E98" i="14"/>
  <c r="B96" i="14"/>
  <c r="G96" i="14" s="1"/>
  <c r="F96" i="14"/>
  <c r="D96" i="14"/>
  <c r="D90" i="14"/>
  <c r="B90" i="14"/>
  <c r="G90" i="14" s="1"/>
  <c r="F90" i="14"/>
  <c r="E88" i="14"/>
  <c r="C82" i="14"/>
  <c r="D82" i="14"/>
  <c r="B82" i="14"/>
  <c r="G82" i="14" s="1"/>
  <c r="F82" i="14"/>
  <c r="B166" i="14"/>
  <c r="F166" i="14"/>
  <c r="D163" i="14"/>
  <c r="G159" i="14"/>
  <c r="D158" i="14"/>
  <c r="C152" i="14"/>
  <c r="B150" i="14"/>
  <c r="F150" i="14"/>
  <c r="D147" i="14"/>
  <c r="G143" i="14"/>
  <c r="D142" i="14"/>
  <c r="C136" i="14"/>
  <c r="B134" i="14"/>
  <c r="G134" i="14" s="1"/>
  <c r="F134" i="14"/>
  <c r="B132" i="14"/>
  <c r="G132" i="14" s="1"/>
  <c r="D132" i="14"/>
  <c r="D126" i="14"/>
  <c r="B126" i="14"/>
  <c r="G126" i="14" s="1"/>
  <c r="F126" i="14"/>
  <c r="E124" i="14"/>
  <c r="E118" i="14"/>
  <c r="B116" i="14"/>
  <c r="G116" i="14" s="1"/>
  <c r="F116" i="14"/>
  <c r="D116" i="14"/>
  <c r="D110" i="14"/>
  <c r="B110" i="14"/>
  <c r="G110" i="14" s="1"/>
  <c r="F110" i="14"/>
  <c r="E108" i="14"/>
  <c r="E102" i="14"/>
  <c r="B100" i="14"/>
  <c r="G100" i="14" s="1"/>
  <c r="F100" i="14"/>
  <c r="D100" i="14"/>
  <c r="D94" i="14"/>
  <c r="B94" i="14"/>
  <c r="G94" i="14" s="1"/>
  <c r="F94" i="14"/>
  <c r="E92" i="14"/>
  <c r="E86" i="14"/>
  <c r="D84" i="14"/>
  <c r="D80" i="14"/>
  <c r="F78" i="14"/>
  <c r="B78" i="14"/>
  <c r="G78" i="14" s="1"/>
  <c r="D76" i="14"/>
  <c r="F74" i="14"/>
  <c r="B74" i="14"/>
  <c r="G74" i="14" s="1"/>
  <c r="D72" i="14"/>
  <c r="F70" i="14"/>
  <c r="B70" i="14"/>
  <c r="G70" i="14" s="1"/>
  <c r="D68" i="14"/>
  <c r="F66" i="14"/>
  <c r="B66" i="14"/>
  <c r="G66" i="14" s="1"/>
  <c r="D64" i="14"/>
  <c r="E62" i="14"/>
  <c r="B59" i="14"/>
  <c r="E56" i="14"/>
  <c r="C52" i="14"/>
  <c r="E51" i="14"/>
  <c r="B50" i="14"/>
  <c r="G50" i="14" s="1"/>
  <c r="F50" i="14"/>
  <c r="B48" i="14"/>
  <c r="B44" i="14"/>
  <c r="G44" i="14" s="1"/>
  <c r="F44" i="14"/>
  <c r="D44" i="14"/>
  <c r="D38" i="14"/>
  <c r="B38" i="14"/>
  <c r="G38" i="14" s="1"/>
  <c r="F38" i="14"/>
  <c r="B28" i="14"/>
  <c r="G28" i="14" s="1"/>
  <c r="F28" i="14"/>
  <c r="D28" i="14"/>
  <c r="D22" i="14"/>
  <c r="B22" i="14"/>
  <c r="G22" i="14" s="1"/>
  <c r="F22" i="14"/>
  <c r="B54" i="14"/>
  <c r="F54" i="14"/>
  <c r="D42" i="14"/>
  <c r="B42" i="14"/>
  <c r="F42" i="14"/>
  <c r="E40" i="14"/>
  <c r="G4" i="21"/>
  <c r="G37" i="14"/>
  <c r="B32" i="14"/>
  <c r="F32" i="14"/>
  <c r="D32" i="14"/>
  <c r="D26" i="14"/>
  <c r="B26" i="14"/>
  <c r="G26" i="14" s="1"/>
  <c r="F26" i="14"/>
  <c r="E24" i="14"/>
  <c r="F84" i="14"/>
  <c r="F80" i="14"/>
  <c r="D78" i="14"/>
  <c r="F76" i="14"/>
  <c r="D74" i="14"/>
  <c r="F72" i="14"/>
  <c r="D70" i="14"/>
  <c r="F68" i="14"/>
  <c r="D66" i="14"/>
  <c r="F64" i="14"/>
  <c r="E59" i="14"/>
  <c r="B58" i="14"/>
  <c r="G58" i="14" s="1"/>
  <c r="F58" i="14"/>
  <c r="B56" i="14"/>
  <c r="E54" i="14"/>
  <c r="B51" i="14"/>
  <c r="G51" i="14" s="1"/>
  <c r="E48" i="14"/>
  <c r="D46" i="14"/>
  <c r="B46" i="14"/>
  <c r="G46" i="14" s="1"/>
  <c r="F46" i="14"/>
  <c r="B36" i="14"/>
  <c r="G36" i="14" s="1"/>
  <c r="F36" i="14"/>
  <c r="D36" i="14"/>
  <c r="D30" i="14"/>
  <c r="B30" i="14"/>
  <c r="G30" i="14" s="1"/>
  <c r="F30" i="14"/>
  <c r="B62" i="14"/>
  <c r="G62" i="14" s="1"/>
  <c r="F62" i="14"/>
  <c r="G55" i="14"/>
  <c r="D54" i="14"/>
  <c r="C48" i="14"/>
  <c r="E42" i="14"/>
  <c r="B40" i="14"/>
  <c r="F40" i="14"/>
  <c r="D40" i="14"/>
  <c r="D34" i="14"/>
  <c r="B34" i="14"/>
  <c r="G34" i="14" s="1"/>
  <c r="F34" i="14"/>
  <c r="E32" i="14"/>
  <c r="B24" i="14"/>
  <c r="G24" i="14" s="1"/>
  <c r="F24" i="14"/>
  <c r="D24" i="14"/>
  <c r="D20" i="14"/>
  <c r="F18" i="14"/>
  <c r="B18" i="14"/>
  <c r="G18" i="14" s="1"/>
  <c r="D16" i="14"/>
  <c r="F14" i="14"/>
  <c r="B14" i="14"/>
  <c r="G14" i="14" s="1"/>
  <c r="D12" i="14"/>
  <c r="F10" i="14"/>
  <c r="B10" i="14"/>
  <c r="G10" i="14" s="1"/>
  <c r="D8" i="14"/>
  <c r="F20" i="14"/>
  <c r="D18" i="14"/>
  <c r="F16" i="14"/>
  <c r="D14" i="14"/>
  <c r="F12" i="14"/>
  <c r="D10" i="14"/>
  <c r="F8" i="14"/>
  <c r="F68" i="5" l="1"/>
  <c r="G68" i="5" s="1"/>
  <c r="F94" i="5"/>
  <c r="G94" i="5" s="1"/>
  <c r="F112" i="5"/>
  <c r="G112" i="5" s="1"/>
  <c r="F120" i="5"/>
  <c r="G120" i="5" s="1"/>
  <c r="F131" i="5"/>
  <c r="G131" i="5" s="1"/>
  <c r="F147" i="5"/>
  <c r="G147" i="5" s="1"/>
  <c r="F155" i="5"/>
  <c r="G155" i="5" s="1"/>
  <c r="F163" i="5"/>
  <c r="G163" i="5" s="1"/>
  <c r="K71" i="3"/>
  <c r="G166" i="14"/>
  <c r="F79" i="5"/>
  <c r="G79" i="5" s="1"/>
  <c r="F88" i="5"/>
  <c r="G88" i="5" s="1"/>
  <c r="F102" i="5"/>
  <c r="G102" i="5" s="1"/>
  <c r="F108" i="5"/>
  <c r="G108" i="5" s="1"/>
  <c r="F139" i="5"/>
  <c r="G139" i="5" s="1"/>
  <c r="F64" i="5"/>
  <c r="G64" i="5" s="1"/>
  <c r="F75" i="5"/>
  <c r="G75" i="5" s="1"/>
  <c r="F98" i="5"/>
  <c r="G98" i="5" s="1"/>
  <c r="F116" i="5"/>
  <c r="G116" i="5" s="1"/>
  <c r="F135" i="5"/>
  <c r="G135" i="5" s="1"/>
  <c r="F151" i="5"/>
  <c r="G151" i="5" s="1"/>
  <c r="F159" i="5"/>
  <c r="G159" i="5" s="1"/>
  <c r="K39" i="3"/>
  <c r="E82" i="5"/>
  <c r="F82" i="5" s="1"/>
  <c r="G82" i="5" s="1"/>
  <c r="G47" i="14"/>
  <c r="G88" i="14"/>
  <c r="G120" i="14"/>
  <c r="G93" i="14"/>
  <c r="G179" i="2"/>
  <c r="N47" i="2"/>
  <c r="O47" i="2" s="1"/>
  <c r="K189" i="3"/>
  <c r="E189" i="3"/>
  <c r="G139" i="14"/>
  <c r="G135" i="14"/>
  <c r="G156" i="14"/>
  <c r="B150" i="7"/>
  <c r="L150" i="7"/>
  <c r="K150" i="12" s="1"/>
  <c r="B187" i="7"/>
  <c r="F187" i="7"/>
  <c r="O187" i="7"/>
  <c r="G187" i="7"/>
  <c r="K187" i="7"/>
  <c r="J187" i="12" s="1"/>
  <c r="E187" i="7"/>
  <c r="M187" i="7"/>
  <c r="F54" i="7"/>
  <c r="L54" i="7"/>
  <c r="E54" i="7"/>
  <c r="G36" i="2"/>
  <c r="E110" i="7"/>
  <c r="J110" i="7"/>
  <c r="B110" i="7"/>
  <c r="H110" i="7"/>
  <c r="H110" i="12" s="1"/>
  <c r="B147" i="7"/>
  <c r="F147" i="7"/>
  <c r="G147" i="7"/>
  <c r="O147" i="7"/>
  <c r="F76" i="7"/>
  <c r="G76" i="7"/>
  <c r="N76" i="7"/>
  <c r="C141" i="7"/>
  <c r="O141" i="7"/>
  <c r="G141" i="7"/>
  <c r="L141" i="7"/>
  <c r="K141" i="12" s="1"/>
  <c r="D141" i="7"/>
  <c r="N111" i="2"/>
  <c r="O111" i="2" s="1"/>
  <c r="D28" i="7"/>
  <c r="H28" i="7"/>
  <c r="H28" i="12" s="1"/>
  <c r="L28" i="7"/>
  <c r="K28" i="12" s="1"/>
  <c r="E28" i="7"/>
  <c r="I28" i="7"/>
  <c r="M28" i="7"/>
  <c r="B28" i="7"/>
  <c r="F28" i="7"/>
  <c r="J28" i="7"/>
  <c r="N28" i="7"/>
  <c r="G28" i="7"/>
  <c r="K28" i="7"/>
  <c r="J28" i="12" s="1"/>
  <c r="O28" i="7"/>
  <c r="C28" i="7"/>
  <c r="B102" i="7"/>
  <c r="J102" i="7"/>
  <c r="E102" i="7"/>
  <c r="H102" i="7"/>
  <c r="H102" i="12" s="1"/>
  <c r="H62" i="7"/>
  <c r="H62" i="12" s="1"/>
  <c r="J62" i="7"/>
  <c r="L62" i="7"/>
  <c r="K62" i="12" s="1"/>
  <c r="B62" i="7"/>
  <c r="C125" i="7"/>
  <c r="I125" i="7"/>
  <c r="B164" i="7"/>
  <c r="G164" i="7"/>
  <c r="I164" i="7"/>
  <c r="I164"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H139" i="12"/>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D7" i="28"/>
  <c r="H94" i="8"/>
  <c r="H95" i="8" s="1"/>
  <c r="G114" i="14"/>
  <c r="G188" i="14"/>
  <c r="K119" i="12"/>
  <c r="K113" i="3"/>
  <c r="E120" i="3"/>
  <c r="H157" i="3"/>
  <c r="E128" i="3"/>
  <c r="E148" i="3"/>
  <c r="H161" i="3"/>
  <c r="G64" i="14"/>
  <c r="G117" i="14"/>
  <c r="G164" i="14"/>
  <c r="G45" i="14"/>
  <c r="G158" i="14"/>
  <c r="G145" i="14"/>
  <c r="E94" i="8"/>
  <c r="E95" i="8" s="1"/>
  <c r="E54" i="5"/>
  <c r="E132" i="3"/>
  <c r="E180" i="3"/>
  <c r="G72" i="14"/>
  <c r="G140" i="14"/>
  <c r="G121" i="14"/>
  <c r="G179" i="14"/>
  <c r="P148" i="5"/>
  <c r="P164" i="5"/>
  <c r="G68" i="14"/>
  <c r="G83" i="14"/>
  <c r="L191" i="5"/>
  <c r="M37" i="5"/>
  <c r="G37" i="5"/>
  <c r="G40" i="14"/>
  <c r="G42" i="14"/>
  <c r="G48" i="14"/>
  <c r="G150" i="14"/>
  <c r="G102" i="14"/>
  <c r="G108" i="14"/>
  <c r="G142" i="14"/>
  <c r="G147" i="14"/>
  <c r="G168" i="14"/>
  <c r="K209" i="11"/>
  <c r="K210" i="11" s="1"/>
  <c r="N209" i="11"/>
  <c r="N210" i="11" s="1"/>
  <c r="F212" i="10"/>
  <c r="N212" i="10"/>
  <c r="O212" i="10" s="1"/>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H131" i="12"/>
  <c r="I114" i="12"/>
  <c r="K142" i="12"/>
  <c r="I132" i="12"/>
  <c r="K126" i="12"/>
  <c r="J121" i="12"/>
  <c r="J113" i="12"/>
  <c r="I136" i="12"/>
  <c r="J127" i="12"/>
  <c r="J119" i="12"/>
  <c r="H136" i="12"/>
  <c r="J130" i="12"/>
  <c r="H119" i="12"/>
  <c r="I139" i="12"/>
  <c r="I123" i="12"/>
  <c r="H55" i="12"/>
  <c r="K53" i="12"/>
  <c r="H53" i="12"/>
  <c r="K49" i="12"/>
  <c r="H41" i="12"/>
  <c r="I34" i="12"/>
  <c r="I26" i="12"/>
  <c r="I18" i="12"/>
  <c r="I10" i="12"/>
  <c r="J39" i="12"/>
  <c r="H35" i="12"/>
  <c r="H27" i="12"/>
  <c r="H19" i="12"/>
  <c r="H11" i="12"/>
  <c r="K56" i="12"/>
  <c r="H25" i="12"/>
  <c r="H9" i="12"/>
  <c r="K44" i="12"/>
  <c r="K38" i="12"/>
  <c r="K30" i="12"/>
  <c r="K22" i="12"/>
  <c r="K14" i="12"/>
  <c r="I49" i="12"/>
  <c r="I33" i="12"/>
  <c r="I17" i="12"/>
  <c r="K33" i="12"/>
  <c r="K25" i="12"/>
  <c r="K17" i="12"/>
  <c r="K9" i="12"/>
  <c r="I191" i="5"/>
  <c r="F73" i="5"/>
  <c r="G73" i="5" s="1"/>
  <c r="F89" i="5"/>
  <c r="G89" i="5" s="1"/>
  <c r="F105" i="5"/>
  <c r="G105" i="5" s="1"/>
  <c r="E70" i="5"/>
  <c r="F70" i="5" s="1"/>
  <c r="G70" i="5" s="1"/>
  <c r="E74" i="5"/>
  <c r="E86" i="5"/>
  <c r="E90" i="5"/>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L212" i="10" s="1"/>
  <c r="R19" i="12"/>
  <c r="R41" i="12"/>
  <c r="S57" i="12"/>
  <c r="R23" i="12"/>
  <c r="S49" i="12"/>
  <c r="R93" i="12"/>
  <c r="R109" i="12"/>
  <c r="P80" i="12"/>
  <c r="R45" i="12"/>
  <c r="R121" i="12"/>
  <c r="B16" i="28"/>
  <c r="B18" i="28"/>
  <c r="C16" i="28"/>
  <c r="Q136" i="12"/>
  <c r="R147" i="12"/>
  <c r="R155" i="12"/>
  <c r="R163" i="12"/>
  <c r="R171" i="12"/>
  <c r="N159" i="12"/>
  <c r="N163" i="12"/>
  <c r="M130" i="12"/>
  <c r="N73" i="12"/>
  <c r="L62" i="12"/>
  <c r="L46" i="12"/>
  <c r="N7" i="12"/>
  <c r="N37" i="12"/>
  <c r="M65" i="12"/>
  <c r="M49" i="12"/>
  <c r="M33" i="12"/>
  <c r="Q7" i="12"/>
  <c r="S74" i="12"/>
  <c r="E124" i="7"/>
  <c r="I124" i="7"/>
  <c r="I124" i="12" s="1"/>
  <c r="M124" i="7"/>
  <c r="F124" i="7"/>
  <c r="K124" i="7"/>
  <c r="J124" i="12" s="1"/>
  <c r="B124" i="7"/>
  <c r="G124" i="7"/>
  <c r="L124" i="7"/>
  <c r="K124" i="12" s="1"/>
  <c r="C124" i="7"/>
  <c r="H124" i="7"/>
  <c r="H124" i="12" s="1"/>
  <c r="N124" i="7"/>
  <c r="D124" i="7"/>
  <c r="J124" i="7"/>
  <c r="O124" i="7"/>
  <c r="K139" i="12"/>
  <c r="K123" i="12"/>
  <c r="I141" i="12"/>
  <c r="K136" i="12"/>
  <c r="J129" i="12"/>
  <c r="I125" i="12"/>
  <c r="I120" i="12"/>
  <c r="I112" i="12"/>
  <c r="K131" i="12"/>
  <c r="H123" i="12"/>
  <c r="H117" i="12"/>
  <c r="K135" i="12"/>
  <c r="H129" i="12"/>
  <c r="K118" i="12"/>
  <c r="I135" i="12"/>
  <c r="I119" i="12"/>
  <c r="K54" i="12"/>
  <c r="J56" i="12"/>
  <c r="I117" i="12"/>
  <c r="K52" i="12"/>
  <c r="I52" i="12"/>
  <c r="H57" i="12"/>
  <c r="K48" i="12"/>
  <c r="J31" i="12"/>
  <c r="J23" i="12"/>
  <c r="J15" i="12"/>
  <c r="J7" i="12"/>
  <c r="H38" i="12"/>
  <c r="J33" i="12"/>
  <c r="J25" i="12"/>
  <c r="J17" i="12"/>
  <c r="J9" i="12"/>
  <c r="J53" i="12"/>
  <c r="J37" i="12"/>
  <c r="H21" i="12"/>
  <c r="J47" i="12"/>
  <c r="J41" i="12"/>
  <c r="H37" i="12"/>
  <c r="I28" i="12"/>
  <c r="I20" i="12"/>
  <c r="I12" i="12"/>
  <c r="I45" i="12"/>
  <c r="I29" i="12"/>
  <c r="I13" i="12"/>
  <c r="I31" i="12"/>
  <c r="I23" i="12"/>
  <c r="I15" i="12"/>
  <c r="P53" i="5"/>
  <c r="N191" i="5"/>
  <c r="G231" i="3"/>
  <c r="G232" i="3" s="1"/>
  <c r="J231" i="3"/>
  <c r="J232" i="3" s="1"/>
  <c r="F50" i="5"/>
  <c r="G50" i="5" s="1"/>
  <c r="M52" i="5"/>
  <c r="J53" i="5"/>
  <c r="F54" i="5"/>
  <c r="G54" i="5" s="1"/>
  <c r="J57" i="5"/>
  <c r="M60" i="5"/>
  <c r="J61" i="5"/>
  <c r="F62"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I212" i="10"/>
  <c r="S73" i="12"/>
  <c r="R89" i="12"/>
  <c r="R105" i="12"/>
  <c r="P72" i="12"/>
  <c r="E32" i="7"/>
  <c r="I32" i="7"/>
  <c r="M32" i="7"/>
  <c r="D32" i="7"/>
  <c r="J32" i="7"/>
  <c r="O32" i="7"/>
  <c r="F32" i="7"/>
  <c r="K32" i="7"/>
  <c r="J32" i="12" s="1"/>
  <c r="B32" i="7"/>
  <c r="G32" i="7"/>
  <c r="L32" i="7"/>
  <c r="K32" i="12" s="1"/>
  <c r="C32" i="7"/>
  <c r="H32" i="7"/>
  <c r="H32" i="12" s="1"/>
  <c r="N32" i="7"/>
  <c r="B234" i="2"/>
  <c r="P45" i="12"/>
  <c r="C18" i="28"/>
  <c r="D16" i="28"/>
  <c r="B15" i="28"/>
  <c r="E210" i="6"/>
  <c r="C210" i="6"/>
  <c r="N151" i="12"/>
  <c r="L61" i="12"/>
  <c r="M45" i="12"/>
  <c r="H191" i="5"/>
  <c r="H192" i="5" s="1"/>
  <c r="J37" i="5"/>
  <c r="K138" i="12"/>
  <c r="K122" i="12"/>
  <c r="J139" i="12"/>
  <c r="H135" i="12"/>
  <c r="H128" i="12"/>
  <c r="J123" i="12"/>
  <c r="J117" i="12"/>
  <c r="K130" i="12"/>
  <c r="I122" i="12"/>
  <c r="J115" i="12"/>
  <c r="K134" i="12"/>
  <c r="K128" i="12"/>
  <c r="H115" i="12"/>
  <c r="I131" i="12"/>
  <c r="I115" i="12"/>
  <c r="J48" i="12"/>
  <c r="H54" i="12"/>
  <c r="K115" i="12"/>
  <c r="H45" i="12"/>
  <c r="J49" i="12"/>
  <c r="I56" i="12"/>
  <c r="I47" i="12"/>
  <c r="I38" i="12"/>
  <c r="I30" i="12"/>
  <c r="I22" i="12"/>
  <c r="I14" i="12"/>
  <c r="I44" i="12"/>
  <c r="K37" i="12"/>
  <c r="H31" i="12"/>
  <c r="H23" i="12"/>
  <c r="H15" i="12"/>
  <c r="H7" i="12"/>
  <c r="H49" i="12"/>
  <c r="H33" i="12"/>
  <c r="H17" i="12"/>
  <c r="H46" i="12"/>
  <c r="K34" i="12"/>
  <c r="K26" i="12"/>
  <c r="K18" i="12"/>
  <c r="K10" i="12"/>
  <c r="I57" i="12"/>
  <c r="I41" i="12"/>
  <c r="I25" i="12"/>
  <c r="I9"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3" i="21"/>
  <c r="G163" i="14"/>
  <c r="O192" i="12"/>
  <c r="O193" i="12" s="1"/>
  <c r="G209" i="11"/>
  <c r="M209" i="11"/>
  <c r="F94" i="8"/>
  <c r="F95" i="8" s="1"/>
  <c r="I94" i="8"/>
  <c r="J94" i="8" s="1"/>
  <c r="C103" i="8" s="1"/>
  <c r="S33" i="12"/>
  <c r="R85" i="12"/>
  <c r="E40" i="7"/>
  <c r="I40" i="7"/>
  <c r="I40" i="12" s="1"/>
  <c r="M40" i="7"/>
  <c r="B40" i="7"/>
  <c r="G40" i="7"/>
  <c r="L40" i="7"/>
  <c r="K40" i="12" s="1"/>
  <c r="C40" i="7"/>
  <c r="H40" i="7"/>
  <c r="H40" i="12" s="1"/>
  <c r="N40" i="7"/>
  <c r="D40" i="7"/>
  <c r="J40" i="7"/>
  <c r="O40" i="7"/>
  <c r="F40" i="7"/>
  <c r="K40" i="7"/>
  <c r="J40" i="12" s="1"/>
  <c r="P37" i="12"/>
  <c r="Q64" i="12"/>
  <c r="D18" i="28"/>
  <c r="B17"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21" i="12"/>
  <c r="I113" i="12"/>
  <c r="J57" i="12"/>
  <c r="J55" i="12"/>
  <c r="K46" i="12"/>
  <c r="I54" i="12"/>
  <c r="J45" i="12"/>
  <c r="J35" i="12"/>
  <c r="J27" i="12"/>
  <c r="J19" i="12"/>
  <c r="J11" i="12"/>
  <c r="I42" i="12"/>
  <c r="K36" i="12"/>
  <c r="J29" i="12"/>
  <c r="J21" i="12"/>
  <c r="J13" i="12"/>
  <c r="K57" i="12"/>
  <c r="K41" i="12"/>
  <c r="H29" i="12"/>
  <c r="H13" i="12"/>
  <c r="K45" i="12"/>
  <c r="H39" i="12"/>
  <c r="I24" i="12"/>
  <c r="I16" i="12"/>
  <c r="I8" i="12"/>
  <c r="I53" i="12"/>
  <c r="I37" i="12"/>
  <c r="I21" i="12"/>
  <c r="I35" i="12"/>
  <c r="I27" i="12"/>
  <c r="I19" i="12"/>
  <c r="I11" i="12"/>
  <c r="F74" i="5"/>
  <c r="G74" i="5" s="1"/>
  <c r="F86" i="5"/>
  <c r="G86" i="5" s="1"/>
  <c r="F90" i="5"/>
  <c r="G90" i="5" s="1"/>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B4" i="21"/>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D6" i="28"/>
  <c r="F17" i="2"/>
  <c r="G17" i="2"/>
  <c r="G158" i="2"/>
  <c r="F158" i="2"/>
  <c r="J170" i="2"/>
  <c r="K170" i="2" s="1"/>
  <c r="G41" i="2"/>
  <c r="E216" i="7" l="1"/>
  <c r="E217" i="7" s="1"/>
  <c r="B227" i="7" s="1"/>
  <c r="N225" i="2"/>
  <c r="O225" i="2" s="1"/>
  <c r="A103" i="8"/>
  <c r="C216" i="7"/>
  <c r="C217" i="7" s="1"/>
  <c r="M192" i="12"/>
  <c r="M193" i="12" s="1"/>
  <c r="K192" i="12"/>
  <c r="K193" i="12" s="1"/>
  <c r="N216" i="7"/>
  <c r="O216" i="7" s="1"/>
  <c r="O217" i="7" s="1"/>
  <c r="I216" i="7"/>
  <c r="I217" i="7" s="1"/>
  <c r="C228" i="7" s="1"/>
  <c r="L192" i="12"/>
  <c r="L193" i="12" s="1"/>
  <c r="F216" i="7"/>
  <c r="F217" i="7" s="1"/>
  <c r="C227" i="7" s="1"/>
  <c r="B216" i="7"/>
  <c r="B217" i="7" s="1"/>
  <c r="G58" i="5"/>
  <c r="F191" i="5"/>
  <c r="N217" i="7"/>
  <c r="C218" i="6"/>
  <c r="J210" i="6"/>
  <c r="L216" i="7"/>
  <c r="D210" i="11"/>
  <c r="F210" i="11" s="1"/>
  <c r="F209" i="11"/>
  <c r="N192" i="5"/>
  <c r="P192" i="5" s="1"/>
  <c r="P191" i="5"/>
  <c r="K216" i="7"/>
  <c r="K217" i="7" s="1"/>
  <c r="B229" i="7" s="1"/>
  <c r="G210" i="6"/>
  <c r="C217" i="6"/>
  <c r="G95" i="8"/>
  <c r="H6" i="6"/>
  <c r="K6" i="6"/>
  <c r="H192" i="12"/>
  <c r="H193" i="12" s="1"/>
  <c r="I32" i="12"/>
  <c r="I192" i="12" s="1"/>
  <c r="I193" i="12" s="1"/>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J192" i="12"/>
  <c r="J193" i="12" s="1"/>
  <c r="N192" i="12"/>
  <c r="N193" i="12" s="1"/>
  <c r="L209" i="11"/>
  <c r="J210" i="11"/>
  <c r="L210" i="11" s="1"/>
  <c r="B219" i="6"/>
  <c r="G233" i="2"/>
  <c r="F233" i="2" s="1"/>
  <c r="L192" i="5"/>
  <c r="M192" i="5" s="1"/>
  <c r="M191" i="5"/>
  <c r="B230" i="7" l="1"/>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<sst xmlns="http://schemas.openxmlformats.org/spreadsheetml/2006/main" count="3568" uniqueCount="687">
  <si>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</si>
  <si>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</si>
  <si>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</si>
  <si>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</si>
  <si>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</si>
  <si>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</si>
  <si>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</si>
  <si>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</si>
  <si>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</si>
  <si>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</si>
  <si>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</si>
  <si>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</si>
  <si>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</si>
  <si>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</si>
  <si>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</si>
  <si>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</si>
  <si>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</si>
  <si>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</si>
  <si>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</si>
  <si>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</si>
  <si>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</si>
  <si>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</si>
  <si>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</si>
  <si>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</si>
  <si>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</si>
  <si>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</si>
  <si>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</si>
  <si>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</si>
  <si>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</si>
  <si>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</si>
  <si>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</si>
  <si>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</si>
  <si>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</si>
  <si>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</si>
  <si>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</si>
  <si>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</si>
  <si>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</si>
  <si>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</si>
  <si>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</si>
  <si>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</si>
  <si>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</si>
  <si>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</si>
  <si>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</si>
  <si>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</si>
  <si>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</si>
  <si>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</si>
  <si>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</si>
  <si>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</si>
  <si>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</si>
  <si>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</si>
  <si>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</si>
  <si>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</si>
  <si>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</si>
  <si>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</si>
  <si>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</si>
  <si>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</si>
  <si>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</si>
  <si>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</si>
  <si>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</si>
  <si>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</si>
  <si>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</si>
  <si>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</si>
  <si>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</si>
  <si>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</si>
  <si>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</si>
  <si>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</si>
  <si>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</si>
  <si>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</si>
  <si>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</si>
  <si>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</si>
  <si>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</si>
  <si>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</si>
  <si>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</si>
  <si>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</si>
  <si>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</si>
  <si>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</si>
  <si>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</si>
  <si>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</si>
  <si>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</si>
  <si>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</si>
  <si>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</si>
  <si>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</si>
  <si>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</si>
  <si>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</si>
  <si>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</si>
  <si>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</si>
  <si>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</si>
  <si>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</si>
  <si>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</si>
  <si>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</si>
  <si>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</si>
  <si>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</si>
  <si>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</si>
  <si>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</si>
  <si>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</si>
  <si>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</si>
  <si>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</si>
  <si>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</si>
  <si>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</si>
  <si>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</si>
  <si>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</si>
  <si>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</si>
  <si>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</si>
  <si>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</si>
  <si>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</si>
  <si>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</si>
  <si>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</si>
  <si>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</si>
  <si>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</si>
  <si>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</si>
  <si>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</si>
  <si>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</si>
  <si>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</si>
  <si>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</si>
  <si>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</si>
  <si>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</si>
  <si>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</si>
  <si>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</si>
  <si>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</si>
  <si>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</si>
  <si>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</si>
  <si>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</si>
  <si>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</si>
  <si>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</si>
  <si>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</si>
  <si>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</si>
  <si>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</si>
  <si>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</si>
  <si>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</si>
  <si>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</si>
  <si>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</si>
  <si>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</si>
  <si>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</si>
  <si>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</si>
  <si>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</si>
  <si>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</si>
  <si>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</si>
  <si>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</si>
  <si>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</si>
  <si>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</si>
  <si>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</si>
  <si>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</si>
  <si>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</si>
  <si>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</si>
  <si>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</si>
  <si>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</si>
  <si>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</si>
  <si>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</si>
  <si>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</si>
  <si>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</si>
  <si>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</si>
  <si>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</si>
  <si>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</si>
  <si>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</si>
  <si>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</si>
  <si>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</si>
  <si>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</si>
  <si>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</si>
  <si>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</si>
  <si>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</si>
  <si>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</si>
  <si>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</si>
  <si>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</si>
  <si>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</si>
  <si>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</si>
  <si>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</si>
  <si>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</si>
  <si>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</si>
  <si>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</si>
  <si>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</si>
  <si>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</si>
  <si>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</si>
  <si>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</si>
  <si>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</si>
  <si>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</si>
  <si>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</si>
  <si>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</si>
  <si>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</si>
  <si>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</si>
  <si>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</si>
  <si>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</si>
  <si>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</si>
  <si>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</si>
  <si>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</si>
  <si>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</si>
  <si>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</si>
  <si>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</si>
  <si>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</si>
  <si>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</si>
  <si>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</si>
  <si>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</si>
  <si>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</si>
  <si>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</si>
  <si>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</si>
  <si>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</si>
  <si>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</si>
  <si>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</si>
  <si>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</si>
  <si>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</si>
  <si>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</si>
  <si>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</si>
  <si>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</si>
  <si>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</si>
  <si>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</si>
  <si>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</si>
  <si>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</si>
  <si>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</si>
  <si>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</si>
  <si>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</si>
  <si>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</si>
  <si>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</si>
  <si>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</si>
  <si>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</si>
  <si>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</si>
  <si>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</si>
  <si>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</si>
  <si>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</si>
  <si>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</si>
  <si>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</si>
  <si>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</si>
  <si>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</si>
  <si>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</si>
  <si>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</si>
  <si>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</si>
  <si>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</si>
  <si>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</si>
  <si>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</si>
  <si>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</si>
  <si>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</si>
  <si>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</si>
  <si>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</si>
  <si>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</si>
  <si>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</si>
  <si>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</si>
  <si>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</si>
  <si>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</si>
  <si>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</si>
  <si>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</si>
  <si>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</si>
  <si>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</si>
  <si>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</si>
  <si>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</si>
  <si>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</si>
  <si>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</si>
  <si>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</si>
  <si>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</si>
  <si>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</si>
  <si>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</si>
  <si>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</si>
  <si>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</si>
  <si>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</si>
  <si>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</si>
  <si>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</si>
  <si>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</si>
  <si>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</si>
  <si>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</si>
  <si>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</si>
  <si>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</si>
  <si>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</si>
  <si>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</si>
  <si>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</si>
  <si>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</si>
  <si>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</si>
  <si>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</si>
  <si>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</si>
  <si>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</si>
  <si>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</si>
  <si>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</si>
  <si>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</si>
  <si>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</si>
  <si>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</si>
  <si>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</si>
  <si>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</si>
  <si>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</si>
  <si>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</si>
  <si>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</si>
  <si>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</si>
  <si>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</si>
  <si>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</si>
  <si>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</si>
  <si>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</si>
  <si>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</si>
  <si>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</si>
  <si>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</si>
  <si>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</si>
  <si>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</si>
  <si>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</si>
  <si>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</si>
  <si>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</si>
  <si>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</si>
  <si>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</si>
  <si>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</si>
  <si>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</si>
  <si>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</si>
  <si>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</si>
  <si>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</si>
  <si>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</si>
  <si>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</si>
  <si>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</si>
  <si>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</si>
  <si>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</si>
  <si>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</si>
  <si>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</si>
  <si>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</si>
  <si>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</si>
  <si>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</si>
  <si>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</si>
  <si>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</si>
  <si>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</si>
  <si>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</si>
  <si>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</si>
  <si>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</si>
  <si>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</si>
  <si>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</si>
  <si>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</si>
  <si>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</si>
  <si>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</si>
  <si>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</si>
  <si>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</si>
  <si>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</si>
  <si>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</si>
  <si>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</si>
  <si>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</si>
  <si>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</si>
  <si>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</si>
  <si>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</si>
  <si>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</si>
  <si>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</si>
  <si>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</si>
  <si>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</si>
  <si>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</si>
  <si>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</si>
  <si>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</si>
  <si>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</si>
  <si>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</si>
  <si>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</si>
  <si>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</si>
  <si>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</si>
  <si>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</si>
  <si>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</si>
  <si>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</si>
  <si>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</si>
  <si>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</si>
  <si>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</si>
  <si>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</si>
  <si>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</si>
  <si>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</si>
  <si>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</si>
  <si>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</si>
  <si>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</si>
  <si>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</si>
  <si>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</si>
  <si>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</si>
  <si>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</si>
  <si>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</si>
  <si>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</si>
  <si>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</si>
  <si>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</si>
  <si>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</si>
  <si>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</si>
  <si>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</si>
  <si>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</si>
  <si>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</si>
  <si>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</si>
  <si>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</si>
  <si>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</si>
  <si>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</si>
  <si>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</si>
  <si>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</si>
  <si>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</si>
  <si>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</si>
  <si>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</si>
  <si>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</si>
  <si>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</si>
  <si>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</si>
  <si>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</si>
  <si>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</si>
  <si>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</si>
  <si>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</si>
  <si>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</si>
  <si>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</si>
  <si>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</si>
  <si>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</si>
  <si>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</si>
  <si>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</si>
  <si>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</si>
  <si>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</si>
  <si>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</si>
  <si>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</si>
  <si>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</si>
  <si>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</si>
  <si>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</si>
  <si>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</si>
  <si>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</si>
  <si>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</si>
  <si>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</si>
  <si>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</si>
  <si>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</si>
  <si>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</si>
  <si>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</si>
  <si>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</si>
  <si>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</si>
  <si>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</si>
  <si>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</si>
  <si>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</si>
  <si>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</si>
  <si>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</si>
  <si>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</si>
  <si>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</si>
  <si>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</si>
  <si>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</si>
  <si>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</si>
  <si>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</si>
  <si>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</si>
  <si>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</si>
  <si>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</si>
  <si>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</si>
  <si>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</si>
  <si>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</si>
  <si>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</si>
  <si>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</si>
  <si>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</si>
  <si>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</si>
  <si>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</si>
  <si>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</si>
  <si>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</si>
  <si>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</si>
  <si>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</si>
  <si>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</si>
  <si>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</si>
  <si>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</si>
  <si>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</si>
  <si>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</si>
  <si>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</si>
  <si>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</si>
  <si>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</si>
  <si>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</si>
  <si>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</si>
  <si>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</si>
  <si>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</si>
  <si>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</si>
  <si>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</si>
  <si>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</si>
  <si>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</si>
  <si>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</si>
  <si>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</si>
  <si>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</si>
  <si>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</si>
  <si>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</si>
  <si>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</si>
  <si>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</si>
  <si>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</si>
  <si>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</si>
  <si>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</si>
  <si>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</si>
  <si>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</si>
  <si>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</si>
  <si>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</si>
  <si>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</si>
  <si>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</si>
  <si>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</si>
  <si>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</si>
  <si>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</si>
  <si>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</si>
  <si>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</si>
  <si>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</si>
  <si>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</si>
  <si>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</si>
  <si>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</si>
  <si>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</si>
  <si>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</si>
  <si>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</si>
  <si>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</si>
  <si>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</si>
  <si>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</si>
  <si>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</si>
  <si>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</si>
  <si>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</si>
  <si>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</si>
  <si>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</si>
  <si>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</si>
  <si>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</si>
  <si>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</si>
  <si>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</si>
  <si>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</si>
  <si>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</si>
  <si>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</si>
  <si>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</si>
  <si>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</si>
  <si>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</si>
  <si>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</si>
  <si>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</si>
  <si>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</si>
  <si>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</si>
  <si>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</si>
  <si>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</si>
  <si>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</si>
  <si>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</si>
  <si>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</si>
  <si>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</si>
  <si>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</si>
  <si>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</si>
  <si>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</si>
  <si>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</si>
  <si>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</si>
  <si>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</si>
  <si>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</si>
  <si>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</si>
  <si>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</si>
  <si>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</si>
  <si>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</si>
  <si>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</si>
  <si>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</si>
  <si>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</si>
  <si>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</si>
  <si>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</si>
  <si>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</si>
  <si>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</si>
  <si>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</si>
  <si>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</si>
  <si>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</si>
  <si>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</si>
  <si>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</si>
  <si>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</si>
  <si>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</si>
  <si>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</si>
  <si>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</si>
  <si>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</si>
  <si>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</si>
  <si>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</si>
  <si>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</si>
  <si>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</si>
  <si>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</si>
  <si>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</si>
  <si>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</si>
  <si>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</si>
  <si>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</si>
  <si>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</si>
  <si>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</si>
  <si>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</si>
  <si>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</si>
  <si>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</si>
  <si>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</si>
  <si>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</si>
  <si>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</si>
  <si>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</si>
  <si>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</si>
  <si>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</si>
  <si>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</si>
  <si>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</si>
  <si>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</si>
  <si>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</si>
  <si>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</si>
  <si>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</si>
  <si>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</si>
  <si>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</si>
  <si>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</si>
  <si>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</si>
  <si>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</si>
  <si>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</si>
  <si>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</si>
  <si>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</si>
  <si>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</si>
  <si>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</si>
  <si>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</si>
  <si>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</si>
  <si>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</si>
  <si>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</si>
  <si>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</si>
  <si>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</si>
  <si>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</si>
  <si>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</si>
  <si>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</si>
  <si>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</si>
  <si>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</si>
  <si>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</si>
  <si>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</si>
  <si>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</si>
  <si>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</si>
  <si>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</si>
  <si>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</si>
  <si>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</si>
  <si>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</si>
  <si>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</si>
  <si>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</si>
  <si>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</si>
  <si>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</si>
  <si>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</si>
  <si>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</si>
  <si>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</si>
  <si>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</si>
  <si>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</si>
  <si>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</si>
  <si>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</si>
  <si>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</si>
  <si>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</si>
  <si>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</si>
  <si>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</si>
  <si>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</si>
  <si>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</si>
  <si>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</si>
  <si>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</si>
  <si>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</si>
  <si>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</si>
  <si>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</si>
  <si>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</si>
  <si>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</si>
  <si>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</si>
  <si>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</si>
  <si>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</si>
  <si>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</si>
  <si>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</si>
  <si>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</si>
  <si>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</si>
  <si>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</si>
  <si>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</si>
  <si>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</si>
  <si>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</si>
  <si>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</si>
  <si>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</si>
  <si>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</si>
  <si>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</si>
  <si>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</si>
  <si>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</si>
  <si>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</si>
  <si>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</si>
  <si>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</si>
  <si>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</si>
  <si>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</si>
  <si>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</si>
  <si>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</si>
  <si>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</si>
  <si>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</si>
  <si>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</si>
  <si>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</si>
  <si>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</si>
  <si>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</si>
  <si>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</si>
  <si>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</si>
  <si>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</si>
  <si>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</si>
  <si>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</si>
  <si>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</si>
  <si>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</si>
  <si>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</si>
  <si>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</si>
  <si>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</si>
  <si>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</si>
  <si>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</si>
  <si>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</si>
  <si>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</si>
  <si>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</si>
  <si>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</si>
  <si>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</si>
  <si>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</si>
  <si>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</si>
  <si>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</si>
  <si>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</si>
  <si>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</si>
  <si>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</si>
  <si>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</si>
  <si>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</si>
  <si>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</si>
  <si>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</si>
  <si>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</si>
  <si>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</si>
  <si>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</si>
  <si>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</si>
  <si>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</si>
  <si>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</si>
  <si>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</si>
  <si>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</si>
  <si>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</si>
  <si>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</si>
  <si>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</si>
  <si>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</si>
  <si>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</si>
  <si>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</si>
  <si>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</si>
  <si>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</si>
  <si>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</si>
  <si>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</si>
  <si>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</si>
  <si>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</si>
  <si>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</si>
  <si>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</si>
  <si>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F&amp;O Market Trading Kit for 22 July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</si>
</sst>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zoomScale="85" zoomScaleNormal="85" workbookViewId="0">
      <pane ySplit="10" topLeftCell="A11" activePane="bottomLeft" state="frozen"/>
      <selection pane="bottomLeft" activeCell="F231" sqref="F231:G234"/>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3" t="s">
        <v>686</v>
      </c>
      <c r="B6" s="234"/>
      <c r="C6" s="234"/>
      <c r="D6" s="234"/>
      <c r="E6" s="234"/>
      <c r="F6" s="234"/>
      <c r="G6" s="234"/>
      <c r="H6" s="234"/>
      <c r="I6" s="234"/>
      <c r="J6" s="234"/>
      <c r="K6" s="234"/>
      <c r="L6" s="234"/>
      <c r="M6" s="234"/>
      <c r="N6" s="234"/>
      <c r="O6" s="234"/>
      <c r="P6" s="234"/>
      <c r="Q6" s="234"/>
      <c r="R6" s="234"/>
      <c r="S6" s="235"/>
    </row>
    <row r="7" spans="1:19" x14ac:dyDescent="0.25">
      <c r="A7" s="236"/>
      <c r="B7" s="237"/>
      <c r="C7" s="237"/>
      <c r="D7" s="237"/>
      <c r="E7" s="237"/>
      <c r="F7" s="237"/>
      <c r="G7" s="237"/>
      <c r="H7" s="237"/>
      <c r="I7" s="237"/>
      <c r="J7" s="237"/>
      <c r="K7" s="237"/>
      <c r="L7" s="237"/>
      <c r="M7" s="237"/>
      <c r="N7" s="237"/>
      <c r="O7" s="237"/>
      <c r="P7" s="237"/>
      <c r="Q7" s="237"/>
      <c r="R7" s="237"/>
      <c r="S7" s="238"/>
    </row>
    <row r="8" spans="1:19" s="64" customFormat="1" ht="15" customHeight="1" x14ac:dyDescent="0.25">
      <c r="A8" s="239"/>
      <c r="B8" s="2"/>
      <c r="C8" s="241" t="s">
        <v>308</v>
      </c>
      <c r="D8" s="242"/>
      <c r="E8" s="242"/>
      <c r="F8" s="242"/>
      <c r="G8" s="243"/>
      <c r="H8" s="241" t="s">
        <v>309</v>
      </c>
      <c r="I8" s="242"/>
      <c r="J8" s="242"/>
      <c r="K8" s="243"/>
      <c r="L8" s="244" t="s">
        <v>310</v>
      </c>
      <c r="M8" s="245"/>
      <c r="N8" s="245"/>
      <c r="O8" s="246"/>
      <c r="P8" s="241" t="s">
        <v>311</v>
      </c>
      <c r="Q8" s="242"/>
      <c r="R8" s="242"/>
      <c r="S8" s="243"/>
    </row>
    <row r="9" spans="1:19" s="64" customFormat="1" x14ac:dyDescent="0.25">
      <c r="A9" s="240"/>
      <c r="B9" s="2"/>
      <c r="C9" s="2" t="s">
        <v>312</v>
      </c>
      <c r="D9" s="241" t="s">
        <v>313</v>
      </c>
      <c r="E9" s="242"/>
      <c r="F9" s="242"/>
      <c r="G9" s="243"/>
      <c r="H9" s="241" t="s">
        <v>314</v>
      </c>
      <c r="I9" s="242"/>
      <c r="J9" s="242"/>
      <c r="K9" s="243"/>
      <c r="L9" s="241" t="s">
        <v>315</v>
      </c>
      <c r="M9" s="242"/>
      <c r="N9" s="242"/>
      <c r="O9" s="243"/>
      <c r="P9" s="241" t="s">
        <v>316</v>
      </c>
      <c r="Q9" s="243"/>
      <c r="R9" s="241" t="s">
        <v>317</v>
      </c>
      <c r="S9" s="243"/>
    </row>
    <row r="10" spans="1:19" s="67" customFormat="1" ht="27" customHeight="1" x14ac:dyDescent="0.25">
      <c r="A10" s="65" t="s">
        <v>318</v>
      </c>
      <c r="B10" s="65" t="s">
        <v>319</v>
      </c>
      <c r="C10" s="66">
        <f>'Data Vlaue (Cr)'!A2</f>
        <v>45860</v>
      </c>
      <c r="D10" s="66">
        <f>'Data Vlaue (Cr)'!A2</f>
        <v>45860</v>
      </c>
      <c r="E10" s="65" t="s">
        <v>322</v>
      </c>
      <c r="F10" s="65" t="s">
        <v>320</v>
      </c>
      <c r="G10" s="65" t="s">
        <v>321</v>
      </c>
      <c r="H10" s="66">
        <f>D10</f>
        <v>45860</v>
      </c>
      <c r="I10" s="65" t="s">
        <v>322</v>
      </c>
      <c r="J10" s="65" t="s">
        <v>323</v>
      </c>
      <c r="K10" s="65" t="s">
        <v>324</v>
      </c>
      <c r="L10" s="66">
        <f>D10</f>
        <v>45860</v>
      </c>
      <c r="M10" s="65" t="s">
        <v>322</v>
      </c>
      <c r="N10" s="65" t="s">
        <v>323</v>
      </c>
      <c r="O10" s="65" t="s">
        <v>324</v>
      </c>
      <c r="P10" s="66">
        <f>D10</f>
        <v>45860</v>
      </c>
      <c r="Q10" s="65" t="s">
        <v>324</v>
      </c>
      <c r="R10" s="66">
        <f>D10</f>
        <v>45860</v>
      </c>
      <c r="S10" s="65" t="s">
        <v>324</v>
      </c>
    </row>
    <row r="11" spans="1:19" x14ac:dyDescent="0.25">
      <c r="A11" s="96" t="str">
        <f>'Data Vlaue (Cr)'!C2</f>
        <v>360ONE</v>
      </c>
      <c r="B11" s="75">
        <f>VLOOKUP($A11,'Data Vlaue (Cr)'!$C:$FB,2)</f>
        <v>500</v>
      </c>
      <c r="C11" s="75">
        <f>VLOOKUP($A11,'Data Vlaue (Cr)'!$C:$FB,8)</f>
        <v>1144.0999999999999</v>
      </c>
      <c r="D11" s="75">
        <f>VLOOKUP($A11,'Data Vlaue (Cr)'!$C:$FB,4)</f>
        <v>1143.2</v>
      </c>
      <c r="E11" s="75">
        <f>VLOOKUP($A11,'Data Vlaue (Cr)'!$C:$FB,5)</f>
        <v>1223.4000000000001</v>
      </c>
      <c r="F11" s="75">
        <f>D11-C11</f>
        <v>-0.89999999999986358</v>
      </c>
      <c r="G11" s="75">
        <f>(D11-E11)/D11*100</f>
        <v>-7.0153953813855878</v>
      </c>
      <c r="H11" s="75">
        <f>VLOOKUP($A11,'Data Vlaue (Cr)'!$C:$FB,99)</f>
        <v>911</v>
      </c>
      <c r="I11" s="75">
        <f>VLOOKUP($A11,'Data Vlaue (Cr)'!$C:$FB,100)</f>
        <v>386</v>
      </c>
      <c r="J11" s="75">
        <f>H11-I11</f>
        <v>525</v>
      </c>
      <c r="K11" s="75">
        <f>J11/H11*100</f>
        <v>57.62897914379802</v>
      </c>
      <c r="L11" s="75">
        <f>VLOOKUP($A11,'Data Vlaue (Cr)'!$C:$FB,67)</f>
        <v>2538</v>
      </c>
      <c r="M11" s="75">
        <f>VLOOKUP($A11,'Data Vlaue (Cr)'!$C:$FB,68)</f>
        <v>411</v>
      </c>
      <c r="N11" s="75">
        <f>L11-M11</f>
        <v>2127</v>
      </c>
      <c r="O11" s="75">
        <f>N11/L11*100</f>
        <v>83.806146572104026</v>
      </c>
      <c r="P11" s="75">
        <f>VLOOKUP($A11,'Data Vlaue (Cr)'!$C:$FB,119)</f>
        <v>0.59</v>
      </c>
      <c r="Q11" s="75">
        <f>VLOOKUP($A11,'Data Vlaue (Cr)'!$C:$FB,122)*100</f>
        <v>7.2700000000000005</v>
      </c>
      <c r="R11" s="75">
        <f>VLOOKUP($A11,'Data Vlaue (Cr)'!$C:$FB,125)</f>
        <v>0.77</v>
      </c>
      <c r="S11" s="75">
        <f>VLOOKUP($A11,'Data Vlaue (Cr)'!$C:$FB,128)*100</f>
        <v>185.19</v>
      </c>
    </row>
    <row r="12" spans="1:19" x14ac:dyDescent="0.25">
      <c r="A12" s="96" t="str">
        <f>'Data Vlaue (Cr)'!C3</f>
        <v>AARTIIND</v>
      </c>
      <c r="B12" s="75">
        <f>VLOOKUP($A12,'Data Vlaue (Cr)'!$C:$FB,2)</f>
        <v>1325</v>
      </c>
      <c r="C12" s="75">
        <f>VLOOKUP($A12,'Data Vlaue (Cr)'!$C:$FB,8)</f>
        <v>422.95</v>
      </c>
      <c r="D12" s="75">
        <f>VLOOKUP($A12,'Data Vlaue (Cr)'!$C:$FB,4)</f>
        <v>423.7</v>
      </c>
      <c r="E12" s="75">
        <f>VLOOKUP($A12,'Data Vlaue (Cr)'!$C:$FB,5)</f>
        <v>442.85</v>
      </c>
      <c r="F12" s="75">
        <f t="shared" ref="F12:F75" si="0">D12-C12</f>
        <v>0.75</v>
      </c>
      <c r="G12" s="75">
        <f t="shared" ref="G12:G74" si="1">(D12-E12)/D12*100</f>
        <v>-4.519707340099135</v>
      </c>
      <c r="H12" s="75">
        <f>VLOOKUP($A12,'Data Vlaue (Cr)'!$C:$FB,99)</f>
        <v>1509</v>
      </c>
      <c r="I12" s="75">
        <f>VLOOKUP($A12,'Data Vlaue (Cr)'!$C:$FB,100)</f>
        <v>1196</v>
      </c>
      <c r="J12" s="75">
        <f t="shared" ref="J12:J75" si="2">H12-I12</f>
        <v>313</v>
      </c>
      <c r="K12" s="75">
        <f t="shared" ref="K12:K75" si="3">J12/H12*100</f>
        <v>20.742213386348578</v>
      </c>
      <c r="L12" s="75">
        <f>VLOOKUP($A12,'Data Vlaue (Cr)'!$C:$FB,67)</f>
        <v>1873</v>
      </c>
      <c r="M12" s="75">
        <f>VLOOKUP($A12,'Data Vlaue (Cr)'!$C:$FB,68)</f>
        <v>515</v>
      </c>
      <c r="N12" s="75">
        <f t="shared" ref="N12:N75" si="4">L12-M12</f>
        <v>1358</v>
      </c>
      <c r="O12" s="75">
        <f t="shared" ref="O12:O75" si="5">N12/L12*100</f>
        <v>72.504004271222627</v>
      </c>
      <c r="P12" s="75">
        <f>VLOOKUP($A12,'Data Vlaue (Cr)'!$C:$FB,119)</f>
        <v>0.25</v>
      </c>
      <c r="Q12" s="75">
        <f>VLOOKUP($A12,'Data Vlaue (Cr)'!$C:$FB,122)*100</f>
        <v>-26.47</v>
      </c>
      <c r="R12" s="75">
        <f>VLOOKUP($A12,'Data Vlaue (Cr)'!$C:$FB,125)</f>
        <v>0.51</v>
      </c>
      <c r="S12" s="75">
        <f>VLOOKUP($A12,'Data Vlaue (Cr)'!$C:$FB,128)*100</f>
        <v>142.86000000000001</v>
      </c>
    </row>
    <row r="13" spans="1:19" x14ac:dyDescent="0.25">
      <c r="A13" s="96" t="str">
        <f>'Data Vlaue (Cr)'!C4</f>
        <v>ABB</v>
      </c>
      <c r="B13" s="75">
        <f>VLOOKUP($A13,'Data Vlaue (Cr)'!$C:$FB,2)</f>
        <v>125</v>
      </c>
      <c r="C13" s="75">
        <f>VLOOKUP($A13,'Data Vlaue (Cr)'!$C:$FB,8)</f>
        <v>5755</v>
      </c>
      <c r="D13" s="75">
        <f>VLOOKUP($A13,'Data Vlaue (Cr)'!$C:$FB,4)</f>
        <v>5766</v>
      </c>
      <c r="E13" s="75">
        <f>VLOOKUP($A13,'Data Vlaue (Cr)'!$C:$FB,5)</f>
        <v>5852</v>
      </c>
      <c r="F13" s="75">
        <f t="shared" si="0"/>
        <v>11</v>
      </c>
      <c r="G13" s="75">
        <f t="shared" si="1"/>
        <v>-1.4915019077349982</v>
      </c>
      <c r="H13" s="75">
        <f>VLOOKUP($A13,'Data Vlaue (Cr)'!$C:$FB,99)</f>
        <v>3346</v>
      </c>
      <c r="I13" s="75">
        <f>VLOOKUP($A13,'Data Vlaue (Cr)'!$C:$FB,100)</f>
        <v>3334</v>
      </c>
      <c r="J13" s="75">
        <f t="shared" si="2"/>
        <v>12</v>
      </c>
      <c r="K13" s="75">
        <f t="shared" si="3"/>
        <v>0.35863717872086076</v>
      </c>
      <c r="L13" s="75">
        <f>VLOOKUP($A13,'Data Vlaue (Cr)'!$C:$FB,67)</f>
        <v>2198</v>
      </c>
      <c r="M13" s="75">
        <f>VLOOKUP($A13,'Data Vlaue (Cr)'!$C:$FB,68)</f>
        <v>5069</v>
      </c>
      <c r="N13" s="75">
        <f t="shared" si="4"/>
        <v>-2871</v>
      </c>
      <c r="O13" s="75">
        <f t="shared" si="5"/>
        <v>-130.61874431301183</v>
      </c>
      <c r="P13" s="75">
        <f>VLOOKUP($A13,'Data Vlaue (Cr)'!$C:$FB,119)</f>
        <v>0.56000000000000005</v>
      </c>
      <c r="Q13" s="75">
        <f>VLOOKUP($A13,'Data Vlaue (Cr)'!$C:$FB,122)*100</f>
        <v>-9.68</v>
      </c>
      <c r="R13" s="75">
        <f>VLOOKUP($A13,'Data Vlaue (Cr)'!$C:$FB,125)</f>
        <v>0.61</v>
      </c>
      <c r="S13" s="75">
        <f>VLOOKUP($A13,'Data Vlaue (Cr)'!$C:$FB,128)*100</f>
        <v>52.5</v>
      </c>
    </row>
    <row r="14" spans="1:19" x14ac:dyDescent="0.25">
      <c r="A14" s="96" t="str">
        <f>'Data Vlaue (Cr)'!C5</f>
        <v>ABCAPITAL</v>
      </c>
      <c r="B14" s="75">
        <f>VLOOKUP($A14,'Data Vlaue (Cr)'!$C:$FB,2)</f>
        <v>3100</v>
      </c>
      <c r="C14" s="75">
        <f>VLOOKUP($A14,'Data Vlaue (Cr)'!$C:$FB,8)</f>
        <v>268.55</v>
      </c>
      <c r="D14" s="75">
        <f>VLOOKUP($A14,'Data Vlaue (Cr)'!$C:$FB,4)</f>
        <v>269.39999999999998</v>
      </c>
      <c r="E14" s="75">
        <f>VLOOKUP($A14,'Data Vlaue (Cr)'!$C:$FB,5)</f>
        <v>272.25</v>
      </c>
      <c r="F14" s="75">
        <f t="shared" si="0"/>
        <v>0.84999999999996589</v>
      </c>
      <c r="G14" s="75">
        <f t="shared" si="1"/>
        <v>-1.0579064587973359</v>
      </c>
      <c r="H14" s="75">
        <f>VLOOKUP($A14,'Data Vlaue (Cr)'!$C:$FB,99)</f>
        <v>2469</v>
      </c>
      <c r="I14" s="75">
        <f>VLOOKUP($A14,'Data Vlaue (Cr)'!$C:$FB,100)</f>
        <v>2488</v>
      </c>
      <c r="J14" s="75">
        <f t="shared" si="2"/>
        <v>-19</v>
      </c>
      <c r="K14" s="75">
        <f t="shared" si="3"/>
        <v>-0.76954232482786555</v>
      </c>
      <c r="L14" s="75">
        <f>VLOOKUP($A14,'Data Vlaue (Cr)'!$C:$FB,67)</f>
        <v>793</v>
      </c>
      <c r="M14" s="75">
        <f>VLOOKUP($A14,'Data Vlaue (Cr)'!$C:$FB,68)</f>
        <v>1272</v>
      </c>
      <c r="N14" s="75">
        <f t="shared" si="4"/>
        <v>-479</v>
      </c>
      <c r="O14" s="75">
        <f>N14/L14*100</f>
        <v>-60.403530895334178</v>
      </c>
      <c r="P14" s="75">
        <f>VLOOKUP($A14,'Data Vlaue (Cr)'!$C:$FB,119)</f>
        <v>0.6</v>
      </c>
      <c r="Q14" s="75">
        <f>VLOOKUP($A14,'Data Vlaue (Cr)'!$C:$FB,122)*100</f>
        <v>0</v>
      </c>
      <c r="R14" s="75">
        <f>VLOOKUP($A14,'Data Vlaue (Cr)'!$C:$FB,125)</f>
        <v>0.56000000000000005</v>
      </c>
      <c r="S14" s="75">
        <f>VLOOKUP($A14,'Data Vlaue (Cr)'!$C:$FB,128)*100</f>
        <v>-12.5</v>
      </c>
    </row>
    <row r="15" spans="1:19" x14ac:dyDescent="0.25">
      <c r="A15" s="96" t="str">
        <f>'Data Vlaue (Cr)'!C6</f>
        <v>ABFRL</v>
      </c>
      <c r="B15" s="75">
        <f>VLOOKUP($A15,'Data Vlaue (Cr)'!$C:$FB,2)</f>
        <v>2600</v>
      </c>
      <c r="C15" s="75">
        <f>VLOOKUP($A15,'Data Vlaue (Cr)'!$C:$FB,8)</f>
        <v>75.64</v>
      </c>
      <c r="D15" s="75">
        <f>VLOOKUP($A15,'Data Vlaue (Cr)'!$C:$FB,4)</f>
        <v>75.64</v>
      </c>
      <c r="E15" s="75">
        <f>VLOOKUP($A15,'Data Vlaue (Cr)'!$C:$FB,5)</f>
        <v>75.209999999999994</v>
      </c>
      <c r="F15" s="75">
        <f t="shared" si="0"/>
        <v>0</v>
      </c>
      <c r="G15" s="75">
        <f t="shared" si="1"/>
        <v>0.56848228450556171</v>
      </c>
      <c r="H15" s="75">
        <f>VLOOKUP($A15,'Data Vlaue (Cr)'!$C:$FB,99)</f>
        <v>837</v>
      </c>
      <c r="I15" s="75">
        <f>VLOOKUP($A15,'Data Vlaue (Cr)'!$C:$FB,100)</f>
        <v>843</v>
      </c>
      <c r="J15" s="75">
        <f t="shared" si="2"/>
        <v>-6</v>
      </c>
      <c r="K15" s="75">
        <f t="shared" si="3"/>
        <v>-0.71684587813620071</v>
      </c>
      <c r="L15" s="75">
        <f>VLOOKUP($A15,'Data Vlaue (Cr)'!$C:$FB,67)</f>
        <v>162</v>
      </c>
      <c r="M15" s="75">
        <f>VLOOKUP($A15,'Data Vlaue (Cr)'!$C:$FB,68)</f>
        <v>134</v>
      </c>
      <c r="N15" s="75">
        <f t="shared" si="4"/>
        <v>28</v>
      </c>
      <c r="O15" s="75">
        <f t="shared" si="5"/>
        <v>17.283950617283949</v>
      </c>
      <c r="P15" s="75">
        <f>VLOOKUP($A15,'Data Vlaue (Cr)'!$C:$FB,119)</f>
        <v>0.7</v>
      </c>
      <c r="Q15" s="75">
        <f>VLOOKUP($A15,'Data Vlaue (Cr)'!$C:$FB,122)*100</f>
        <v>2.94</v>
      </c>
      <c r="R15" s="75">
        <f>VLOOKUP($A15,'Data Vlaue (Cr)'!$C:$FB,125)</f>
        <v>0.26</v>
      </c>
      <c r="S15" s="75">
        <f>VLOOKUP($A15,'Data Vlaue (Cr)'!$C:$FB,128)*100</f>
        <v>-16.13</v>
      </c>
    </row>
    <row r="16" spans="1:19" x14ac:dyDescent="0.25">
      <c r="A16" s="96" t="str">
        <f>'Data Vlaue (Cr)'!C7</f>
        <v>ACC</v>
      </c>
      <c r="B16" s="75">
        <f>VLOOKUP($A16,'Data Vlaue (Cr)'!$C:$FB,2)</f>
        <v>300</v>
      </c>
      <c r="C16" s="75">
        <f>VLOOKUP($A16,'Data Vlaue (Cr)'!$C:$FB,8)</f>
        <v>1958.9</v>
      </c>
      <c r="D16" s="75">
        <f>VLOOKUP($A16,'Data Vlaue (Cr)'!$C:$FB,4)</f>
        <v>1959.7</v>
      </c>
      <c r="E16" s="75">
        <f>VLOOKUP($A16,'Data Vlaue (Cr)'!$C:$FB,5)</f>
        <v>1980.6</v>
      </c>
      <c r="F16" s="75">
        <f t="shared" si="0"/>
        <v>0.79999999999995453</v>
      </c>
      <c r="G16" s="75">
        <f t="shared" si="1"/>
        <v>-1.0664897688421626</v>
      </c>
      <c r="H16" s="75">
        <f>VLOOKUP($A16,'Data Vlaue (Cr)'!$C:$FB,99)</f>
        <v>1324</v>
      </c>
      <c r="I16" s="75">
        <f>VLOOKUP($A16,'Data Vlaue (Cr)'!$C:$FB,100)</f>
        <v>1311</v>
      </c>
      <c r="J16" s="75">
        <f t="shared" si="2"/>
        <v>13</v>
      </c>
      <c r="K16" s="75">
        <f t="shared" si="3"/>
        <v>0.98187311178247727</v>
      </c>
      <c r="L16" s="75">
        <f>VLOOKUP($A16,'Data Vlaue (Cr)'!$C:$FB,67)</f>
        <v>488</v>
      </c>
      <c r="M16" s="75">
        <f>VLOOKUP($A16,'Data Vlaue (Cr)'!$C:$FB,68)</f>
        <v>430</v>
      </c>
      <c r="N16" s="75">
        <f t="shared" si="4"/>
        <v>58</v>
      </c>
      <c r="O16" s="75">
        <f t="shared" si="5"/>
        <v>11.885245901639344</v>
      </c>
      <c r="P16" s="75">
        <f>VLOOKUP($A16,'Data Vlaue (Cr)'!$C:$FB,119)</f>
        <v>0.63</v>
      </c>
      <c r="Q16" s="75">
        <f>VLOOKUP($A16,'Data Vlaue (Cr)'!$C:$FB,122)*100</f>
        <v>1.6099999999999999</v>
      </c>
      <c r="R16" s="75">
        <f>VLOOKUP($A16,'Data Vlaue (Cr)'!$C:$FB,125)</f>
        <v>0.23</v>
      </c>
      <c r="S16" s="75">
        <f>VLOOKUP($A16,'Data Vlaue (Cr)'!$C:$FB,128)*100</f>
        <v>-14.81</v>
      </c>
    </row>
    <row r="17" spans="1:19" x14ac:dyDescent="0.25">
      <c r="A17" s="96" t="str">
        <f>'Data Vlaue (Cr)'!C8</f>
        <v>ADANIENSOL</v>
      </c>
      <c r="B17" s="75">
        <f>VLOOKUP($A17,'Data Vlaue (Cr)'!$C:$FB,2)</f>
        <v>675</v>
      </c>
      <c r="C17" s="75">
        <f>VLOOKUP($A17,'Data Vlaue (Cr)'!$C:$FB,8)</f>
        <v>867.2</v>
      </c>
      <c r="D17" s="75">
        <f>VLOOKUP($A17,'Data Vlaue (Cr)'!$C:$FB,4)</f>
        <v>867.45</v>
      </c>
      <c r="E17" s="75">
        <f>VLOOKUP($A17,'Data Vlaue (Cr)'!$C:$FB,5)</f>
        <v>873.85</v>
      </c>
      <c r="F17" s="75">
        <f t="shared" si="0"/>
        <v>0.25</v>
      </c>
      <c r="G17" s="75">
        <f t="shared" si="1"/>
        <v>-0.73779468557265282</v>
      </c>
      <c r="H17" s="75">
        <f>VLOOKUP($A17,'Data Vlaue (Cr)'!$C:$FB,99)</f>
        <v>2254</v>
      </c>
      <c r="I17" s="75">
        <f>VLOOKUP($A17,'Data Vlaue (Cr)'!$C:$FB,100)</f>
        <v>2276</v>
      </c>
      <c r="J17" s="75">
        <f t="shared" si="2"/>
        <v>-22</v>
      </c>
      <c r="K17" s="75">
        <f t="shared" si="3"/>
        <v>-0.97604259094942325</v>
      </c>
      <c r="L17" s="75">
        <f>VLOOKUP($A17,'Data Vlaue (Cr)'!$C:$FB,67)</f>
        <v>270</v>
      </c>
      <c r="M17" s="75">
        <f>VLOOKUP($A17,'Data Vlaue (Cr)'!$C:$FB,68)</f>
        <v>411</v>
      </c>
      <c r="N17" s="75">
        <f t="shared" si="4"/>
        <v>-141</v>
      </c>
      <c r="O17" s="75">
        <f t="shared" si="5"/>
        <v>-52.222222222222229</v>
      </c>
      <c r="P17" s="75">
        <f>VLOOKUP($A17,'Data Vlaue (Cr)'!$C:$FB,119)</f>
        <v>0.68</v>
      </c>
      <c r="Q17" s="75">
        <f>VLOOKUP($A17,'Data Vlaue (Cr)'!$C:$FB,122)*100</f>
        <v>1.49</v>
      </c>
      <c r="R17" s="75">
        <f>VLOOKUP($A17,'Data Vlaue (Cr)'!$C:$FB,125)</f>
        <v>0.26</v>
      </c>
      <c r="S17" s="75">
        <f>VLOOKUP($A17,'Data Vlaue (Cr)'!$C:$FB,128)*100</f>
        <v>-43.480000000000004</v>
      </c>
    </row>
    <row r="18" spans="1:19" x14ac:dyDescent="0.25">
      <c r="A18" s="96" t="str">
        <f>'Data Vlaue (Cr)'!C9</f>
        <v>ADANIENT</v>
      </c>
      <c r="B18" s="75">
        <f>VLOOKUP($A18,'Data Vlaue (Cr)'!$C:$FB,2)</f>
        <v>300</v>
      </c>
      <c r="C18" s="75">
        <f>VLOOKUP($A18,'Data Vlaue (Cr)'!$C:$FB,8)</f>
        <v>2587.8000000000002</v>
      </c>
      <c r="D18" s="75">
        <f>VLOOKUP($A18,'Data Vlaue (Cr)'!$C:$FB,4)</f>
        <v>2594.5</v>
      </c>
      <c r="E18" s="75">
        <f>VLOOKUP($A18,'Data Vlaue (Cr)'!$C:$FB,5)</f>
        <v>2625.8</v>
      </c>
      <c r="F18" s="75">
        <f t="shared" si="0"/>
        <v>6.6999999999998181</v>
      </c>
      <c r="G18" s="75">
        <f t="shared" si="1"/>
        <v>-1.2063981499325567</v>
      </c>
      <c r="H18" s="75">
        <f>VLOOKUP($A18,'Data Vlaue (Cr)'!$C:$FB,99)</f>
        <v>8620</v>
      </c>
      <c r="I18" s="75">
        <f>VLOOKUP($A18,'Data Vlaue (Cr)'!$C:$FB,100)</f>
        <v>8579</v>
      </c>
      <c r="J18" s="75">
        <f t="shared" si="2"/>
        <v>41</v>
      </c>
      <c r="K18" s="75">
        <f t="shared" si="3"/>
        <v>0.47563805104408358</v>
      </c>
      <c r="L18" s="75">
        <f>VLOOKUP($A18,'Data Vlaue (Cr)'!$C:$FB,67)</f>
        <v>1938</v>
      </c>
      <c r="M18" s="75">
        <f>VLOOKUP($A18,'Data Vlaue (Cr)'!$C:$FB,68)</f>
        <v>2045</v>
      </c>
      <c r="N18" s="75">
        <f t="shared" si="4"/>
        <v>-107</v>
      </c>
      <c r="O18" s="75">
        <f t="shared" si="5"/>
        <v>-5.5211558307533544</v>
      </c>
      <c r="P18" s="75">
        <f>VLOOKUP($A18,'Data Vlaue (Cr)'!$C:$FB,119)</f>
        <v>0.82</v>
      </c>
      <c r="Q18" s="75">
        <f>VLOOKUP($A18,'Data Vlaue (Cr)'!$C:$FB,122)*100</f>
        <v>-2.3800000000000003</v>
      </c>
      <c r="R18" s="75">
        <f>VLOOKUP($A18,'Data Vlaue (Cr)'!$C:$FB,125)</f>
        <v>0.46</v>
      </c>
      <c r="S18" s="75">
        <f>VLOOKUP($A18,'Data Vlaue (Cr)'!$C:$FB,128)*100</f>
        <v>-16.36</v>
      </c>
    </row>
    <row r="19" spans="1:19" x14ac:dyDescent="0.25">
      <c r="A19" s="96" t="str">
        <f>'Data Vlaue (Cr)'!C10</f>
        <v>ADANIGREEN</v>
      </c>
      <c r="B19" s="75">
        <f>VLOOKUP($A19,'Data Vlaue (Cr)'!$C:$FB,2)</f>
        <v>600</v>
      </c>
      <c r="C19" s="75">
        <f>VLOOKUP($A19,'Data Vlaue (Cr)'!$C:$FB,8)</f>
        <v>1013.7</v>
      </c>
      <c r="D19" s="75">
        <f>VLOOKUP($A19,'Data Vlaue (Cr)'!$C:$FB,4)</f>
        <v>1016.2</v>
      </c>
      <c r="E19" s="75">
        <f>VLOOKUP($A19,'Data Vlaue (Cr)'!$C:$FB,5)</f>
        <v>1038.7</v>
      </c>
      <c r="F19" s="75">
        <f t="shared" si="0"/>
        <v>2.5</v>
      </c>
      <c r="G19" s="75">
        <f t="shared" si="1"/>
        <v>-2.2141310765597324</v>
      </c>
      <c r="H19" s="75">
        <f>VLOOKUP($A19,'Data Vlaue (Cr)'!$C:$FB,99)</f>
        <v>3272</v>
      </c>
      <c r="I19" s="75">
        <f>VLOOKUP($A19,'Data Vlaue (Cr)'!$C:$FB,100)</f>
        <v>3316</v>
      </c>
      <c r="J19" s="75">
        <f t="shared" si="2"/>
        <v>-44</v>
      </c>
      <c r="K19" s="75">
        <f t="shared" si="3"/>
        <v>-1.3447432762836184</v>
      </c>
      <c r="L19" s="75">
        <f>VLOOKUP($A19,'Data Vlaue (Cr)'!$C:$FB,67)</f>
        <v>1534</v>
      </c>
      <c r="M19" s="75">
        <f>VLOOKUP($A19,'Data Vlaue (Cr)'!$C:$FB,68)</f>
        <v>874</v>
      </c>
      <c r="N19" s="75">
        <f t="shared" si="4"/>
        <v>660</v>
      </c>
      <c r="O19" s="75">
        <f t="shared" si="5"/>
        <v>43.024771838331162</v>
      </c>
      <c r="P19" s="75">
        <f>VLOOKUP($A19,'Data Vlaue (Cr)'!$C:$FB,119)</f>
        <v>0.61</v>
      </c>
      <c r="Q19" s="75">
        <f>VLOOKUP($A19,'Data Vlaue (Cr)'!$C:$FB,122)*100</f>
        <v>10.91</v>
      </c>
      <c r="R19" s="75">
        <f>VLOOKUP($A19,'Data Vlaue (Cr)'!$C:$FB,125)</f>
        <v>0.39</v>
      </c>
      <c r="S19" s="75">
        <f>VLOOKUP($A19,'Data Vlaue (Cr)'!$C:$FB,128)*100</f>
        <v>95</v>
      </c>
    </row>
    <row r="20" spans="1:19" x14ac:dyDescent="0.25">
      <c r="A20" s="96" t="str">
        <f>'Data Vlaue (Cr)'!C11</f>
        <v>ADANIPORTS</v>
      </c>
      <c r="B20" s="75">
        <f>VLOOKUP($A20,'Data Vlaue (Cr)'!$C:$FB,2)</f>
        <v>475</v>
      </c>
      <c r="C20" s="75">
        <f>VLOOKUP($A20,'Data Vlaue (Cr)'!$C:$FB,8)</f>
        <v>1420.7</v>
      </c>
      <c r="D20" s="75">
        <f>VLOOKUP($A20,'Data Vlaue (Cr)'!$C:$FB,4)</f>
        <v>1425.7</v>
      </c>
      <c r="E20" s="75">
        <f>VLOOKUP($A20,'Data Vlaue (Cr)'!$C:$FB,5)</f>
        <v>1452.9</v>
      </c>
      <c r="F20" s="75">
        <f t="shared" si="0"/>
        <v>5</v>
      </c>
      <c r="G20" s="75">
        <f t="shared" si="1"/>
        <v>-1.9078347478431679</v>
      </c>
      <c r="H20" s="75">
        <f>VLOOKUP($A20,'Data Vlaue (Cr)'!$C:$FB,99)</f>
        <v>5223</v>
      </c>
      <c r="I20" s="75">
        <f>VLOOKUP($A20,'Data Vlaue (Cr)'!$C:$FB,100)</f>
        <v>5165</v>
      </c>
      <c r="J20" s="75">
        <f t="shared" si="2"/>
        <v>58</v>
      </c>
      <c r="K20" s="75">
        <f t="shared" si="3"/>
        <v>1.1104729082902547</v>
      </c>
      <c r="L20" s="75">
        <f>VLOOKUP($A20,'Data Vlaue (Cr)'!$C:$FB,67)</f>
        <v>1954</v>
      </c>
      <c r="M20" s="75">
        <f>VLOOKUP($A20,'Data Vlaue (Cr)'!$C:$FB,68)</f>
        <v>1485</v>
      </c>
      <c r="N20" s="75">
        <f t="shared" si="4"/>
        <v>469</v>
      </c>
      <c r="O20" s="75">
        <f t="shared" si="5"/>
        <v>24.002047082906859</v>
      </c>
      <c r="P20" s="75">
        <f>VLOOKUP($A20,'Data Vlaue (Cr)'!$C:$FB,119)</f>
        <v>0.74</v>
      </c>
      <c r="Q20" s="75">
        <f>VLOOKUP($A20,'Data Vlaue (Cr)'!$C:$FB,122)*100</f>
        <v>0</v>
      </c>
      <c r="R20" s="75">
        <f>VLOOKUP($A20,'Data Vlaue (Cr)'!$C:$FB,125)</f>
        <v>0.56999999999999995</v>
      </c>
      <c r="S20" s="75">
        <f>VLOOKUP($A20,'Data Vlaue (Cr)'!$C:$FB,128)*100</f>
        <v>46.150000000000006</v>
      </c>
    </row>
    <row r="21" spans="1:19" x14ac:dyDescent="0.25">
      <c r="A21" s="96" t="str">
        <f>'Data Vlaue (Cr)'!C12</f>
        <v>ALKEM</v>
      </c>
      <c r="B21" s="75">
        <f>VLOOKUP($A21,'Data Vlaue (Cr)'!$C:$FB,2)</f>
        <v>125</v>
      </c>
      <c r="C21" s="75">
        <f>VLOOKUP($A21,'Data Vlaue (Cr)'!$C:$FB,8)</f>
        <v>4971.8</v>
      </c>
      <c r="D21" s="75">
        <f>VLOOKUP($A21,'Data Vlaue (Cr)'!$C:$FB,4)</f>
        <v>4973.6000000000004</v>
      </c>
      <c r="E21" s="75">
        <f>VLOOKUP($A21,'Data Vlaue (Cr)'!$C:$FB,5)</f>
        <v>5006.8999999999996</v>
      </c>
      <c r="F21" s="75">
        <f t="shared" si="0"/>
        <v>1.8000000000001819</v>
      </c>
      <c r="G21" s="75">
        <f t="shared" si="1"/>
        <v>-0.66953514556858762</v>
      </c>
      <c r="H21" s="75">
        <f>VLOOKUP($A21,'Data Vlaue (Cr)'!$C:$FB,99)</f>
        <v>877</v>
      </c>
      <c r="I21" s="75">
        <f>VLOOKUP($A21,'Data Vlaue (Cr)'!$C:$FB,100)</f>
        <v>868</v>
      </c>
      <c r="J21" s="75">
        <f t="shared" si="2"/>
        <v>9</v>
      </c>
      <c r="K21" s="75">
        <f t="shared" si="3"/>
        <v>1.0262257696693273</v>
      </c>
      <c r="L21" s="75">
        <f>VLOOKUP($A21,'Data Vlaue (Cr)'!$C:$FB,67)</f>
        <v>232</v>
      </c>
      <c r="M21" s="75">
        <f>VLOOKUP($A21,'Data Vlaue (Cr)'!$C:$FB,68)</f>
        <v>151</v>
      </c>
      <c r="N21" s="75">
        <f t="shared" si="4"/>
        <v>81</v>
      </c>
      <c r="O21" s="75">
        <f t="shared" si="5"/>
        <v>34.913793103448278</v>
      </c>
      <c r="P21" s="75">
        <f>VLOOKUP($A21,'Data Vlaue (Cr)'!$C:$FB,119)</f>
        <v>0.56999999999999995</v>
      </c>
      <c r="Q21" s="75">
        <f>VLOOKUP($A21,'Data Vlaue (Cr)'!$C:$FB,122)*100</f>
        <v>-5</v>
      </c>
      <c r="R21" s="75">
        <f>VLOOKUP($A21,'Data Vlaue (Cr)'!$C:$FB,125)</f>
        <v>0.33</v>
      </c>
      <c r="S21" s="75">
        <f>VLOOKUP($A21,'Data Vlaue (Cr)'!$C:$FB,128)*100</f>
        <v>-50.749999999999993</v>
      </c>
    </row>
    <row r="22" spans="1:19" x14ac:dyDescent="0.25">
      <c r="A22" s="96" t="str">
        <f>'Data Vlaue (Cr)'!C13</f>
        <v>AMBER</v>
      </c>
      <c r="B22" s="75">
        <f>VLOOKUP($A22,'Data Vlaue (Cr)'!$C:$FB,2)</f>
        <v>100</v>
      </c>
      <c r="C22" s="75">
        <f>VLOOKUP($A22,'Data Vlaue (Cr)'!$C:$FB,8)</f>
        <v>7369</v>
      </c>
      <c r="D22" s="75">
        <f>VLOOKUP($A22,'Data Vlaue (Cr)'!$C:$FB,4)</f>
        <v>7388.5</v>
      </c>
      <c r="E22" s="75">
        <f>VLOOKUP($A22,'Data Vlaue (Cr)'!$C:$FB,5)</f>
        <v>7500.5</v>
      </c>
      <c r="F22" s="75">
        <f t="shared" si="0"/>
        <v>19.5</v>
      </c>
      <c r="G22" s="75">
        <f t="shared" si="1"/>
        <v>-1.5158692562766463</v>
      </c>
      <c r="H22" s="75">
        <f>VLOOKUP($A22,'Data Vlaue (Cr)'!$C:$FB,99)</f>
        <v>596</v>
      </c>
      <c r="I22" s="75">
        <f>VLOOKUP($A22,'Data Vlaue (Cr)'!$C:$FB,100)</f>
        <v>602</v>
      </c>
      <c r="J22" s="75">
        <f t="shared" si="2"/>
        <v>-6</v>
      </c>
      <c r="K22" s="75">
        <f t="shared" si="3"/>
        <v>-1.006711409395973</v>
      </c>
      <c r="L22" s="75">
        <f>VLOOKUP($A22,'Data Vlaue (Cr)'!$C:$FB,67)</f>
        <v>441</v>
      </c>
      <c r="M22" s="75">
        <f>VLOOKUP($A22,'Data Vlaue (Cr)'!$C:$FB,68)</f>
        <v>490</v>
      </c>
      <c r="N22" s="75">
        <f t="shared" si="4"/>
        <v>-49</v>
      </c>
      <c r="O22" s="75">
        <f t="shared" si="5"/>
        <v>-11.111111111111111</v>
      </c>
      <c r="P22" s="75">
        <f>VLOOKUP($A22,'Data Vlaue (Cr)'!$C:$FB,119)</f>
        <v>0.57999999999999996</v>
      </c>
      <c r="Q22" s="75">
        <f>VLOOKUP($A22,'Data Vlaue (Cr)'!$C:$FB,122)*100</f>
        <v>1.7500000000000002</v>
      </c>
      <c r="R22" s="75">
        <f>VLOOKUP($A22,'Data Vlaue (Cr)'!$C:$FB,125)</f>
        <v>0.2</v>
      </c>
      <c r="S22" s="75">
        <f>VLOOKUP($A22,'Data Vlaue (Cr)'!$C:$FB,128)*100</f>
        <v>-45.95</v>
      </c>
    </row>
    <row r="23" spans="1:19" x14ac:dyDescent="0.25">
      <c r="A23" s="96" t="str">
        <f>'Data Vlaue (Cr)'!C14</f>
        <v>AMBUJACEM</v>
      </c>
      <c r="B23" s="75">
        <f>VLOOKUP($A23,'Data Vlaue (Cr)'!$C:$FB,2)</f>
        <v>1050</v>
      </c>
      <c r="C23" s="75">
        <f>VLOOKUP($A23,'Data Vlaue (Cr)'!$C:$FB,8)</f>
        <v>620.54999999999995</v>
      </c>
      <c r="D23" s="75">
        <f>VLOOKUP($A23,'Data Vlaue (Cr)'!$C:$FB,4)</f>
        <v>620.75</v>
      </c>
      <c r="E23" s="75">
        <f>VLOOKUP($A23,'Data Vlaue (Cr)'!$C:$FB,5)</f>
        <v>614.9</v>
      </c>
      <c r="F23" s="75">
        <f t="shared" si="0"/>
        <v>0.20000000000004547</v>
      </c>
      <c r="G23" s="75">
        <f t="shared" si="1"/>
        <v>0.94240837696335444</v>
      </c>
      <c r="H23" s="75">
        <f>VLOOKUP($A23,'Data Vlaue (Cr)'!$C:$FB,99)</f>
        <v>2809</v>
      </c>
      <c r="I23" s="75">
        <f>VLOOKUP($A23,'Data Vlaue (Cr)'!$C:$FB,100)</f>
        <v>2802</v>
      </c>
      <c r="J23" s="75">
        <f t="shared" si="2"/>
        <v>7</v>
      </c>
      <c r="K23" s="75">
        <f t="shared" si="3"/>
        <v>0.24919900320398719</v>
      </c>
      <c r="L23" s="75">
        <f>VLOOKUP($A23,'Data Vlaue (Cr)'!$C:$FB,67)</f>
        <v>3225</v>
      </c>
      <c r="M23" s="75">
        <f>VLOOKUP($A23,'Data Vlaue (Cr)'!$C:$FB,68)</f>
        <v>3217</v>
      </c>
      <c r="N23" s="75">
        <f t="shared" si="4"/>
        <v>8</v>
      </c>
      <c r="O23" s="75">
        <f t="shared" si="5"/>
        <v>0.24806201550387599</v>
      </c>
      <c r="P23" s="75">
        <f>VLOOKUP($A23,'Data Vlaue (Cr)'!$C:$FB,119)</f>
        <v>0.86</v>
      </c>
      <c r="Q23" s="75">
        <f>VLOOKUP($A23,'Data Vlaue (Cr)'!$C:$FB,122)*100</f>
        <v>16.220000000000002</v>
      </c>
      <c r="R23" s="75">
        <f>VLOOKUP($A23,'Data Vlaue (Cr)'!$C:$FB,125)</f>
        <v>0.39</v>
      </c>
      <c r="S23" s="75">
        <f>VLOOKUP($A23,'Data Vlaue (Cr)'!$C:$FB,128)*100</f>
        <v>44.440000000000005</v>
      </c>
    </row>
    <row r="24" spans="1:19" x14ac:dyDescent="0.25">
      <c r="A24" s="96" t="str">
        <f>'Data Vlaue (Cr)'!C15</f>
        <v>ANGELONE</v>
      </c>
      <c r="B24" s="75">
        <f>VLOOKUP($A24,'Data Vlaue (Cr)'!$C:$FB,2)</f>
        <v>250</v>
      </c>
      <c r="C24" s="75">
        <f>VLOOKUP($A24,'Data Vlaue (Cr)'!$C:$FB,8)</f>
        <v>2805.4</v>
      </c>
      <c r="D24" s="75">
        <f>VLOOKUP($A24,'Data Vlaue (Cr)'!$C:$FB,4)</f>
        <v>2816.6</v>
      </c>
      <c r="E24" s="75">
        <f>VLOOKUP($A24,'Data Vlaue (Cr)'!$C:$FB,5)</f>
        <v>2710.9</v>
      </c>
      <c r="F24" s="75">
        <f t="shared" si="0"/>
        <v>11.199999999999818</v>
      </c>
      <c r="G24" s="75">
        <f t="shared" si="1"/>
        <v>3.7527515444152462</v>
      </c>
      <c r="H24" s="75">
        <f>VLOOKUP($A24,'Data Vlaue (Cr)'!$C:$FB,99)</f>
        <v>2518</v>
      </c>
      <c r="I24" s="75">
        <f>VLOOKUP($A24,'Data Vlaue (Cr)'!$C:$FB,100)</f>
        <v>2555</v>
      </c>
      <c r="J24" s="75">
        <f t="shared" si="2"/>
        <v>-37</v>
      </c>
      <c r="K24" s="75">
        <f t="shared" si="3"/>
        <v>-1.4694201747418585</v>
      </c>
      <c r="L24" s="75">
        <f>VLOOKUP($A24,'Data Vlaue (Cr)'!$C:$FB,67)</f>
        <v>10352</v>
      </c>
      <c r="M24" s="75">
        <f>VLOOKUP($A24,'Data Vlaue (Cr)'!$C:$FB,68)</f>
        <v>154</v>
      </c>
      <c r="N24" s="75">
        <f t="shared" si="4"/>
        <v>10198</v>
      </c>
      <c r="O24" s="75">
        <f t="shared" si="5"/>
        <v>98.512364760432774</v>
      </c>
      <c r="P24" s="75">
        <f>VLOOKUP($A24,'Data Vlaue (Cr)'!$C:$FB,119)</f>
        <v>0.57999999999999996</v>
      </c>
      <c r="Q24" s="75">
        <f>VLOOKUP($A24,'Data Vlaue (Cr)'!$C:$FB,122)*100</f>
        <v>-13.43</v>
      </c>
      <c r="R24" s="75">
        <f>VLOOKUP($A24,'Data Vlaue (Cr)'!$C:$FB,125)</f>
        <v>0.34</v>
      </c>
      <c r="S24" s="75">
        <f>VLOOKUP($A24,'Data Vlaue (Cr)'!$C:$FB,128)*100</f>
        <v>-74.81</v>
      </c>
    </row>
    <row r="25" spans="1:19" x14ac:dyDescent="0.25">
      <c r="A25" s="96" t="str">
        <f>'Data Vlaue (Cr)'!C16</f>
        <v>APLAPOLLO</v>
      </c>
      <c r="B25" s="75">
        <f>VLOOKUP($A25,'Data Vlaue (Cr)'!$C:$FB,2)</f>
        <v>350</v>
      </c>
      <c r="C25" s="75">
        <f>VLOOKUP($A25,'Data Vlaue (Cr)'!$C:$FB,8)</f>
        <v>1660.4</v>
      </c>
      <c r="D25" s="75">
        <f>VLOOKUP($A25,'Data Vlaue (Cr)'!$C:$FB,4)</f>
        <v>1661.9</v>
      </c>
      <c r="E25" s="75">
        <f>VLOOKUP($A25,'Data Vlaue (Cr)'!$C:$FB,5)</f>
        <v>1696.6</v>
      </c>
      <c r="F25" s="75">
        <f t="shared" si="0"/>
        <v>1.5</v>
      </c>
      <c r="G25" s="75">
        <f t="shared" si="1"/>
        <v>-2.0879715987724783</v>
      </c>
      <c r="H25" s="75">
        <f>VLOOKUP($A25,'Data Vlaue (Cr)'!$C:$FB,99)</f>
        <v>1449</v>
      </c>
      <c r="I25" s="75">
        <f>VLOOKUP($A25,'Data Vlaue (Cr)'!$C:$FB,100)</f>
        <v>1420</v>
      </c>
      <c r="J25" s="75">
        <f t="shared" si="2"/>
        <v>29</v>
      </c>
      <c r="K25" s="75">
        <f t="shared" si="3"/>
        <v>2.0013802622498278</v>
      </c>
      <c r="L25" s="75">
        <f>VLOOKUP($A25,'Data Vlaue (Cr)'!$C:$FB,67)</f>
        <v>515</v>
      </c>
      <c r="M25" s="75">
        <f>VLOOKUP($A25,'Data Vlaue (Cr)'!$C:$FB,68)</f>
        <v>520</v>
      </c>
      <c r="N25" s="75">
        <f t="shared" si="4"/>
        <v>-5</v>
      </c>
      <c r="O25" s="75">
        <f t="shared" si="5"/>
        <v>-0.97087378640776689</v>
      </c>
      <c r="P25" s="75">
        <f>VLOOKUP($A25,'Data Vlaue (Cr)'!$C:$FB,119)</f>
        <v>0.67</v>
      </c>
      <c r="Q25" s="75">
        <f>VLOOKUP($A25,'Data Vlaue (Cr)'!$C:$FB,122)*100</f>
        <v>-4.29</v>
      </c>
      <c r="R25" s="75">
        <f>VLOOKUP($A25,'Data Vlaue (Cr)'!$C:$FB,125)</f>
        <v>0.54</v>
      </c>
      <c r="S25" s="75">
        <f>VLOOKUP($A25,'Data Vlaue (Cr)'!$C:$FB,128)*100</f>
        <v>0</v>
      </c>
    </row>
    <row r="26" spans="1:19" x14ac:dyDescent="0.25">
      <c r="A26" s="96" t="str">
        <f>'Data Vlaue (Cr)'!C17</f>
        <v>APOLLOHOSP</v>
      </c>
      <c r="B26" s="75">
        <f>VLOOKUP($A26,'Data Vlaue (Cr)'!$C:$FB,2)</f>
        <v>125</v>
      </c>
      <c r="C26" s="75">
        <f>VLOOKUP($A26,'Data Vlaue (Cr)'!$C:$FB,8)</f>
        <v>7246.5</v>
      </c>
      <c r="D26" s="75">
        <f>VLOOKUP($A26,'Data Vlaue (Cr)'!$C:$FB,4)</f>
        <v>7258</v>
      </c>
      <c r="E26" s="75">
        <f>VLOOKUP($A26,'Data Vlaue (Cr)'!$C:$FB,5)</f>
        <v>7271</v>
      </c>
      <c r="F26" s="75">
        <f t="shared" si="0"/>
        <v>11.5</v>
      </c>
      <c r="G26" s="75">
        <f t="shared" si="1"/>
        <v>-0.17911270322402867</v>
      </c>
      <c r="H26" s="75">
        <f>VLOOKUP($A26,'Data Vlaue (Cr)'!$C:$FB,99)</f>
        <v>4141</v>
      </c>
      <c r="I26" s="75">
        <f>VLOOKUP($A26,'Data Vlaue (Cr)'!$C:$FB,100)</f>
        <v>4143</v>
      </c>
      <c r="J26" s="75">
        <f t="shared" si="2"/>
        <v>-2</v>
      </c>
      <c r="K26" s="75">
        <f t="shared" si="3"/>
        <v>-4.8297512678097079E-2</v>
      </c>
      <c r="L26" s="75">
        <f>VLOOKUP($A26,'Data Vlaue (Cr)'!$C:$FB,67)</f>
        <v>1314</v>
      </c>
      <c r="M26" s="75">
        <f>VLOOKUP($A26,'Data Vlaue (Cr)'!$C:$FB,68)</f>
        <v>1546</v>
      </c>
      <c r="N26" s="75">
        <f t="shared" si="4"/>
        <v>-232</v>
      </c>
      <c r="O26" s="75">
        <f t="shared" si="5"/>
        <v>-17.656012176560122</v>
      </c>
      <c r="P26" s="75">
        <f>VLOOKUP($A26,'Data Vlaue (Cr)'!$C:$FB,119)</f>
        <v>0.48</v>
      </c>
      <c r="Q26" s="75">
        <f>VLOOKUP($A26,'Data Vlaue (Cr)'!$C:$FB,122)*100</f>
        <v>-2.04</v>
      </c>
      <c r="R26" s="75">
        <f>VLOOKUP($A26,'Data Vlaue (Cr)'!$C:$FB,125)</f>
        <v>0.46</v>
      </c>
      <c r="S26" s="75">
        <f>VLOOKUP($A26,'Data Vlaue (Cr)'!$C:$FB,128)*100</f>
        <v>-24.59</v>
      </c>
    </row>
    <row r="27" spans="1:19" x14ac:dyDescent="0.25">
      <c r="A27" s="96" t="str">
        <f>'Data Vlaue (Cr)'!C18</f>
        <v>ASHOKLEY</v>
      </c>
      <c r="B27" s="75">
        <f>VLOOKUP($A27,'Data Vlaue (Cr)'!$C:$FB,2)</f>
        <v>5000</v>
      </c>
      <c r="C27" s="75">
        <f>VLOOKUP($A27,'Data Vlaue (Cr)'!$C:$FB,8)</f>
        <v>124</v>
      </c>
      <c r="D27" s="75">
        <f>VLOOKUP($A27,'Data Vlaue (Cr)'!$C:$FB,4)</f>
        <v>124.05</v>
      </c>
      <c r="E27" s="75">
        <f>VLOOKUP($A27,'Data Vlaue (Cr)'!$C:$FB,5)</f>
        <v>124.9</v>
      </c>
      <c r="F27" s="75">
        <f t="shared" si="0"/>
        <v>4.9999999999997158E-2</v>
      </c>
      <c r="G27" s="75">
        <f t="shared" si="1"/>
        <v>-0.68520757758968853</v>
      </c>
      <c r="H27" s="75">
        <f>VLOOKUP($A27,'Data Vlaue (Cr)'!$C:$FB,99)</f>
        <v>1779</v>
      </c>
      <c r="I27" s="75">
        <f>VLOOKUP($A27,'Data Vlaue (Cr)'!$C:$FB,100)</f>
        <v>1775</v>
      </c>
      <c r="J27" s="75">
        <f t="shared" si="2"/>
        <v>4</v>
      </c>
      <c r="K27" s="75">
        <f t="shared" si="3"/>
        <v>0.22484541877459246</v>
      </c>
      <c r="L27" s="75">
        <f>VLOOKUP($A27,'Data Vlaue (Cr)'!$C:$FB,67)</f>
        <v>428</v>
      </c>
      <c r="M27" s="75">
        <f>VLOOKUP($A27,'Data Vlaue (Cr)'!$C:$FB,68)</f>
        <v>751</v>
      </c>
      <c r="N27" s="75">
        <f t="shared" si="4"/>
        <v>-323</v>
      </c>
      <c r="O27" s="75">
        <f t="shared" si="5"/>
        <v>-75.467289719626166</v>
      </c>
      <c r="P27" s="75">
        <f>VLOOKUP($A27,'Data Vlaue (Cr)'!$C:$FB,119)</f>
        <v>0.69</v>
      </c>
      <c r="Q27" s="75">
        <f>VLOOKUP($A27,'Data Vlaue (Cr)'!$C:$FB,122)*100</f>
        <v>0</v>
      </c>
      <c r="R27" s="75">
        <f>VLOOKUP($A27,'Data Vlaue (Cr)'!$C:$FB,125)</f>
        <v>0.67</v>
      </c>
      <c r="S27" s="75">
        <f>VLOOKUP($A27,'Data Vlaue (Cr)'!$C:$FB,128)*100</f>
        <v>13.56</v>
      </c>
    </row>
    <row r="28" spans="1:19" x14ac:dyDescent="0.25">
      <c r="A28" s="96" t="str">
        <f>'Data Vlaue (Cr)'!C19</f>
        <v>ASIANPAINT</v>
      </c>
      <c r="B28" s="75">
        <f>VLOOKUP($A28,'Data Vlaue (Cr)'!$C:$FB,2)</f>
        <v>250</v>
      </c>
      <c r="C28" s="75">
        <f>VLOOKUP($A28,'Data Vlaue (Cr)'!$C:$FB,8)</f>
        <v>2365.1999999999998</v>
      </c>
      <c r="D28" s="75">
        <f>VLOOKUP($A28,'Data Vlaue (Cr)'!$C:$FB,4)</f>
        <v>2365.8000000000002</v>
      </c>
      <c r="E28" s="75">
        <f>VLOOKUP($A28,'Data Vlaue (Cr)'!$C:$FB,5)</f>
        <v>2377</v>
      </c>
      <c r="F28" s="75">
        <f t="shared" si="0"/>
        <v>0.6000000000003638</v>
      </c>
      <c r="G28" s="75">
        <f t="shared" si="1"/>
        <v>-0.47341279905316663</v>
      </c>
      <c r="H28" s="75">
        <f>VLOOKUP($A28,'Data Vlaue (Cr)'!$C:$FB,99)</f>
        <v>6875</v>
      </c>
      <c r="I28" s="75">
        <f>VLOOKUP($A28,'Data Vlaue (Cr)'!$C:$FB,100)</f>
        <v>6885</v>
      </c>
      <c r="J28" s="75">
        <f t="shared" si="2"/>
        <v>-10</v>
      </c>
      <c r="K28" s="75">
        <f t="shared" si="3"/>
        <v>-0.14545454545454545</v>
      </c>
      <c r="L28" s="75">
        <f>VLOOKUP($A28,'Data Vlaue (Cr)'!$C:$FB,67)</f>
        <v>1550</v>
      </c>
      <c r="M28" s="75">
        <f>VLOOKUP($A28,'Data Vlaue (Cr)'!$C:$FB,68)</f>
        <v>1982</v>
      </c>
      <c r="N28" s="75">
        <f t="shared" si="4"/>
        <v>-432</v>
      </c>
      <c r="O28" s="75">
        <f t="shared" si="5"/>
        <v>-27.87096774193548</v>
      </c>
      <c r="P28" s="75">
        <f>VLOOKUP($A28,'Data Vlaue (Cr)'!$C:$FB,119)</f>
        <v>0.49</v>
      </c>
      <c r="Q28" s="75">
        <f>VLOOKUP($A28,'Data Vlaue (Cr)'!$C:$FB,122)*100</f>
        <v>2.08</v>
      </c>
      <c r="R28" s="75">
        <f>VLOOKUP($A28,'Data Vlaue (Cr)'!$C:$FB,125)</f>
        <v>0.39</v>
      </c>
      <c r="S28" s="75">
        <f>VLOOKUP($A28,'Data Vlaue (Cr)'!$C:$FB,128)*100</f>
        <v>-7.1400000000000006</v>
      </c>
    </row>
    <row r="29" spans="1:19" x14ac:dyDescent="0.25">
      <c r="A29" s="96" t="str">
        <f>'Data Vlaue (Cr)'!C20</f>
        <v>ASTRAL</v>
      </c>
      <c r="B29" s="75">
        <f>VLOOKUP($A29,'Data Vlaue (Cr)'!$C:$FB,2)</f>
        <v>425</v>
      </c>
      <c r="C29" s="75">
        <f>VLOOKUP($A29,'Data Vlaue (Cr)'!$C:$FB,8)</f>
        <v>1475</v>
      </c>
      <c r="D29" s="75">
        <f>VLOOKUP($A29,'Data Vlaue (Cr)'!$C:$FB,4)</f>
        <v>1473.6</v>
      </c>
      <c r="E29" s="75">
        <f>VLOOKUP($A29,'Data Vlaue (Cr)'!$C:$FB,5)</f>
        <v>1504.4</v>
      </c>
      <c r="F29" s="75">
        <f t="shared" si="0"/>
        <v>-1.4000000000000909</v>
      </c>
      <c r="G29" s="75">
        <f t="shared" si="1"/>
        <v>-2.0901194353963208</v>
      </c>
      <c r="H29" s="75">
        <f>VLOOKUP($A29,'Data Vlaue (Cr)'!$C:$FB,99)</f>
        <v>1634</v>
      </c>
      <c r="I29" s="75">
        <f>VLOOKUP($A29,'Data Vlaue (Cr)'!$C:$FB,100)</f>
        <v>1594</v>
      </c>
      <c r="J29" s="75">
        <f t="shared" si="2"/>
        <v>40</v>
      </c>
      <c r="K29" s="75">
        <f t="shared" si="3"/>
        <v>2.4479804161566707</v>
      </c>
      <c r="L29" s="75">
        <f>VLOOKUP($A29,'Data Vlaue (Cr)'!$C:$FB,67)</f>
        <v>1025</v>
      </c>
      <c r="M29" s="75">
        <f>VLOOKUP($A29,'Data Vlaue (Cr)'!$C:$FB,68)</f>
        <v>602</v>
      </c>
      <c r="N29" s="75">
        <f t="shared" si="4"/>
        <v>423</v>
      </c>
      <c r="O29" s="75">
        <f t="shared" si="5"/>
        <v>41.268292682926827</v>
      </c>
      <c r="P29" s="75">
        <f>VLOOKUP($A29,'Data Vlaue (Cr)'!$C:$FB,119)</f>
        <v>0.41</v>
      </c>
      <c r="Q29" s="75">
        <f>VLOOKUP($A29,'Data Vlaue (Cr)'!$C:$FB,122)*100</f>
        <v>7.89</v>
      </c>
      <c r="R29" s="75">
        <f>VLOOKUP($A29,'Data Vlaue (Cr)'!$C:$FB,125)</f>
        <v>0.34</v>
      </c>
      <c r="S29" s="75">
        <f>VLOOKUP($A29,'Data Vlaue (Cr)'!$C:$FB,128)*100</f>
        <v>-12.82</v>
      </c>
    </row>
    <row r="30" spans="1:19" x14ac:dyDescent="0.25">
      <c r="A30" s="96" t="str">
        <f>'Data Vlaue (Cr)'!C21</f>
        <v>ATGL</v>
      </c>
      <c r="B30" s="75">
        <f>VLOOKUP($A30,'Data Vlaue (Cr)'!$C:$FB,2)</f>
        <v>875</v>
      </c>
      <c r="C30" s="75">
        <f>VLOOKUP($A30,'Data Vlaue (Cr)'!$C:$FB,8)</f>
        <v>646.95000000000005</v>
      </c>
      <c r="D30" s="75">
        <f>VLOOKUP($A30,'Data Vlaue (Cr)'!$C:$FB,4)</f>
        <v>647.54999999999995</v>
      </c>
      <c r="E30" s="75">
        <f>VLOOKUP($A30,'Data Vlaue (Cr)'!$C:$FB,5)</f>
        <v>660.3</v>
      </c>
      <c r="F30" s="75">
        <f t="shared" si="0"/>
        <v>0.59999999999990905</v>
      </c>
      <c r="G30" s="75">
        <f t="shared" si="1"/>
        <v>-1.9689599258744499</v>
      </c>
      <c r="H30" s="75">
        <f>VLOOKUP($A30,'Data Vlaue (Cr)'!$C:$FB,99)</f>
        <v>752</v>
      </c>
      <c r="I30" s="75">
        <f>VLOOKUP($A30,'Data Vlaue (Cr)'!$C:$FB,100)</f>
        <v>748</v>
      </c>
      <c r="J30" s="75">
        <f t="shared" si="2"/>
        <v>4</v>
      </c>
      <c r="K30" s="75">
        <f t="shared" si="3"/>
        <v>0.53191489361702127</v>
      </c>
      <c r="L30" s="75">
        <f>VLOOKUP($A30,'Data Vlaue (Cr)'!$C:$FB,67)</f>
        <v>202</v>
      </c>
      <c r="M30" s="75">
        <f>VLOOKUP($A30,'Data Vlaue (Cr)'!$C:$FB,68)</f>
        <v>167</v>
      </c>
      <c r="N30" s="75">
        <f t="shared" si="4"/>
        <v>35</v>
      </c>
      <c r="O30" s="75">
        <f t="shared" si="5"/>
        <v>17.326732673267326</v>
      </c>
      <c r="P30" s="75">
        <f>VLOOKUP($A30,'Data Vlaue (Cr)'!$C:$FB,119)</f>
        <v>0.45</v>
      </c>
      <c r="Q30" s="75">
        <f>VLOOKUP($A30,'Data Vlaue (Cr)'!$C:$FB,122)*100</f>
        <v>-2.17</v>
      </c>
      <c r="R30" s="75">
        <f>VLOOKUP($A30,'Data Vlaue (Cr)'!$C:$FB,125)</f>
        <v>0.26</v>
      </c>
      <c r="S30" s="75">
        <f>VLOOKUP($A30,'Data Vlaue (Cr)'!$C:$FB,128)*100</f>
        <v>-25.71</v>
      </c>
    </row>
    <row r="31" spans="1:19" x14ac:dyDescent="0.25">
      <c r="A31" s="96" t="str">
        <f>'Data Vlaue (Cr)'!C22</f>
        <v>AUBANK</v>
      </c>
      <c r="B31" s="75">
        <f>VLOOKUP($A31,'Data Vlaue (Cr)'!$C:$FB,2)</f>
        <v>1000</v>
      </c>
      <c r="C31" s="75">
        <f>VLOOKUP($A31,'Data Vlaue (Cr)'!$C:$FB,8)</f>
        <v>725.8</v>
      </c>
      <c r="D31" s="75">
        <f>VLOOKUP($A31,'Data Vlaue (Cr)'!$C:$FB,4)</f>
        <v>728.2</v>
      </c>
      <c r="E31" s="75">
        <f>VLOOKUP($A31,'Data Vlaue (Cr)'!$C:$FB,5)</f>
        <v>753.2</v>
      </c>
      <c r="F31" s="75">
        <f t="shared" si="0"/>
        <v>2.4000000000000909</v>
      </c>
      <c r="G31" s="75">
        <f t="shared" si="1"/>
        <v>-3.4331227684702004</v>
      </c>
      <c r="H31" s="75">
        <f>VLOOKUP($A31,'Data Vlaue (Cr)'!$C:$FB,99)</f>
        <v>2769</v>
      </c>
      <c r="I31" s="75">
        <f>VLOOKUP($A31,'Data Vlaue (Cr)'!$C:$FB,100)</f>
        <v>2452</v>
      </c>
      <c r="J31" s="75">
        <f t="shared" si="2"/>
        <v>317</v>
      </c>
      <c r="K31" s="75">
        <f t="shared" si="3"/>
        <v>11.448176236908632</v>
      </c>
      <c r="L31" s="75">
        <f>VLOOKUP($A31,'Data Vlaue (Cr)'!$C:$FB,67)</f>
        <v>3464</v>
      </c>
      <c r="M31" s="75">
        <f>VLOOKUP($A31,'Data Vlaue (Cr)'!$C:$FB,68)</f>
        <v>7405</v>
      </c>
      <c r="N31" s="75">
        <f t="shared" si="4"/>
        <v>-3941</v>
      </c>
      <c r="O31" s="75">
        <f t="shared" si="5"/>
        <v>-113.77020785219401</v>
      </c>
      <c r="P31" s="75">
        <f>VLOOKUP($A31,'Data Vlaue (Cr)'!$C:$FB,119)</f>
        <v>0.45</v>
      </c>
      <c r="Q31" s="75">
        <f>VLOOKUP($A31,'Data Vlaue (Cr)'!$C:$FB,122)*100</f>
        <v>-25</v>
      </c>
      <c r="R31" s="75">
        <f>VLOOKUP($A31,'Data Vlaue (Cr)'!$C:$FB,125)</f>
        <v>0.61</v>
      </c>
      <c r="S31" s="75">
        <f>VLOOKUP($A31,'Data Vlaue (Cr)'!$C:$FB,128)*100</f>
        <v>-3.17</v>
      </c>
    </row>
    <row r="32" spans="1:19" x14ac:dyDescent="0.25">
      <c r="A32" s="96" t="str">
        <f>'Data Vlaue (Cr)'!C23</f>
        <v>AUROPHARMA</v>
      </c>
      <c r="B32" s="75">
        <f>VLOOKUP($A32,'Data Vlaue (Cr)'!$C:$FB,2)</f>
        <v>550</v>
      </c>
      <c r="C32" s="75">
        <f>VLOOKUP($A32,'Data Vlaue (Cr)'!$C:$FB,8)</f>
        <v>1101.4000000000001</v>
      </c>
      <c r="D32" s="75">
        <f>VLOOKUP($A32,'Data Vlaue (Cr)'!$C:$FB,4)</f>
        <v>1104.9000000000001</v>
      </c>
      <c r="E32" s="75">
        <f>VLOOKUP($A32,'Data Vlaue (Cr)'!$C:$FB,5)</f>
        <v>1140.8</v>
      </c>
      <c r="F32" s="75">
        <f t="shared" si="0"/>
        <v>3.5</v>
      </c>
      <c r="G32" s="75">
        <f t="shared" si="1"/>
        <v>-3.2491628201647083</v>
      </c>
      <c r="H32" s="75">
        <f>VLOOKUP($A32,'Data Vlaue (Cr)'!$C:$FB,99)</f>
        <v>3163</v>
      </c>
      <c r="I32" s="75">
        <f>VLOOKUP($A32,'Data Vlaue (Cr)'!$C:$FB,100)</f>
        <v>2986</v>
      </c>
      <c r="J32" s="75">
        <f t="shared" si="2"/>
        <v>177</v>
      </c>
      <c r="K32" s="75">
        <f t="shared" si="3"/>
        <v>5.595953208978818</v>
      </c>
      <c r="L32" s="75">
        <f>VLOOKUP($A32,'Data Vlaue (Cr)'!$C:$FB,67)</f>
        <v>1612</v>
      </c>
      <c r="M32" s="75">
        <f>VLOOKUP($A32,'Data Vlaue (Cr)'!$C:$FB,68)</f>
        <v>788</v>
      </c>
      <c r="N32" s="75">
        <f t="shared" si="4"/>
        <v>824</v>
      </c>
      <c r="O32" s="75">
        <f t="shared" si="5"/>
        <v>51.116625310173703</v>
      </c>
      <c r="P32" s="75">
        <f>VLOOKUP($A32,'Data Vlaue (Cr)'!$C:$FB,119)</f>
        <v>0.66</v>
      </c>
      <c r="Q32" s="75">
        <f>VLOOKUP($A32,'Data Vlaue (Cr)'!$C:$FB,122)*100</f>
        <v>-2.94</v>
      </c>
      <c r="R32" s="75">
        <f>VLOOKUP($A32,'Data Vlaue (Cr)'!$C:$FB,125)</f>
        <v>0.66</v>
      </c>
      <c r="S32" s="75">
        <f>VLOOKUP($A32,'Data Vlaue (Cr)'!$C:$FB,128)*100</f>
        <v>83.33</v>
      </c>
    </row>
    <row r="33" spans="1:19" x14ac:dyDescent="0.25">
      <c r="A33" s="96" t="str">
        <f>'Data Vlaue (Cr)'!C24</f>
        <v>AXISBANK</v>
      </c>
      <c r="B33" s="75">
        <f>VLOOKUP($A33,'Data Vlaue (Cr)'!$C:$FB,2)</f>
        <v>625</v>
      </c>
      <c r="C33" s="75">
        <f>VLOOKUP($A33,'Data Vlaue (Cr)'!$C:$FB,8)</f>
        <v>1098</v>
      </c>
      <c r="D33" s="75">
        <f>VLOOKUP($A33,'Data Vlaue (Cr)'!$C:$FB,4)</f>
        <v>1101.5</v>
      </c>
      <c r="E33" s="75">
        <f>VLOOKUP($A33,'Data Vlaue (Cr)'!$C:$FB,5)</f>
        <v>1103.0999999999999</v>
      </c>
      <c r="F33" s="75">
        <f t="shared" si="0"/>
        <v>3.5</v>
      </c>
      <c r="G33" s="75">
        <f t="shared" si="1"/>
        <v>-0.14525646845210252</v>
      </c>
      <c r="H33" s="75">
        <f>VLOOKUP($A33,'Data Vlaue (Cr)'!$C:$FB,99)</f>
        <v>17505</v>
      </c>
      <c r="I33" s="75">
        <f>VLOOKUP($A33,'Data Vlaue (Cr)'!$C:$FB,100)</f>
        <v>17273</v>
      </c>
      <c r="J33" s="75">
        <f t="shared" si="2"/>
        <v>232</v>
      </c>
      <c r="K33" s="75">
        <f t="shared" si="3"/>
        <v>1.3253356183947442</v>
      </c>
      <c r="L33" s="75">
        <f>VLOOKUP($A33,'Data Vlaue (Cr)'!$C:$FB,67)</f>
        <v>11605</v>
      </c>
      <c r="M33" s="75">
        <f>VLOOKUP($A33,'Data Vlaue (Cr)'!$C:$FB,68)</f>
        <v>23810</v>
      </c>
      <c r="N33" s="75">
        <f t="shared" si="4"/>
        <v>-12205</v>
      </c>
      <c r="O33" s="75">
        <f t="shared" si="5"/>
        <v>-105.17018526497199</v>
      </c>
      <c r="P33" s="75">
        <f>VLOOKUP($A33,'Data Vlaue (Cr)'!$C:$FB,119)</f>
        <v>0.37</v>
      </c>
      <c r="Q33" s="75">
        <f>VLOOKUP($A33,'Data Vlaue (Cr)'!$C:$FB,122)*100</f>
        <v>-2.63</v>
      </c>
      <c r="R33" s="75">
        <f>VLOOKUP($A33,'Data Vlaue (Cr)'!$C:$FB,125)</f>
        <v>0.45</v>
      </c>
      <c r="S33" s="75">
        <f>VLOOKUP($A33,'Data Vlaue (Cr)'!$C:$FB,128)*100</f>
        <v>-25</v>
      </c>
    </row>
    <row r="34" spans="1:19" x14ac:dyDescent="0.25">
      <c r="A34" s="96" t="str">
        <f>'Data Vlaue (Cr)'!C25</f>
        <v>BAJAJ-AUTO</v>
      </c>
      <c r="B34" s="75">
        <f>VLOOKUP($A34,'Data Vlaue (Cr)'!$C:$FB,2)</f>
        <v>75</v>
      </c>
      <c r="C34" s="75">
        <f>VLOOKUP($A34,'Data Vlaue (Cr)'!$C:$FB,8)</f>
        <v>8295</v>
      </c>
      <c r="D34" s="75">
        <f>VLOOKUP($A34,'Data Vlaue (Cr)'!$C:$FB,4)</f>
        <v>8300.5</v>
      </c>
      <c r="E34" s="75">
        <f>VLOOKUP($A34,'Data Vlaue (Cr)'!$C:$FB,5)</f>
        <v>8446</v>
      </c>
      <c r="F34" s="75">
        <f t="shared" si="0"/>
        <v>5.5</v>
      </c>
      <c r="G34" s="75">
        <f t="shared" si="1"/>
        <v>-1.7529064514185893</v>
      </c>
      <c r="H34" s="180">
        <f>VLOOKUP($A34,'Data Vlaue (Cr)'!$C:$FB,99)</f>
        <v>4259</v>
      </c>
      <c r="I34" s="180">
        <f>VLOOKUP($A34,'Data Vlaue (Cr)'!$C:$FB,100)</f>
        <v>4072</v>
      </c>
      <c r="J34" s="180">
        <f t="shared" si="2"/>
        <v>187</v>
      </c>
      <c r="K34" s="180">
        <f t="shared" si="3"/>
        <v>4.3907020427330359</v>
      </c>
      <c r="L34" s="180">
        <f>VLOOKUP($A34,'Data Vlaue (Cr)'!$C:$FB,67)</f>
        <v>3168</v>
      </c>
      <c r="M34" s="180">
        <f>VLOOKUP($A34,'Data Vlaue (Cr)'!$C:$FB,68)</f>
        <v>2911</v>
      </c>
      <c r="N34" s="180">
        <f t="shared" si="4"/>
        <v>257</v>
      </c>
      <c r="O34" s="180">
        <f t="shared" si="5"/>
        <v>8.112373737373737</v>
      </c>
      <c r="P34" s="180">
        <f>VLOOKUP($A34,'Data Vlaue (Cr)'!$C:$FB,119)</f>
        <v>0.63</v>
      </c>
      <c r="Q34" s="180">
        <f>VLOOKUP($A34,'Data Vlaue (Cr)'!$C:$FB,122)*100</f>
        <v>-8.6999999999999993</v>
      </c>
      <c r="R34" s="180">
        <f>VLOOKUP($A34,'Data Vlaue (Cr)'!$C:$FB,125)</f>
        <v>0.66</v>
      </c>
      <c r="S34" s="180">
        <f>VLOOKUP($A34,'Data Vlaue (Cr)'!$C:$FB,128)*100</f>
        <v>26.919999999999998</v>
      </c>
    </row>
    <row r="35" spans="1:19" x14ac:dyDescent="0.25">
      <c r="A35" s="96" t="str">
        <f>'Data Vlaue (Cr)'!C26</f>
        <v>BAJAJFINSV</v>
      </c>
      <c r="B35" s="75">
        <f>VLOOKUP($A35,'Data Vlaue (Cr)'!$C:$FB,2)</f>
        <v>500</v>
      </c>
      <c r="C35" s="75">
        <f>VLOOKUP($A35,'Data Vlaue (Cr)'!$C:$FB,8)</f>
        <v>2039.6</v>
      </c>
      <c r="D35" s="75">
        <f>VLOOKUP($A35,'Data Vlaue (Cr)'!$C:$FB,4)</f>
        <v>2043</v>
      </c>
      <c r="E35" s="75">
        <f>VLOOKUP($A35,'Data Vlaue (Cr)'!$C:$FB,5)</f>
        <v>2060.5</v>
      </c>
      <c r="F35" s="75">
        <f t="shared" si="0"/>
        <v>3.4000000000000909</v>
      </c>
      <c r="G35" s="75">
        <f t="shared" si="1"/>
        <v>-0.85658345570239836</v>
      </c>
      <c r="H35" s="75">
        <f>VLOOKUP($A35,'Data Vlaue (Cr)'!$C:$FB,99)</f>
        <v>5869</v>
      </c>
      <c r="I35" s="75">
        <f>VLOOKUP($A35,'Data Vlaue (Cr)'!$C:$FB,100)</f>
        <v>5864</v>
      </c>
      <c r="J35" s="75">
        <f t="shared" si="2"/>
        <v>5</v>
      </c>
      <c r="K35" s="75">
        <f t="shared" si="3"/>
        <v>8.5193388993014138E-2</v>
      </c>
      <c r="L35" s="75">
        <f>VLOOKUP($A35,'Data Vlaue (Cr)'!$C:$FB,67)</f>
        <v>4009</v>
      </c>
      <c r="M35" s="75">
        <f>VLOOKUP($A35,'Data Vlaue (Cr)'!$C:$FB,68)</f>
        <v>3574</v>
      </c>
      <c r="N35" s="75">
        <f t="shared" si="4"/>
        <v>435</v>
      </c>
      <c r="O35" s="75">
        <f t="shared" si="5"/>
        <v>10.850586181092542</v>
      </c>
      <c r="P35" s="75">
        <f>VLOOKUP($A35,'Data Vlaue (Cr)'!$C:$FB,119)</f>
        <v>0.55000000000000004</v>
      </c>
      <c r="Q35" s="75">
        <f>VLOOKUP($A35,'Data Vlaue (Cr)'!$C:$FB,122)*100</f>
        <v>-1.79</v>
      </c>
      <c r="R35" s="75">
        <f>VLOOKUP($A35,'Data Vlaue (Cr)'!$C:$FB,125)</f>
        <v>0.59</v>
      </c>
      <c r="S35" s="75">
        <f>VLOOKUP($A35,'Data Vlaue (Cr)'!$C:$FB,128)*100</f>
        <v>5.36</v>
      </c>
    </row>
    <row r="36" spans="1:19" x14ac:dyDescent="0.25">
      <c r="A36" s="96" t="str">
        <f>'Data Vlaue (Cr)'!C27</f>
        <v>BAJFINANCE</v>
      </c>
      <c r="B36" s="75">
        <f>VLOOKUP($A36,'Data Vlaue (Cr)'!$C:$FB,2)</f>
        <v>750</v>
      </c>
      <c r="C36" s="75">
        <f>VLOOKUP($A36,'Data Vlaue (Cr)'!$C:$FB,8)</f>
        <v>952.55</v>
      </c>
      <c r="D36" s="75">
        <f>VLOOKUP($A36,'Data Vlaue (Cr)'!$C:$FB,4)</f>
        <v>955.95</v>
      </c>
      <c r="E36" s="75">
        <f>VLOOKUP($A36,'Data Vlaue (Cr)'!$C:$FB,5)</f>
        <v>951.15</v>
      </c>
      <c r="F36" s="75">
        <f t="shared" si="0"/>
        <v>3.4000000000000909</v>
      </c>
      <c r="G36" s="75">
        <f t="shared" si="1"/>
        <v>0.50211831162718423</v>
      </c>
      <c r="H36" s="75">
        <f>VLOOKUP($A36,'Data Vlaue (Cr)'!$C:$FB,99)</f>
        <v>12086</v>
      </c>
      <c r="I36" s="75">
        <f>VLOOKUP($A36,'Data Vlaue (Cr)'!$C:$FB,100)</f>
        <v>12078</v>
      </c>
      <c r="J36" s="75">
        <f t="shared" si="2"/>
        <v>8</v>
      </c>
      <c r="K36" s="75">
        <f t="shared" si="3"/>
        <v>6.6192288598378293E-2</v>
      </c>
      <c r="L36" s="75">
        <f>VLOOKUP($A36,'Data Vlaue (Cr)'!$C:$FB,67)</f>
        <v>6544</v>
      </c>
      <c r="M36" s="75">
        <f>VLOOKUP($A36,'Data Vlaue (Cr)'!$C:$FB,68)</f>
        <v>4565</v>
      </c>
      <c r="N36" s="75">
        <f t="shared" si="4"/>
        <v>1979</v>
      </c>
      <c r="O36" s="75">
        <f t="shared" si="5"/>
        <v>30.241442542787283</v>
      </c>
      <c r="P36" s="75">
        <f>VLOOKUP($A36,'Data Vlaue (Cr)'!$C:$FB,119)</f>
        <v>0.88</v>
      </c>
      <c r="Q36" s="75">
        <f>VLOOKUP($A36,'Data Vlaue (Cr)'!$C:$FB,122)*100</f>
        <v>3.53</v>
      </c>
      <c r="R36" s="75">
        <f>VLOOKUP($A36,'Data Vlaue (Cr)'!$C:$FB,125)</f>
        <v>0.6</v>
      </c>
      <c r="S36" s="75">
        <f>VLOOKUP($A36,'Data Vlaue (Cr)'!$C:$FB,128)*100</f>
        <v>0</v>
      </c>
    </row>
    <row r="37" spans="1:19" x14ac:dyDescent="0.25">
      <c r="A37" s="96" t="str">
        <f>'Data Vlaue (Cr)'!C28</f>
        <v>BALKRISIND</v>
      </c>
      <c r="B37" s="75">
        <f>VLOOKUP($A37,'Data Vlaue (Cr)'!$C:$FB,2)</f>
        <v>300</v>
      </c>
      <c r="C37" s="75">
        <f>VLOOKUP($A37,'Data Vlaue (Cr)'!$C:$FB,8)</f>
        <v>2756.9</v>
      </c>
      <c r="D37" s="75">
        <f>VLOOKUP($A37,'Data Vlaue (Cr)'!$C:$FB,4)</f>
        <v>2763.9</v>
      </c>
      <c r="E37" s="75">
        <f>VLOOKUP($A37,'Data Vlaue (Cr)'!$C:$FB,5)</f>
        <v>2777.9</v>
      </c>
      <c r="F37" s="75">
        <f t="shared" si="0"/>
        <v>7</v>
      </c>
      <c r="G37" s="75">
        <f t="shared" si="1"/>
        <v>-0.50653062701255469</v>
      </c>
      <c r="H37" s="75">
        <f>VLOOKUP($A37,'Data Vlaue (Cr)'!$C:$FB,99)</f>
        <v>1024</v>
      </c>
      <c r="I37" s="75">
        <f>VLOOKUP($A37,'Data Vlaue (Cr)'!$C:$FB,100)</f>
        <v>1056</v>
      </c>
      <c r="J37" s="75">
        <f t="shared" si="2"/>
        <v>-32</v>
      </c>
      <c r="K37" s="75">
        <f t="shared" si="3"/>
        <v>-3.125</v>
      </c>
      <c r="L37" s="75">
        <f>VLOOKUP($A37,'Data Vlaue (Cr)'!$C:$FB,67)</f>
        <v>461</v>
      </c>
      <c r="M37" s="75">
        <f>VLOOKUP($A37,'Data Vlaue (Cr)'!$C:$FB,68)</f>
        <v>797</v>
      </c>
      <c r="N37" s="75">
        <f t="shared" si="4"/>
        <v>-336</v>
      </c>
      <c r="O37" s="75">
        <f t="shared" si="5"/>
        <v>-72.885032537960953</v>
      </c>
      <c r="P37" s="75">
        <f>VLOOKUP($A37,'Data Vlaue (Cr)'!$C:$FB,119)</f>
        <v>0.65</v>
      </c>
      <c r="Q37" s="75">
        <f>VLOOKUP($A37,'Data Vlaue (Cr)'!$C:$FB,122)*100</f>
        <v>3.17</v>
      </c>
      <c r="R37" s="75">
        <f>VLOOKUP($A37,'Data Vlaue (Cr)'!$C:$FB,125)</f>
        <v>0.49</v>
      </c>
      <c r="S37" s="75">
        <f>VLOOKUP($A37,'Data Vlaue (Cr)'!$C:$FB,128)*100</f>
        <v>-9.26</v>
      </c>
    </row>
    <row r="38" spans="1:19" x14ac:dyDescent="0.25">
      <c r="A38" s="96" t="str">
        <f>'Data Vlaue (Cr)'!C29</f>
        <v>BANDHANBNK</v>
      </c>
      <c r="B38" s="75">
        <f>VLOOKUP($A38,'Data Vlaue (Cr)'!$C:$FB,2)</f>
        <v>3600</v>
      </c>
      <c r="C38" s="75">
        <f>VLOOKUP($A38,'Data Vlaue (Cr)'!$C:$FB,8)</f>
        <v>180.94</v>
      </c>
      <c r="D38" s="75">
        <f>VLOOKUP($A38,'Data Vlaue (Cr)'!$C:$FB,4)</f>
        <v>181.38</v>
      </c>
      <c r="E38" s="75">
        <f>VLOOKUP($A38,'Data Vlaue (Cr)'!$C:$FB,5)</f>
        <v>182.52</v>
      </c>
      <c r="F38" s="75">
        <f t="shared" si="0"/>
        <v>0.43999999999999773</v>
      </c>
      <c r="G38" s="75">
        <f t="shared" si="1"/>
        <v>-0.62851472047635615</v>
      </c>
      <c r="H38" s="75">
        <f>VLOOKUP($A38,'Data Vlaue (Cr)'!$C:$FB,99)</f>
        <v>3024</v>
      </c>
      <c r="I38" s="75">
        <f>VLOOKUP($A38,'Data Vlaue (Cr)'!$C:$FB,100)</f>
        <v>3153</v>
      </c>
      <c r="J38" s="75">
        <f t="shared" si="2"/>
        <v>-129</v>
      </c>
      <c r="K38" s="75">
        <f t="shared" si="3"/>
        <v>-4.2658730158730158</v>
      </c>
      <c r="L38" s="75">
        <f>VLOOKUP($A38,'Data Vlaue (Cr)'!$C:$FB,67)</f>
        <v>129</v>
      </c>
      <c r="M38" s="75">
        <f>VLOOKUP($A38,'Data Vlaue (Cr)'!$C:$FB,68)</f>
        <v>480</v>
      </c>
      <c r="N38" s="75">
        <f t="shared" si="4"/>
        <v>-351</v>
      </c>
      <c r="O38" s="75">
        <f t="shared" si="5"/>
        <v>-272.09302325581393</v>
      </c>
      <c r="P38" s="75">
        <f>VLOOKUP($A38,'Data Vlaue (Cr)'!$C:$FB,119)</f>
        <v>0.56000000000000005</v>
      </c>
      <c r="Q38" s="75">
        <f>VLOOKUP($A38,'Data Vlaue (Cr)'!$C:$FB,122)*100</f>
        <v>1.82</v>
      </c>
      <c r="R38" s="75">
        <f>VLOOKUP($A38,'Data Vlaue (Cr)'!$C:$FB,125)</f>
        <v>0.34</v>
      </c>
      <c r="S38" s="75">
        <f>VLOOKUP($A38,'Data Vlaue (Cr)'!$C:$FB,128)*100</f>
        <v>-37.04</v>
      </c>
    </row>
    <row r="39" spans="1:19" x14ac:dyDescent="0.25">
      <c r="A39" s="96" t="str">
        <f>'Data Vlaue (Cr)'!C30</f>
        <v>BANKBARODA</v>
      </c>
      <c r="B39" s="75">
        <f>VLOOKUP($A39,'Data Vlaue (Cr)'!$C:$FB,2)</f>
        <v>2925</v>
      </c>
      <c r="C39" s="75">
        <f>VLOOKUP($A39,'Data Vlaue (Cr)'!$C:$FB,8)</f>
        <v>239.48</v>
      </c>
      <c r="D39" s="75">
        <f>VLOOKUP($A39,'Data Vlaue (Cr)'!$C:$FB,4)</f>
        <v>239.72</v>
      </c>
      <c r="E39" s="75">
        <f>VLOOKUP($A39,'Data Vlaue (Cr)'!$C:$FB,5)</f>
        <v>244.08</v>
      </c>
      <c r="F39" s="75">
        <f t="shared" si="0"/>
        <v>0.24000000000000909</v>
      </c>
      <c r="G39" s="75">
        <f t="shared" si="1"/>
        <v>-1.8187885866844709</v>
      </c>
      <c r="H39" s="75">
        <f>VLOOKUP($A39,'Data Vlaue (Cr)'!$C:$FB,99)</f>
        <v>4745</v>
      </c>
      <c r="I39" s="75">
        <f>VLOOKUP($A39,'Data Vlaue (Cr)'!$C:$FB,100)</f>
        <v>4649</v>
      </c>
      <c r="J39" s="75">
        <f t="shared" si="2"/>
        <v>96</v>
      </c>
      <c r="K39" s="75">
        <f t="shared" si="3"/>
        <v>2.0231822971548996</v>
      </c>
      <c r="L39" s="75">
        <f>VLOOKUP($A39,'Data Vlaue (Cr)'!$C:$FB,67)</f>
        <v>3174</v>
      </c>
      <c r="M39" s="75">
        <f>VLOOKUP($A39,'Data Vlaue (Cr)'!$C:$FB,68)</f>
        <v>2402</v>
      </c>
      <c r="N39" s="75">
        <f t="shared" si="4"/>
        <v>772</v>
      </c>
      <c r="O39" s="75">
        <f t="shared" si="5"/>
        <v>24.322621298046627</v>
      </c>
      <c r="P39" s="75">
        <f>VLOOKUP($A39,'Data Vlaue (Cr)'!$C:$FB,119)</f>
        <v>0.87</v>
      </c>
      <c r="Q39" s="75">
        <f>VLOOKUP($A39,'Data Vlaue (Cr)'!$C:$FB,122)*100</f>
        <v>0</v>
      </c>
      <c r="R39" s="75">
        <f>VLOOKUP($A39,'Data Vlaue (Cr)'!$C:$FB,125)</f>
        <v>0.94</v>
      </c>
      <c r="S39" s="75">
        <f>VLOOKUP($A39,'Data Vlaue (Cr)'!$C:$FB,128)*100</f>
        <v>30.56</v>
      </c>
    </row>
    <row r="40" spans="1:19" x14ac:dyDescent="0.25">
      <c r="A40" s="96" t="str">
        <f>'Data Vlaue (Cr)'!C31</f>
        <v>BANKINDIA</v>
      </c>
      <c r="B40" s="75">
        <f>VLOOKUP($A40,'Data Vlaue (Cr)'!$C:$FB,2)</f>
        <v>5200</v>
      </c>
      <c r="C40" s="75">
        <f>VLOOKUP($A40,'Data Vlaue (Cr)'!$C:$FB,8)</f>
        <v>113.13</v>
      </c>
      <c r="D40" s="75">
        <f>VLOOKUP($A40,'Data Vlaue (Cr)'!$C:$FB,4)</f>
        <v>113.16</v>
      </c>
      <c r="E40" s="75">
        <f>VLOOKUP($A40,'Data Vlaue (Cr)'!$C:$FB,5)</f>
        <v>114.79</v>
      </c>
      <c r="F40" s="75">
        <f t="shared" si="0"/>
        <v>3.0000000000001137E-2</v>
      </c>
      <c r="G40" s="75">
        <f t="shared" si="1"/>
        <v>-1.4404383174266611</v>
      </c>
      <c r="H40" s="75">
        <f>VLOOKUP($A40,'Data Vlaue (Cr)'!$C:$FB,99)</f>
        <v>1497</v>
      </c>
      <c r="I40" s="75">
        <f>VLOOKUP($A40,'Data Vlaue (Cr)'!$C:$FB,100)</f>
        <v>1495</v>
      </c>
      <c r="J40" s="75">
        <f t="shared" si="2"/>
        <v>2</v>
      </c>
      <c r="K40" s="75">
        <f t="shared" si="3"/>
        <v>0.13360053440213762</v>
      </c>
      <c r="L40" s="75">
        <f>VLOOKUP($A40,'Data Vlaue (Cr)'!$C:$FB,67)</f>
        <v>344</v>
      </c>
      <c r="M40" s="75">
        <f>VLOOKUP($A40,'Data Vlaue (Cr)'!$C:$FB,68)</f>
        <v>514</v>
      </c>
      <c r="N40" s="75">
        <f t="shared" si="4"/>
        <v>-170</v>
      </c>
      <c r="O40" s="75">
        <f t="shared" si="5"/>
        <v>-49.418604651162788</v>
      </c>
      <c r="P40" s="75">
        <f>VLOOKUP($A40,'Data Vlaue (Cr)'!$C:$FB,119)</f>
        <v>0.61</v>
      </c>
      <c r="Q40" s="75">
        <f>VLOOKUP($A40,'Data Vlaue (Cr)'!$C:$FB,122)*100</f>
        <v>5.17</v>
      </c>
      <c r="R40" s="75">
        <f>VLOOKUP($A40,'Data Vlaue (Cr)'!$C:$FB,125)</f>
        <v>0.46</v>
      </c>
      <c r="S40" s="75">
        <f>VLOOKUP($A40,'Data Vlaue (Cr)'!$C:$FB,128)*100</f>
        <v>0</v>
      </c>
    </row>
    <row r="41" spans="1:19" x14ac:dyDescent="0.25">
      <c r="A41" s="96" t="str">
        <f>'Data Vlaue (Cr)'!C32</f>
        <v>BANKNIFTY</v>
      </c>
      <c r="B41" s="75">
        <f>VLOOKUP($A41,'Data Vlaue (Cr)'!$C:$FB,2)</f>
        <v>35</v>
      </c>
      <c r="C41" s="75">
        <f>VLOOKUP($A41,'Data Vlaue (Cr)'!$C:$FB,8)</f>
        <v>56756</v>
      </c>
      <c r="D41" s="75">
        <f>VLOOKUP($A41,'Data Vlaue (Cr)'!$C:$FB,4)</f>
        <v>56804.6</v>
      </c>
      <c r="E41" s="75">
        <f>VLOOKUP($A41,'Data Vlaue (Cr)'!$C:$FB,5)</f>
        <v>56981.8</v>
      </c>
      <c r="F41" s="75">
        <f t="shared" si="0"/>
        <v>48.599999999998545</v>
      </c>
      <c r="G41" s="75">
        <f t="shared" si="1"/>
        <v>-0.31194656770755252</v>
      </c>
      <c r="H41" s="75">
        <f>VLOOKUP($A41,'Data Vlaue (Cr)'!$C:$FB,99)</f>
        <v>271303</v>
      </c>
      <c r="I41" s="75">
        <f>VLOOKUP($A41,'Data Vlaue (Cr)'!$C:$FB,100)</f>
        <v>251521</v>
      </c>
      <c r="J41" s="75">
        <f t="shared" si="2"/>
        <v>19782</v>
      </c>
      <c r="K41" s="75">
        <f t="shared" si="3"/>
        <v>7.2914785313837296</v>
      </c>
      <c r="L41" s="75">
        <f>VLOOKUP($A41,'Data Vlaue (Cr)'!$C:$FB,67)</f>
        <v>780944</v>
      </c>
      <c r="M41" s="75">
        <f>VLOOKUP($A41,'Data Vlaue (Cr)'!$C:$FB,68)</f>
        <v>1060146</v>
      </c>
      <c r="N41" s="75">
        <f t="shared" si="4"/>
        <v>-279202</v>
      </c>
      <c r="O41" s="75">
        <f t="shared" si="5"/>
        <v>-35.751859288246017</v>
      </c>
      <c r="P41" s="75">
        <f>VLOOKUP($A41,'Data Vlaue (Cr)'!$C:$FB,119)</f>
        <v>0.81</v>
      </c>
      <c r="Q41" s="75">
        <f>VLOOKUP($A41,'Data Vlaue (Cr)'!$C:$FB,122)*100</f>
        <v>-7.95</v>
      </c>
      <c r="R41" s="75">
        <f>VLOOKUP($A41,'Data Vlaue (Cr)'!$C:$FB,125)</f>
        <v>0.9</v>
      </c>
      <c r="S41" s="75">
        <f>VLOOKUP($A41,'Data Vlaue (Cr)'!$C:$FB,128)*100</f>
        <v>13.919999999999998</v>
      </c>
    </row>
    <row r="42" spans="1:19" x14ac:dyDescent="0.25">
      <c r="A42" s="96" t="str">
        <f>'Data Vlaue (Cr)'!C33</f>
        <v>BDL</v>
      </c>
      <c r="B42" s="75">
        <f>VLOOKUP($A42,'Data Vlaue (Cr)'!$C:$FB,2)</f>
        <v>325</v>
      </c>
      <c r="C42" s="75">
        <f>VLOOKUP($A42,'Data Vlaue (Cr)'!$C:$FB,8)</f>
        <v>1717.4</v>
      </c>
      <c r="D42" s="75">
        <f>VLOOKUP($A42,'Data Vlaue (Cr)'!$C:$FB,4)</f>
        <v>1717.6</v>
      </c>
      <c r="E42" s="75">
        <f>VLOOKUP($A42,'Data Vlaue (Cr)'!$C:$FB,5)</f>
        <v>1721.9</v>
      </c>
      <c r="F42" s="75">
        <f t="shared" si="0"/>
        <v>0.1999999999998181</v>
      </c>
      <c r="G42" s="75">
        <f t="shared" si="1"/>
        <v>-0.2503493246390418</v>
      </c>
      <c r="H42" s="75">
        <f>VLOOKUP($A42,'Data Vlaue (Cr)'!$C:$FB,99)</f>
        <v>2075</v>
      </c>
      <c r="I42" s="75">
        <f>VLOOKUP($A42,'Data Vlaue (Cr)'!$C:$FB,100)</f>
        <v>2111</v>
      </c>
      <c r="J42" s="75">
        <f t="shared" si="2"/>
        <v>-36</v>
      </c>
      <c r="K42" s="75">
        <f t="shared" si="3"/>
        <v>-1.7349397590361446</v>
      </c>
      <c r="L42" s="75">
        <f>VLOOKUP($A42,'Data Vlaue (Cr)'!$C:$FB,67)</f>
        <v>1023</v>
      </c>
      <c r="M42" s="75">
        <f>VLOOKUP($A42,'Data Vlaue (Cr)'!$C:$FB,68)</f>
        <v>2734</v>
      </c>
      <c r="N42" s="75">
        <f t="shared" si="4"/>
        <v>-1711</v>
      </c>
      <c r="O42" s="75">
        <f t="shared" si="5"/>
        <v>-167.25317693059628</v>
      </c>
      <c r="P42" s="75">
        <f>VLOOKUP($A42,'Data Vlaue (Cr)'!$C:$FB,119)</f>
        <v>0.35</v>
      </c>
      <c r="Q42" s="75">
        <f>VLOOKUP($A42,'Data Vlaue (Cr)'!$C:$FB,122)*100</f>
        <v>-2.78</v>
      </c>
      <c r="R42" s="75">
        <f>VLOOKUP($A42,'Data Vlaue (Cr)'!$C:$FB,125)</f>
        <v>0.33</v>
      </c>
      <c r="S42" s="75">
        <f>VLOOKUP($A42,'Data Vlaue (Cr)'!$C:$FB,128)*100</f>
        <v>-21.43</v>
      </c>
    </row>
    <row r="43" spans="1:19" x14ac:dyDescent="0.25">
      <c r="A43" s="96" t="str">
        <f>'Data Vlaue (Cr)'!C34</f>
        <v>BEL</v>
      </c>
      <c r="B43" s="75">
        <f>VLOOKUP($A43,'Data Vlaue (Cr)'!$C:$FB,2)</f>
        <v>2850</v>
      </c>
      <c r="C43" s="75">
        <f>VLOOKUP($A43,'Data Vlaue (Cr)'!$C:$FB,8)</f>
        <v>403.1</v>
      </c>
      <c r="D43" s="75">
        <f>VLOOKUP($A43,'Data Vlaue (Cr)'!$C:$FB,4)</f>
        <v>403.65</v>
      </c>
      <c r="E43" s="75">
        <f>VLOOKUP($A43,'Data Vlaue (Cr)'!$C:$FB,5)</f>
        <v>401.1</v>
      </c>
      <c r="F43" s="75">
        <f t="shared" si="0"/>
        <v>0.54999999999995453</v>
      </c>
      <c r="G43" s="75">
        <f t="shared" si="1"/>
        <v>0.63173541434409874</v>
      </c>
      <c r="H43" s="75">
        <f>VLOOKUP($A43,'Data Vlaue (Cr)'!$C:$FB,99)</f>
        <v>11104</v>
      </c>
      <c r="I43" s="75">
        <f>VLOOKUP($A43,'Data Vlaue (Cr)'!$C:$FB,100)</f>
        <v>11137</v>
      </c>
      <c r="J43" s="75">
        <f t="shared" si="2"/>
        <v>-33</v>
      </c>
      <c r="K43" s="75">
        <f t="shared" si="3"/>
        <v>-0.29719020172910665</v>
      </c>
      <c r="L43" s="75">
        <f>VLOOKUP($A43,'Data Vlaue (Cr)'!$C:$FB,67)</f>
        <v>5953</v>
      </c>
      <c r="M43" s="75">
        <f>VLOOKUP($A43,'Data Vlaue (Cr)'!$C:$FB,68)</f>
        <v>8971</v>
      </c>
      <c r="N43" s="75">
        <f t="shared" si="4"/>
        <v>-3018</v>
      </c>
      <c r="O43" s="75">
        <f t="shared" si="5"/>
        <v>-50.697127498740137</v>
      </c>
      <c r="P43" s="75">
        <f>VLOOKUP($A43,'Data Vlaue (Cr)'!$C:$FB,119)</f>
        <v>0.56999999999999995</v>
      </c>
      <c r="Q43" s="75">
        <f>VLOOKUP($A43,'Data Vlaue (Cr)'!$C:$FB,122)*100</f>
        <v>3.64</v>
      </c>
      <c r="R43" s="75">
        <f>VLOOKUP($A43,'Data Vlaue (Cr)'!$C:$FB,125)</f>
        <v>0.47</v>
      </c>
      <c r="S43" s="75">
        <f>VLOOKUP($A43,'Data Vlaue (Cr)'!$C:$FB,128)*100</f>
        <v>-14.549999999999999</v>
      </c>
    </row>
    <row r="44" spans="1:19" x14ac:dyDescent="0.25">
      <c r="A44" s="96" t="str">
        <f>'Data Vlaue (Cr)'!C35</f>
        <v>BHARATFORG</v>
      </c>
      <c r="B44" s="75">
        <f>VLOOKUP($A44,'Data Vlaue (Cr)'!$C:$FB,2)</f>
        <v>500</v>
      </c>
      <c r="C44" s="75">
        <f>VLOOKUP($A44,'Data Vlaue (Cr)'!$C:$FB,8)</f>
        <v>1204.7</v>
      </c>
      <c r="D44" s="75">
        <f>VLOOKUP($A44,'Data Vlaue (Cr)'!$C:$FB,4)</f>
        <v>1206.5999999999999</v>
      </c>
      <c r="E44" s="75">
        <f>VLOOKUP($A44,'Data Vlaue (Cr)'!$C:$FB,5)</f>
        <v>1224.4000000000001</v>
      </c>
      <c r="F44" s="75">
        <f t="shared" si="0"/>
        <v>1.8999999999998636</v>
      </c>
      <c r="G44" s="75">
        <f t="shared" si="1"/>
        <v>-1.4752196253936833</v>
      </c>
      <c r="H44" s="75">
        <f>VLOOKUP($A44,'Data Vlaue (Cr)'!$C:$FB,99)</f>
        <v>2406</v>
      </c>
      <c r="I44" s="75">
        <f>VLOOKUP($A44,'Data Vlaue (Cr)'!$C:$FB,100)</f>
        <v>2373</v>
      </c>
      <c r="J44" s="75">
        <f t="shared" si="2"/>
        <v>33</v>
      </c>
      <c r="K44" s="75">
        <f t="shared" si="3"/>
        <v>1.3715710723192018</v>
      </c>
      <c r="L44" s="75">
        <f>VLOOKUP($A44,'Data Vlaue (Cr)'!$C:$FB,67)</f>
        <v>589</v>
      </c>
      <c r="M44" s="75">
        <f>VLOOKUP($A44,'Data Vlaue (Cr)'!$C:$FB,68)</f>
        <v>431</v>
      </c>
      <c r="N44" s="75">
        <f t="shared" si="4"/>
        <v>158</v>
      </c>
      <c r="O44" s="75">
        <f t="shared" si="5"/>
        <v>26.825127334465193</v>
      </c>
      <c r="P44" s="75">
        <f>VLOOKUP($A44,'Data Vlaue (Cr)'!$C:$FB,119)</f>
        <v>0.65</v>
      </c>
      <c r="Q44" s="75">
        <f>VLOOKUP($A44,'Data Vlaue (Cr)'!$C:$FB,122)*100</f>
        <v>3.17</v>
      </c>
      <c r="R44" s="75">
        <f>VLOOKUP($A44,'Data Vlaue (Cr)'!$C:$FB,125)</f>
        <v>0.55000000000000004</v>
      </c>
      <c r="S44" s="75">
        <f>VLOOKUP($A44,'Data Vlaue (Cr)'!$C:$FB,128)*100</f>
        <v>34.150000000000006</v>
      </c>
    </row>
    <row r="45" spans="1:19" x14ac:dyDescent="0.25">
      <c r="A45" s="96" t="str">
        <f>'Data Vlaue (Cr)'!C36</f>
        <v>BHARTIARTL</v>
      </c>
      <c r="B45" s="75">
        <f>VLOOKUP($A45,'Data Vlaue (Cr)'!$C:$FB,2)</f>
        <v>475</v>
      </c>
      <c r="C45" s="75">
        <f>VLOOKUP($A45,'Data Vlaue (Cr)'!$C:$FB,8)</f>
        <v>1906.8</v>
      </c>
      <c r="D45" s="75">
        <f>VLOOKUP($A45,'Data Vlaue (Cr)'!$C:$FB,4)</f>
        <v>1908.2</v>
      </c>
      <c r="E45" s="75">
        <f>VLOOKUP($A45,'Data Vlaue (Cr)'!$C:$FB,5)</f>
        <v>1912.6</v>
      </c>
      <c r="F45" s="75">
        <f t="shared" si="0"/>
        <v>1.4000000000000909</v>
      </c>
      <c r="G45" s="75">
        <f t="shared" si="1"/>
        <v>-0.23058379624776559</v>
      </c>
      <c r="H45" s="75">
        <f>VLOOKUP($A45,'Data Vlaue (Cr)'!$C:$FB,99)</f>
        <v>15354</v>
      </c>
      <c r="I45" s="75">
        <f>VLOOKUP($A45,'Data Vlaue (Cr)'!$C:$FB,100)</f>
        <v>15413</v>
      </c>
      <c r="J45" s="75">
        <f t="shared" si="2"/>
        <v>-59</v>
      </c>
      <c r="K45" s="75">
        <f t="shared" si="3"/>
        <v>-0.38426468672658587</v>
      </c>
      <c r="L45" s="75">
        <f>VLOOKUP($A45,'Data Vlaue (Cr)'!$C:$FB,67)</f>
        <v>4809</v>
      </c>
      <c r="M45" s="75">
        <f>VLOOKUP($A45,'Data Vlaue (Cr)'!$C:$FB,68)</f>
        <v>4720</v>
      </c>
      <c r="N45" s="75">
        <f t="shared" si="4"/>
        <v>89</v>
      </c>
      <c r="O45" s="75">
        <f t="shared" si="5"/>
        <v>1.8506966105219382</v>
      </c>
      <c r="P45" s="75">
        <f>VLOOKUP($A45,'Data Vlaue (Cr)'!$C:$FB,119)</f>
        <v>0.42</v>
      </c>
      <c r="Q45" s="75">
        <f>VLOOKUP($A45,'Data Vlaue (Cr)'!$C:$FB,122)*100</f>
        <v>2.44</v>
      </c>
      <c r="R45" s="75">
        <f>VLOOKUP($A45,'Data Vlaue (Cr)'!$C:$FB,125)</f>
        <v>0.39</v>
      </c>
      <c r="S45" s="75">
        <f>VLOOKUP($A45,'Data Vlaue (Cr)'!$C:$FB,128)*100</f>
        <v>30</v>
      </c>
    </row>
    <row r="46" spans="1:19" x14ac:dyDescent="0.25">
      <c r="A46" s="96" t="str">
        <f>'Data Vlaue (Cr)'!C37</f>
        <v>BHEL</v>
      </c>
      <c r="B46" s="75">
        <f>VLOOKUP($A46,'Data Vlaue (Cr)'!$C:$FB,2)</f>
        <v>2625</v>
      </c>
      <c r="C46" s="75">
        <f>VLOOKUP($A46,'Data Vlaue (Cr)'!$C:$FB,8)</f>
        <v>250.5</v>
      </c>
      <c r="D46" s="75">
        <f>VLOOKUP($A46,'Data Vlaue (Cr)'!$C:$FB,4)</f>
        <v>250.8</v>
      </c>
      <c r="E46" s="75">
        <f>VLOOKUP($A46,'Data Vlaue (Cr)'!$C:$FB,5)</f>
        <v>255.3</v>
      </c>
      <c r="F46" s="75">
        <f t="shared" si="0"/>
        <v>0.30000000000001137</v>
      </c>
      <c r="G46" s="75">
        <f t="shared" si="1"/>
        <v>-1.7942583732057416</v>
      </c>
      <c r="H46" s="75">
        <f>VLOOKUP($A46,'Data Vlaue (Cr)'!$C:$FB,99)</f>
        <v>2760</v>
      </c>
      <c r="I46" s="75">
        <f>VLOOKUP($A46,'Data Vlaue (Cr)'!$C:$FB,100)</f>
        <v>2690</v>
      </c>
      <c r="J46" s="75">
        <f t="shared" si="2"/>
        <v>70</v>
      </c>
      <c r="K46" s="75">
        <f t="shared" si="3"/>
        <v>2.5362318840579712</v>
      </c>
      <c r="L46" s="75">
        <f>VLOOKUP($A46,'Data Vlaue (Cr)'!$C:$FB,67)</f>
        <v>1058</v>
      </c>
      <c r="M46" s="75">
        <f>VLOOKUP($A46,'Data Vlaue (Cr)'!$C:$FB,68)</f>
        <v>1089</v>
      </c>
      <c r="N46" s="75">
        <f t="shared" si="4"/>
        <v>-31</v>
      </c>
      <c r="O46" s="75">
        <f t="shared" si="5"/>
        <v>-2.9300567107750473</v>
      </c>
      <c r="P46" s="75">
        <f>VLOOKUP($A46,'Data Vlaue (Cr)'!$C:$FB,119)</f>
        <v>0.52</v>
      </c>
      <c r="Q46" s="75">
        <f>VLOOKUP($A46,'Data Vlaue (Cr)'!$C:$FB,122)*100</f>
        <v>-3.6999999999999997</v>
      </c>
      <c r="R46" s="75">
        <f>VLOOKUP($A46,'Data Vlaue (Cr)'!$C:$FB,125)</f>
        <v>0.54</v>
      </c>
      <c r="S46" s="75">
        <f>VLOOKUP($A46,'Data Vlaue (Cr)'!$C:$FB,128)*100</f>
        <v>20</v>
      </c>
    </row>
    <row r="47" spans="1:19" x14ac:dyDescent="0.25">
      <c r="A47" s="96" t="str">
        <f>'Data Vlaue (Cr)'!C38</f>
        <v>BIOCON</v>
      </c>
      <c r="B47" s="75">
        <f>VLOOKUP($A47,'Data Vlaue (Cr)'!$C:$FB,2)</f>
        <v>2500</v>
      </c>
      <c r="C47" s="75">
        <f>VLOOKUP($A47,'Data Vlaue (Cr)'!$C:$FB,8)</f>
        <v>387.2</v>
      </c>
      <c r="D47" s="75">
        <f>VLOOKUP($A47,'Data Vlaue (Cr)'!$C:$FB,4)</f>
        <v>388.05</v>
      </c>
      <c r="E47" s="75">
        <f>VLOOKUP($A47,'Data Vlaue (Cr)'!$C:$FB,5)</f>
        <v>396</v>
      </c>
      <c r="F47" s="75">
        <f t="shared" si="0"/>
        <v>0.85000000000002274</v>
      </c>
      <c r="G47" s="75">
        <f t="shared" si="1"/>
        <v>-2.0487050637804378</v>
      </c>
      <c r="H47" s="75">
        <f>VLOOKUP($A47,'Data Vlaue (Cr)'!$C:$FB,99)</f>
        <v>2994</v>
      </c>
      <c r="I47" s="75">
        <f>VLOOKUP($A47,'Data Vlaue (Cr)'!$C:$FB,100)</f>
        <v>3072</v>
      </c>
      <c r="J47" s="75">
        <f t="shared" si="2"/>
        <v>-78</v>
      </c>
      <c r="K47" s="75">
        <f t="shared" si="3"/>
        <v>-2.6052104208416833</v>
      </c>
      <c r="L47" s="75">
        <f>VLOOKUP($A47,'Data Vlaue (Cr)'!$C:$FB,67)</f>
        <v>1435</v>
      </c>
      <c r="M47" s="75">
        <f>VLOOKUP($A47,'Data Vlaue (Cr)'!$C:$FB,68)</f>
        <v>1080</v>
      </c>
      <c r="N47" s="75">
        <f t="shared" si="4"/>
        <v>355</v>
      </c>
      <c r="O47" s="75">
        <f t="shared" si="5"/>
        <v>24.738675958188153</v>
      </c>
      <c r="P47" s="75">
        <f>VLOOKUP($A47,'Data Vlaue (Cr)'!$C:$FB,119)</f>
        <v>0.65</v>
      </c>
      <c r="Q47" s="75">
        <f>VLOOKUP($A47,'Data Vlaue (Cr)'!$C:$FB,122)*100</f>
        <v>-8.4500000000000011</v>
      </c>
      <c r="R47" s="75">
        <f>VLOOKUP($A47,'Data Vlaue (Cr)'!$C:$FB,125)</f>
        <v>0.59</v>
      </c>
      <c r="S47" s="75">
        <f>VLOOKUP($A47,'Data Vlaue (Cr)'!$C:$FB,128)*100</f>
        <v>15.690000000000001</v>
      </c>
    </row>
    <row r="48" spans="1:19" x14ac:dyDescent="0.25">
      <c r="A48" s="96" t="str">
        <f>'Data Vlaue (Cr)'!C39</f>
        <v>BLUESTARCO</v>
      </c>
      <c r="B48" s="75">
        <f>VLOOKUP($A48,'Data Vlaue (Cr)'!$C:$FB,2)</f>
        <v>325</v>
      </c>
      <c r="C48" s="75">
        <f>VLOOKUP($A48,'Data Vlaue (Cr)'!$C:$FB,8)</f>
        <v>1764.2</v>
      </c>
      <c r="D48" s="75">
        <f>VLOOKUP($A48,'Data Vlaue (Cr)'!$C:$FB,4)</f>
        <v>1769.4</v>
      </c>
      <c r="E48" s="75">
        <f>VLOOKUP($A48,'Data Vlaue (Cr)'!$C:$FB,5)</f>
        <v>1823.8</v>
      </c>
      <c r="F48" s="75">
        <f t="shared" si="0"/>
        <v>5.2000000000000455</v>
      </c>
      <c r="G48" s="75">
        <f t="shared" si="1"/>
        <v>-3.0744885271843483</v>
      </c>
      <c r="H48" s="75">
        <f>VLOOKUP($A48,'Data Vlaue (Cr)'!$C:$FB,99)</f>
        <v>985</v>
      </c>
      <c r="I48" s="75">
        <f>VLOOKUP($A48,'Data Vlaue (Cr)'!$C:$FB,100)</f>
        <v>961</v>
      </c>
      <c r="J48" s="75">
        <f t="shared" si="2"/>
        <v>24</v>
      </c>
      <c r="K48" s="75">
        <f t="shared" si="3"/>
        <v>2.4365482233502536</v>
      </c>
      <c r="L48" s="75">
        <f>VLOOKUP($A48,'Data Vlaue (Cr)'!$C:$FB,67)</f>
        <v>1106</v>
      </c>
      <c r="M48" s="75">
        <f>VLOOKUP($A48,'Data Vlaue (Cr)'!$C:$FB,68)</f>
        <v>1064</v>
      </c>
      <c r="N48" s="75">
        <f t="shared" si="4"/>
        <v>42</v>
      </c>
      <c r="O48" s="75">
        <f t="shared" si="5"/>
        <v>3.79746835443038</v>
      </c>
      <c r="P48" s="75">
        <f>VLOOKUP($A48,'Data Vlaue (Cr)'!$C:$FB,119)</f>
        <v>1</v>
      </c>
      <c r="Q48" s="75">
        <f>VLOOKUP($A48,'Data Vlaue (Cr)'!$C:$FB,122)*100</f>
        <v>-12.280000000000001</v>
      </c>
      <c r="R48" s="75">
        <f>VLOOKUP($A48,'Data Vlaue (Cr)'!$C:$FB,125)</f>
        <v>0.85</v>
      </c>
      <c r="S48" s="75">
        <f>VLOOKUP($A48,'Data Vlaue (Cr)'!$C:$FB,128)*100</f>
        <v>-51.980000000000004</v>
      </c>
    </row>
    <row r="49" spans="1:19" x14ac:dyDescent="0.25">
      <c r="A49" s="96" t="str">
        <f>'Data Vlaue (Cr)'!C40</f>
        <v>BOSCHLTD</v>
      </c>
      <c r="B49" s="75">
        <f>VLOOKUP($A49,'Data Vlaue (Cr)'!$C:$FB,2)</f>
        <v>25</v>
      </c>
      <c r="C49" s="75">
        <f>VLOOKUP($A49,'Data Vlaue (Cr)'!$C:$FB,8)</f>
        <v>37755</v>
      </c>
      <c r="D49" s="75">
        <f>VLOOKUP($A49,'Data Vlaue (Cr)'!$C:$FB,4)</f>
        <v>37350</v>
      </c>
      <c r="E49" s="75">
        <f>VLOOKUP($A49,'Data Vlaue (Cr)'!$C:$FB,5)</f>
        <v>37985</v>
      </c>
      <c r="F49" s="75">
        <f t="shared" si="0"/>
        <v>-405</v>
      </c>
      <c r="G49" s="75">
        <f t="shared" si="1"/>
        <v>-1.7001338688085676</v>
      </c>
      <c r="H49" s="75">
        <f>VLOOKUP($A49,'Data Vlaue (Cr)'!$C:$FB,99)</f>
        <v>3813</v>
      </c>
      <c r="I49" s="75">
        <f>VLOOKUP($A49,'Data Vlaue (Cr)'!$C:$FB,100)</f>
        <v>4123</v>
      </c>
      <c r="J49" s="75">
        <f t="shared" si="2"/>
        <v>-310</v>
      </c>
      <c r="K49" s="75">
        <f t="shared" si="3"/>
        <v>-8.1300813008130071</v>
      </c>
      <c r="L49" s="75">
        <f>VLOOKUP($A49,'Data Vlaue (Cr)'!$C:$FB,67)</f>
        <v>4290</v>
      </c>
      <c r="M49" s="75">
        <f>VLOOKUP($A49,'Data Vlaue (Cr)'!$C:$FB,68)</f>
        <v>3146</v>
      </c>
      <c r="N49" s="75">
        <f t="shared" si="4"/>
        <v>1144</v>
      </c>
      <c r="O49" s="75">
        <f t="shared" si="5"/>
        <v>26.666666666666668</v>
      </c>
      <c r="P49" s="75">
        <f>VLOOKUP($A49,'Data Vlaue (Cr)'!$C:$FB,119)</f>
        <v>0.56000000000000005</v>
      </c>
      <c r="Q49" s="75">
        <f>VLOOKUP($A49,'Data Vlaue (Cr)'!$C:$FB,122)*100</f>
        <v>3.6999999999999997</v>
      </c>
      <c r="R49" s="75">
        <f>VLOOKUP($A49,'Data Vlaue (Cr)'!$C:$FB,125)</f>
        <v>0.52</v>
      </c>
      <c r="S49" s="75">
        <f>VLOOKUP($A49,'Data Vlaue (Cr)'!$C:$FB,128)*100</f>
        <v>40.54</v>
      </c>
    </row>
    <row r="50" spans="1:19" x14ac:dyDescent="0.25">
      <c r="A50" s="96" t="str">
        <f>'Data Vlaue (Cr)'!C41</f>
        <v>BPCL</v>
      </c>
      <c r="B50" s="75">
        <f>VLOOKUP($A50,'Data Vlaue (Cr)'!$C:$FB,2)</f>
        <v>1975</v>
      </c>
      <c r="C50" s="75">
        <f>VLOOKUP($A50,'Data Vlaue (Cr)'!$C:$FB,8)</f>
        <v>340.35</v>
      </c>
      <c r="D50" s="75">
        <f>VLOOKUP($A50,'Data Vlaue (Cr)'!$C:$FB,4)</f>
        <v>336.5</v>
      </c>
      <c r="E50" s="75">
        <f>VLOOKUP($A50,'Data Vlaue (Cr)'!$C:$FB,5)</f>
        <v>338.8</v>
      </c>
      <c r="F50" s="75">
        <f t="shared" si="0"/>
        <v>-3.8500000000000227</v>
      </c>
      <c r="G50" s="75">
        <f t="shared" si="1"/>
        <v>-0.68350668647845803</v>
      </c>
      <c r="H50" s="75">
        <f>VLOOKUP($A50,'Data Vlaue (Cr)'!$C:$FB,99)</f>
        <v>2682</v>
      </c>
      <c r="I50" s="75">
        <f>VLOOKUP($A50,'Data Vlaue (Cr)'!$C:$FB,100)</f>
        <v>2694</v>
      </c>
      <c r="J50" s="75">
        <f t="shared" si="2"/>
        <v>-12</v>
      </c>
      <c r="K50" s="75">
        <f t="shared" si="3"/>
        <v>-0.44742729306487694</v>
      </c>
      <c r="L50" s="75">
        <f>VLOOKUP($A50,'Data Vlaue (Cr)'!$C:$FB,67)</f>
        <v>816</v>
      </c>
      <c r="M50" s="75">
        <f>VLOOKUP($A50,'Data Vlaue (Cr)'!$C:$FB,68)</f>
        <v>849</v>
      </c>
      <c r="N50" s="75">
        <f t="shared" si="4"/>
        <v>-33</v>
      </c>
      <c r="O50" s="75">
        <f t="shared" si="5"/>
        <v>-4.0441176470588234</v>
      </c>
      <c r="P50" s="75">
        <f>VLOOKUP($A50,'Data Vlaue (Cr)'!$C:$FB,119)</f>
        <v>0.7</v>
      </c>
      <c r="Q50" s="75">
        <f>VLOOKUP($A50,'Data Vlaue (Cr)'!$C:$FB,122)*100</f>
        <v>0</v>
      </c>
      <c r="R50" s="75">
        <f>VLOOKUP($A50,'Data Vlaue (Cr)'!$C:$FB,125)</f>
        <v>0.54</v>
      </c>
      <c r="S50" s="75">
        <f>VLOOKUP($A50,'Data Vlaue (Cr)'!$C:$FB,128)*100</f>
        <v>-16.919999999999998</v>
      </c>
    </row>
    <row r="51" spans="1:19" x14ac:dyDescent="0.25">
      <c r="A51" s="96" t="str">
        <f>'Data Vlaue (Cr)'!C42</f>
        <v>BRITANNIA</v>
      </c>
      <c r="B51" s="75">
        <f>VLOOKUP($A51,'Data Vlaue (Cr)'!$C:$FB,2)</f>
        <v>125</v>
      </c>
      <c r="C51" s="75">
        <f>VLOOKUP($A51,'Data Vlaue (Cr)'!$C:$FB,8)</f>
        <v>5708.5</v>
      </c>
      <c r="D51" s="75">
        <f>VLOOKUP($A51,'Data Vlaue (Cr)'!$C:$FB,4)</f>
        <v>5713</v>
      </c>
      <c r="E51" s="75">
        <f>VLOOKUP($A51,'Data Vlaue (Cr)'!$C:$FB,5)</f>
        <v>5700.5</v>
      </c>
      <c r="F51" s="75">
        <f t="shared" si="0"/>
        <v>4.5</v>
      </c>
      <c r="G51" s="75">
        <f t="shared" si="1"/>
        <v>0.21879922982671099</v>
      </c>
      <c r="H51" s="75">
        <f>VLOOKUP($A51,'Data Vlaue (Cr)'!$C:$FB,99)</f>
        <v>2496</v>
      </c>
      <c r="I51" s="75">
        <f>VLOOKUP($A51,'Data Vlaue (Cr)'!$C:$FB,100)</f>
        <v>2475</v>
      </c>
      <c r="J51" s="75">
        <f t="shared" si="2"/>
        <v>21</v>
      </c>
      <c r="K51" s="75">
        <f t="shared" si="3"/>
        <v>0.84134615384615385</v>
      </c>
      <c r="L51" s="75">
        <f>VLOOKUP($A51,'Data Vlaue (Cr)'!$C:$FB,67)</f>
        <v>1244</v>
      </c>
      <c r="M51" s="75">
        <f>VLOOKUP($A51,'Data Vlaue (Cr)'!$C:$FB,68)</f>
        <v>877</v>
      </c>
      <c r="N51" s="75">
        <f t="shared" si="4"/>
        <v>367</v>
      </c>
      <c r="O51" s="75">
        <f t="shared" si="5"/>
        <v>29.5016077170418</v>
      </c>
      <c r="P51" s="75">
        <f>VLOOKUP($A51,'Data Vlaue (Cr)'!$C:$FB,119)</f>
        <v>0.59</v>
      </c>
      <c r="Q51" s="75">
        <f>VLOOKUP($A51,'Data Vlaue (Cr)'!$C:$FB,122)*100</f>
        <v>7.2700000000000005</v>
      </c>
      <c r="R51" s="75">
        <f>VLOOKUP($A51,'Data Vlaue (Cr)'!$C:$FB,125)</f>
        <v>0.56000000000000005</v>
      </c>
      <c r="S51" s="75">
        <f>VLOOKUP($A51,'Data Vlaue (Cr)'!$C:$FB,128)*100</f>
        <v>7.6899999999999995</v>
      </c>
    </row>
    <row r="52" spans="1:19" x14ac:dyDescent="0.25">
      <c r="A52" s="96" t="str">
        <f>'Data Vlaue (Cr)'!C43</f>
        <v>BSE</v>
      </c>
      <c r="B52" s="75">
        <f>VLOOKUP($A52,'Data Vlaue (Cr)'!$C:$FB,2)</f>
        <v>375</v>
      </c>
      <c r="C52" s="75">
        <f>VLOOKUP($A52,'Data Vlaue (Cr)'!$C:$FB,8)</f>
        <v>2548.4</v>
      </c>
      <c r="D52" s="75">
        <f>VLOOKUP($A52,'Data Vlaue (Cr)'!$C:$FB,4)</f>
        <v>2551.1</v>
      </c>
      <c r="E52" s="75">
        <f>VLOOKUP($A52,'Data Vlaue (Cr)'!$C:$FB,5)</f>
        <v>2528</v>
      </c>
      <c r="F52" s="75">
        <f t="shared" si="0"/>
        <v>2.6999999999998181</v>
      </c>
      <c r="G52" s="75">
        <f t="shared" si="1"/>
        <v>0.90549174865743842</v>
      </c>
      <c r="H52" s="75">
        <f>VLOOKUP($A52,'Data Vlaue (Cr)'!$C:$FB,99)</f>
        <v>11097</v>
      </c>
      <c r="I52" s="75">
        <f>VLOOKUP($A52,'Data Vlaue (Cr)'!$C:$FB,100)</f>
        <v>11407</v>
      </c>
      <c r="J52" s="75">
        <f t="shared" si="2"/>
        <v>-310</v>
      </c>
      <c r="K52" s="75">
        <f t="shared" si="3"/>
        <v>-2.7935478057132559</v>
      </c>
      <c r="L52" s="75">
        <f>VLOOKUP($A52,'Data Vlaue (Cr)'!$C:$FB,67)</f>
        <v>8831</v>
      </c>
      <c r="M52" s="75">
        <f>VLOOKUP($A52,'Data Vlaue (Cr)'!$C:$FB,68)</f>
        <v>16084</v>
      </c>
      <c r="N52" s="75">
        <f t="shared" si="4"/>
        <v>-7253</v>
      </c>
      <c r="O52" s="75">
        <f t="shared" si="5"/>
        <v>-82.13112897746575</v>
      </c>
      <c r="P52" s="75">
        <f>VLOOKUP($A52,'Data Vlaue (Cr)'!$C:$FB,119)</f>
        <v>0.55000000000000004</v>
      </c>
      <c r="Q52" s="75">
        <f>VLOOKUP($A52,'Data Vlaue (Cr)'!$C:$FB,122)*100</f>
        <v>0</v>
      </c>
      <c r="R52" s="75">
        <f>VLOOKUP($A52,'Data Vlaue (Cr)'!$C:$FB,125)</f>
        <v>0.52</v>
      </c>
      <c r="S52" s="75">
        <f>VLOOKUP($A52,'Data Vlaue (Cr)'!$C:$FB,128)*100</f>
        <v>20.93</v>
      </c>
    </row>
    <row r="53" spans="1:19" x14ac:dyDescent="0.25">
      <c r="A53" s="96" t="str">
        <f>'Data Vlaue (Cr)'!C44</f>
        <v>BSOFT</v>
      </c>
      <c r="B53" s="75">
        <f>VLOOKUP($A53,'Data Vlaue (Cr)'!$C:$FB,2)</f>
        <v>1300</v>
      </c>
      <c r="C53" s="75">
        <f>VLOOKUP($A53,'Data Vlaue (Cr)'!$C:$FB,8)</f>
        <v>404.3</v>
      </c>
      <c r="D53" s="75">
        <f>VLOOKUP($A53,'Data Vlaue (Cr)'!$C:$FB,4)</f>
        <v>405.5</v>
      </c>
      <c r="E53" s="75">
        <f>VLOOKUP($A53,'Data Vlaue (Cr)'!$C:$FB,5)</f>
        <v>417.4</v>
      </c>
      <c r="F53" s="75">
        <f t="shared" si="0"/>
        <v>1.1999999999999886</v>
      </c>
      <c r="G53" s="75">
        <f t="shared" si="1"/>
        <v>-2.9346485819975285</v>
      </c>
      <c r="H53" s="75">
        <f>VLOOKUP($A53,'Data Vlaue (Cr)'!$C:$FB,99)</f>
        <v>904</v>
      </c>
      <c r="I53" s="75">
        <f>VLOOKUP($A53,'Data Vlaue (Cr)'!$C:$FB,100)</f>
        <v>930</v>
      </c>
      <c r="J53" s="75">
        <f t="shared" si="2"/>
        <v>-26</v>
      </c>
      <c r="K53" s="75">
        <f t="shared" si="3"/>
        <v>-2.8761061946902653</v>
      </c>
      <c r="L53" s="75">
        <f>VLOOKUP($A53,'Data Vlaue (Cr)'!$C:$FB,67)</f>
        <v>501</v>
      </c>
      <c r="M53" s="75">
        <f>VLOOKUP($A53,'Data Vlaue (Cr)'!$C:$FB,68)</f>
        <v>188</v>
      </c>
      <c r="N53" s="75">
        <f t="shared" si="4"/>
        <v>313</v>
      </c>
      <c r="O53" s="75">
        <f t="shared" si="5"/>
        <v>62.4750499001996</v>
      </c>
      <c r="P53" s="75">
        <f>VLOOKUP($A53,'Data Vlaue (Cr)'!$C:$FB,119)</f>
        <v>0.44</v>
      </c>
      <c r="Q53" s="75">
        <f>VLOOKUP($A53,'Data Vlaue (Cr)'!$C:$FB,122)*100</f>
        <v>4.7600000000000007</v>
      </c>
      <c r="R53" s="75">
        <f>VLOOKUP($A53,'Data Vlaue (Cr)'!$C:$FB,125)</f>
        <v>0.24</v>
      </c>
      <c r="S53" s="75">
        <f>VLOOKUP($A53,'Data Vlaue (Cr)'!$C:$FB,128)*100</f>
        <v>0</v>
      </c>
    </row>
    <row r="54" spans="1:19" x14ac:dyDescent="0.25">
      <c r="A54" s="96" t="str">
        <f>'Data Vlaue (Cr)'!C45</f>
        <v>CAMS</v>
      </c>
      <c r="B54" s="75">
        <f>VLOOKUP($A54,'Data Vlaue (Cr)'!$C:$FB,2)</f>
        <v>150</v>
      </c>
      <c r="C54" s="75">
        <f>VLOOKUP($A54,'Data Vlaue (Cr)'!$C:$FB,8)</f>
        <v>4247.5</v>
      </c>
      <c r="D54" s="75">
        <f>VLOOKUP($A54,'Data Vlaue (Cr)'!$C:$FB,4)</f>
        <v>4261.3999999999996</v>
      </c>
      <c r="E54" s="75">
        <f>VLOOKUP($A54,'Data Vlaue (Cr)'!$C:$FB,5)</f>
        <v>4260.8</v>
      </c>
      <c r="F54" s="75">
        <f t="shared" si="0"/>
        <v>13.899999999999636</v>
      </c>
      <c r="G54" s="75">
        <f t="shared" si="1"/>
        <v>1.4079879851679127E-2</v>
      </c>
      <c r="H54" s="75">
        <f>VLOOKUP($A54,'Data Vlaue (Cr)'!$C:$FB,99)</f>
        <v>1882</v>
      </c>
      <c r="I54" s="75">
        <f>VLOOKUP($A54,'Data Vlaue (Cr)'!$C:$FB,100)</f>
        <v>1875</v>
      </c>
      <c r="J54" s="75">
        <f t="shared" si="2"/>
        <v>7</v>
      </c>
      <c r="K54" s="75">
        <f t="shared" si="3"/>
        <v>0.37194473963868224</v>
      </c>
      <c r="L54" s="75">
        <f>VLOOKUP($A54,'Data Vlaue (Cr)'!$C:$FB,67)</f>
        <v>656</v>
      </c>
      <c r="M54" s="75">
        <f>VLOOKUP($A54,'Data Vlaue (Cr)'!$C:$FB,68)</f>
        <v>573</v>
      </c>
      <c r="N54" s="75">
        <f t="shared" si="4"/>
        <v>83</v>
      </c>
      <c r="O54" s="75">
        <f t="shared" si="5"/>
        <v>12.652439024390244</v>
      </c>
      <c r="P54" s="75">
        <f>VLOOKUP($A54,'Data Vlaue (Cr)'!$C:$FB,119)</f>
        <v>0.72</v>
      </c>
      <c r="Q54" s="75">
        <f>VLOOKUP($A54,'Data Vlaue (Cr)'!$C:$FB,122)*100</f>
        <v>-2.7</v>
      </c>
      <c r="R54" s="75">
        <f>VLOOKUP($A54,'Data Vlaue (Cr)'!$C:$FB,125)</f>
        <v>0.39</v>
      </c>
      <c r="S54" s="75">
        <f>VLOOKUP($A54,'Data Vlaue (Cr)'!$C:$FB,128)*100</f>
        <v>-22</v>
      </c>
    </row>
    <row r="55" spans="1:19" x14ac:dyDescent="0.25">
      <c r="A55" s="96" t="str">
        <f>'Data Vlaue (Cr)'!C46</f>
        <v>CANBK</v>
      </c>
      <c r="B55" s="75">
        <f>VLOOKUP($A55,'Data Vlaue (Cr)'!$C:$FB,2)</f>
        <v>6750</v>
      </c>
      <c r="C55" s="75">
        <f>VLOOKUP($A55,'Data Vlaue (Cr)'!$C:$FB,8)</f>
        <v>108.05</v>
      </c>
      <c r="D55" s="75">
        <f>VLOOKUP($A55,'Data Vlaue (Cr)'!$C:$FB,4)</f>
        <v>108.09</v>
      </c>
      <c r="E55" s="75">
        <f>VLOOKUP($A55,'Data Vlaue (Cr)'!$C:$FB,5)</f>
        <v>112.07</v>
      </c>
      <c r="F55" s="75">
        <f t="shared" si="0"/>
        <v>4.0000000000006253E-2</v>
      </c>
      <c r="G55" s="75">
        <f t="shared" si="1"/>
        <v>-3.6821167545563784</v>
      </c>
      <c r="H55" s="75">
        <f>VLOOKUP($A55,'Data Vlaue (Cr)'!$C:$FB,99)</f>
        <v>4983</v>
      </c>
      <c r="I55" s="75">
        <f>VLOOKUP($A55,'Data Vlaue (Cr)'!$C:$FB,100)</f>
        <v>4456</v>
      </c>
      <c r="J55" s="75">
        <f t="shared" si="2"/>
        <v>527</v>
      </c>
      <c r="K55" s="75">
        <f t="shared" si="3"/>
        <v>10.575958258077463</v>
      </c>
      <c r="L55" s="75">
        <f>VLOOKUP($A55,'Data Vlaue (Cr)'!$C:$FB,67)</f>
        <v>5332</v>
      </c>
      <c r="M55" s="75">
        <f>VLOOKUP($A55,'Data Vlaue (Cr)'!$C:$FB,68)</f>
        <v>4481</v>
      </c>
      <c r="N55" s="75">
        <f t="shared" si="4"/>
        <v>851</v>
      </c>
      <c r="O55" s="75">
        <f t="shared" si="5"/>
        <v>15.960240060015005</v>
      </c>
      <c r="P55" s="75">
        <f>VLOOKUP($A55,'Data Vlaue (Cr)'!$C:$FB,119)</f>
        <v>0.62</v>
      </c>
      <c r="Q55" s="75">
        <f>VLOOKUP($A55,'Data Vlaue (Cr)'!$C:$FB,122)*100</f>
        <v>-7.46</v>
      </c>
      <c r="R55" s="75">
        <f>VLOOKUP($A55,'Data Vlaue (Cr)'!$C:$FB,125)</f>
        <v>0.47</v>
      </c>
      <c r="S55" s="75">
        <f>VLOOKUP($A55,'Data Vlaue (Cr)'!$C:$FB,128)*100</f>
        <v>20.51</v>
      </c>
    </row>
    <row r="56" spans="1:19" x14ac:dyDescent="0.25">
      <c r="A56" s="96" t="str">
        <f>'Data Vlaue (Cr)'!C47</f>
        <v>CDSL</v>
      </c>
      <c r="B56" s="75">
        <f>VLOOKUP($A56,'Data Vlaue (Cr)'!$C:$FB,2)</f>
        <v>475</v>
      </c>
      <c r="C56" s="75">
        <f>VLOOKUP($A56,'Data Vlaue (Cr)'!$C:$FB,8)</f>
        <v>1714.7</v>
      </c>
      <c r="D56" s="75">
        <f>VLOOKUP($A56,'Data Vlaue (Cr)'!$C:$FB,4)</f>
        <v>1716.2</v>
      </c>
      <c r="E56" s="75">
        <f>VLOOKUP($A56,'Data Vlaue (Cr)'!$C:$FB,5)</f>
        <v>1738</v>
      </c>
      <c r="F56" s="75">
        <f t="shared" si="0"/>
        <v>1.5</v>
      </c>
      <c r="G56" s="75">
        <f t="shared" si="1"/>
        <v>-1.2702482228178507</v>
      </c>
      <c r="H56" s="75">
        <f>VLOOKUP($A56,'Data Vlaue (Cr)'!$C:$FB,99)</f>
        <v>4164</v>
      </c>
      <c r="I56" s="75">
        <f>VLOOKUP($A56,'Data Vlaue (Cr)'!$C:$FB,100)</f>
        <v>3961</v>
      </c>
      <c r="J56" s="75">
        <f t="shared" si="2"/>
        <v>203</v>
      </c>
      <c r="K56" s="75">
        <f t="shared" si="3"/>
        <v>4.8751200768491838</v>
      </c>
      <c r="L56" s="75">
        <f>VLOOKUP($A56,'Data Vlaue (Cr)'!$C:$FB,67)</f>
        <v>2921</v>
      </c>
      <c r="M56" s="75">
        <f>VLOOKUP($A56,'Data Vlaue (Cr)'!$C:$FB,68)</f>
        <v>2494</v>
      </c>
      <c r="N56" s="75">
        <f t="shared" si="4"/>
        <v>427</v>
      </c>
      <c r="O56" s="75">
        <f t="shared" si="5"/>
        <v>14.618281410475864</v>
      </c>
      <c r="P56" s="75">
        <f>VLOOKUP($A56,'Data Vlaue (Cr)'!$C:$FB,119)</f>
        <v>0.52</v>
      </c>
      <c r="Q56" s="75">
        <f>VLOOKUP($A56,'Data Vlaue (Cr)'!$C:$FB,122)*100</f>
        <v>-5.45</v>
      </c>
      <c r="R56" s="75">
        <f>VLOOKUP($A56,'Data Vlaue (Cr)'!$C:$FB,125)</f>
        <v>0.33</v>
      </c>
      <c r="S56" s="75">
        <f>VLOOKUP($A56,'Data Vlaue (Cr)'!$C:$FB,128)*100</f>
        <v>-17.5</v>
      </c>
    </row>
    <row r="57" spans="1:19" x14ac:dyDescent="0.25">
      <c r="A57" s="96" t="str">
        <f>'Data Vlaue (Cr)'!C48</f>
        <v>CESC</v>
      </c>
      <c r="B57" s="75">
        <f>VLOOKUP($A57,'Data Vlaue (Cr)'!$C:$FB,2)</f>
        <v>3625</v>
      </c>
      <c r="C57" s="75">
        <f>VLOOKUP($A57,'Data Vlaue (Cr)'!$C:$FB,8)</f>
        <v>177.93</v>
      </c>
      <c r="D57" s="75">
        <f>VLOOKUP($A57,'Data Vlaue (Cr)'!$C:$FB,4)</f>
        <v>177.98</v>
      </c>
      <c r="E57" s="75">
        <f>VLOOKUP($A57,'Data Vlaue (Cr)'!$C:$FB,5)</f>
        <v>178.94</v>
      </c>
      <c r="F57" s="75">
        <f t="shared" si="0"/>
        <v>4.9999999999982947E-2</v>
      </c>
      <c r="G57" s="75">
        <f t="shared" si="1"/>
        <v>-0.53938644791550061</v>
      </c>
      <c r="H57" s="75">
        <f>VLOOKUP($A57,'Data Vlaue (Cr)'!$C:$FB,99)</f>
        <v>614</v>
      </c>
      <c r="I57" s="75">
        <f>VLOOKUP($A57,'Data Vlaue (Cr)'!$C:$FB,100)</f>
        <v>630</v>
      </c>
      <c r="J57" s="75">
        <f t="shared" si="2"/>
        <v>-16</v>
      </c>
      <c r="K57" s="75">
        <f t="shared" si="3"/>
        <v>-2.6058631921824107</v>
      </c>
      <c r="L57" s="75">
        <f>VLOOKUP($A57,'Data Vlaue (Cr)'!$C:$FB,67)</f>
        <v>109</v>
      </c>
      <c r="M57" s="75">
        <f>VLOOKUP($A57,'Data Vlaue (Cr)'!$C:$FB,68)</f>
        <v>295</v>
      </c>
      <c r="N57" s="75">
        <f t="shared" si="4"/>
        <v>-186</v>
      </c>
      <c r="O57" s="75">
        <f t="shared" si="5"/>
        <v>-170.64220183486239</v>
      </c>
      <c r="P57" s="75">
        <f>VLOOKUP($A57,'Data Vlaue (Cr)'!$C:$FB,119)</f>
        <v>0.42</v>
      </c>
      <c r="Q57" s="75">
        <f>VLOOKUP($A57,'Data Vlaue (Cr)'!$C:$FB,122)*100</f>
        <v>2.44</v>
      </c>
      <c r="R57" s="75">
        <f>VLOOKUP($A57,'Data Vlaue (Cr)'!$C:$FB,125)</f>
        <v>0.25</v>
      </c>
      <c r="S57" s="75">
        <f>VLOOKUP($A57,'Data Vlaue (Cr)'!$C:$FB,128)*100</f>
        <v>-34.21</v>
      </c>
    </row>
    <row r="58" spans="1:19" x14ac:dyDescent="0.25">
      <c r="A58" s="96" t="str">
        <f>'Data Vlaue (Cr)'!C49</f>
        <v>CGPOWER</v>
      </c>
      <c r="B58" s="75">
        <f>VLOOKUP($A58,'Data Vlaue (Cr)'!$C:$FB,2)</f>
        <v>850</v>
      </c>
      <c r="C58" s="75">
        <f>VLOOKUP($A58,'Data Vlaue (Cr)'!$C:$FB,8)</f>
        <v>683.8</v>
      </c>
      <c r="D58" s="75">
        <f>VLOOKUP($A58,'Data Vlaue (Cr)'!$C:$FB,4)</f>
        <v>685.1</v>
      </c>
      <c r="E58" s="75">
        <f>VLOOKUP($A58,'Data Vlaue (Cr)'!$C:$FB,5)</f>
        <v>683.35</v>
      </c>
      <c r="F58" s="75">
        <f t="shared" si="0"/>
        <v>1.3000000000000682</v>
      </c>
      <c r="G58" s="75">
        <f t="shared" si="1"/>
        <v>0.25543716245803533</v>
      </c>
      <c r="H58" s="75">
        <f>VLOOKUP($A58,'Data Vlaue (Cr)'!$C:$FB,99)</f>
        <v>1872</v>
      </c>
      <c r="I58" s="75">
        <f>VLOOKUP($A58,'Data Vlaue (Cr)'!$C:$FB,100)</f>
        <v>1870</v>
      </c>
      <c r="J58" s="75">
        <f t="shared" si="2"/>
        <v>2</v>
      </c>
      <c r="K58" s="75">
        <f t="shared" si="3"/>
        <v>0.10683760683760685</v>
      </c>
      <c r="L58" s="75">
        <f>VLOOKUP($A58,'Data Vlaue (Cr)'!$C:$FB,67)</f>
        <v>888</v>
      </c>
      <c r="M58" s="75">
        <f>VLOOKUP($A58,'Data Vlaue (Cr)'!$C:$FB,68)</f>
        <v>842</v>
      </c>
      <c r="N58" s="75">
        <f t="shared" si="4"/>
        <v>46</v>
      </c>
      <c r="O58" s="75">
        <f t="shared" si="5"/>
        <v>5.1801801801801801</v>
      </c>
      <c r="P58" s="75">
        <f>VLOOKUP($A58,'Data Vlaue (Cr)'!$C:$FB,119)</f>
        <v>0.75</v>
      </c>
      <c r="Q58" s="75">
        <f>VLOOKUP($A58,'Data Vlaue (Cr)'!$C:$FB,122)*100</f>
        <v>1.35</v>
      </c>
      <c r="R58" s="75">
        <f>VLOOKUP($A58,'Data Vlaue (Cr)'!$C:$FB,125)</f>
        <v>0.35</v>
      </c>
      <c r="S58" s="75">
        <f>VLOOKUP($A58,'Data Vlaue (Cr)'!$C:$FB,128)*100</f>
        <v>2.94</v>
      </c>
    </row>
    <row r="59" spans="1:19" x14ac:dyDescent="0.25">
      <c r="A59" s="96" t="str">
        <f>'Data Vlaue (Cr)'!C50</f>
        <v>CHAMBLFERT</v>
      </c>
      <c r="B59" s="75">
        <f>VLOOKUP($A59,'Data Vlaue (Cr)'!$C:$FB,2)</f>
        <v>950</v>
      </c>
      <c r="C59" s="75">
        <f>VLOOKUP($A59,'Data Vlaue (Cr)'!$C:$FB,8)</f>
        <v>550.20000000000005</v>
      </c>
      <c r="D59" s="75">
        <f>VLOOKUP($A59,'Data Vlaue (Cr)'!$C:$FB,4)</f>
        <v>551.95000000000005</v>
      </c>
      <c r="E59" s="75">
        <f>VLOOKUP($A59,'Data Vlaue (Cr)'!$C:$FB,5)</f>
        <v>554.45000000000005</v>
      </c>
      <c r="F59" s="75">
        <f t="shared" si="0"/>
        <v>1.75</v>
      </c>
      <c r="G59" s="75">
        <f t="shared" si="1"/>
        <v>-0.45293957786031336</v>
      </c>
      <c r="H59" s="75">
        <f>VLOOKUP($A59,'Data Vlaue (Cr)'!$C:$FB,99)</f>
        <v>1056</v>
      </c>
      <c r="I59" s="75">
        <f>VLOOKUP($A59,'Data Vlaue (Cr)'!$C:$FB,100)</f>
        <v>1077</v>
      </c>
      <c r="J59" s="75">
        <f t="shared" si="2"/>
        <v>-21</v>
      </c>
      <c r="K59" s="75">
        <f t="shared" si="3"/>
        <v>-1.9886363636363635</v>
      </c>
      <c r="L59" s="75">
        <f>VLOOKUP($A59,'Data Vlaue (Cr)'!$C:$FB,67)</f>
        <v>231</v>
      </c>
      <c r="M59" s="75">
        <f>VLOOKUP($A59,'Data Vlaue (Cr)'!$C:$FB,68)</f>
        <v>312</v>
      </c>
      <c r="N59" s="75">
        <f t="shared" si="4"/>
        <v>-81</v>
      </c>
      <c r="O59" s="75">
        <f t="shared" si="5"/>
        <v>-35.064935064935064</v>
      </c>
      <c r="P59" s="75">
        <f>VLOOKUP($A59,'Data Vlaue (Cr)'!$C:$FB,119)</f>
        <v>0.47</v>
      </c>
      <c r="Q59" s="75">
        <f>VLOOKUP($A59,'Data Vlaue (Cr)'!$C:$FB,122)*100</f>
        <v>-4.08</v>
      </c>
      <c r="R59" s="75">
        <f>VLOOKUP($A59,'Data Vlaue (Cr)'!$C:$FB,125)</f>
        <v>0.27</v>
      </c>
      <c r="S59" s="75">
        <f>VLOOKUP($A59,'Data Vlaue (Cr)'!$C:$FB,128)*100</f>
        <v>-28.95</v>
      </c>
    </row>
    <row r="60" spans="1:19" x14ac:dyDescent="0.25">
      <c r="A60" s="96" t="str">
        <f>'Data Vlaue (Cr)'!C51</f>
        <v>CHOLAFIN</v>
      </c>
      <c r="B60" s="75">
        <f>VLOOKUP($A60,'Data Vlaue (Cr)'!$C:$FB,2)</f>
        <v>625</v>
      </c>
      <c r="C60" s="75">
        <f>VLOOKUP($A60,'Data Vlaue (Cr)'!$C:$FB,8)</f>
        <v>1565.4</v>
      </c>
      <c r="D60" s="75">
        <f>VLOOKUP($A60,'Data Vlaue (Cr)'!$C:$FB,4)</f>
        <v>1565</v>
      </c>
      <c r="E60" s="75">
        <f>VLOOKUP($A60,'Data Vlaue (Cr)'!$C:$FB,5)</f>
        <v>1576</v>
      </c>
      <c r="F60" s="75">
        <f t="shared" si="0"/>
        <v>-0.40000000000009095</v>
      </c>
      <c r="G60" s="75">
        <f t="shared" si="1"/>
        <v>-0.70287539936102239</v>
      </c>
      <c r="H60" s="75">
        <f>VLOOKUP($A60,'Data Vlaue (Cr)'!$C:$FB,99)</f>
        <v>3024</v>
      </c>
      <c r="I60" s="75">
        <f>VLOOKUP($A60,'Data Vlaue (Cr)'!$C:$FB,100)</f>
        <v>2997</v>
      </c>
      <c r="J60" s="75">
        <f t="shared" si="2"/>
        <v>27</v>
      </c>
      <c r="K60" s="75">
        <f t="shared" si="3"/>
        <v>0.89285714285714279</v>
      </c>
      <c r="L60" s="75">
        <f>VLOOKUP($A60,'Data Vlaue (Cr)'!$C:$FB,67)</f>
        <v>732</v>
      </c>
      <c r="M60" s="75">
        <f>VLOOKUP($A60,'Data Vlaue (Cr)'!$C:$FB,68)</f>
        <v>2002</v>
      </c>
      <c r="N60" s="75">
        <f t="shared" si="4"/>
        <v>-1270</v>
      </c>
      <c r="O60" s="75">
        <f t="shared" si="5"/>
        <v>-173.49726775956285</v>
      </c>
      <c r="P60" s="75">
        <f>VLOOKUP($A60,'Data Vlaue (Cr)'!$C:$FB,119)</f>
        <v>0.76</v>
      </c>
      <c r="Q60" s="75">
        <f>VLOOKUP($A60,'Data Vlaue (Cr)'!$C:$FB,122)*100</f>
        <v>0</v>
      </c>
      <c r="R60" s="75">
        <f>VLOOKUP($A60,'Data Vlaue (Cr)'!$C:$FB,125)</f>
        <v>0.5</v>
      </c>
      <c r="S60" s="75">
        <f>VLOOKUP($A60,'Data Vlaue (Cr)'!$C:$FB,128)*100</f>
        <v>-5.66</v>
      </c>
    </row>
    <row r="61" spans="1:19" x14ac:dyDescent="0.25">
      <c r="A61" s="96" t="str">
        <f>'Data Vlaue (Cr)'!C52</f>
        <v>CIPLA</v>
      </c>
      <c r="B61" s="75">
        <f>VLOOKUP($A61,'Data Vlaue (Cr)'!$C:$FB,2)</f>
        <v>375</v>
      </c>
      <c r="C61" s="75">
        <f>VLOOKUP($A61,'Data Vlaue (Cr)'!$C:$FB,8)</f>
        <v>1464.4</v>
      </c>
      <c r="D61" s="75">
        <f>VLOOKUP($A61,'Data Vlaue (Cr)'!$C:$FB,4)</f>
        <v>1465.5</v>
      </c>
      <c r="E61" s="75">
        <f>VLOOKUP($A61,'Data Vlaue (Cr)'!$C:$FB,5)</f>
        <v>1475.2</v>
      </c>
      <c r="F61" s="75">
        <f t="shared" si="0"/>
        <v>1.0999999999999091</v>
      </c>
      <c r="G61" s="75">
        <f t="shared" si="1"/>
        <v>-0.66189013988400169</v>
      </c>
      <c r="H61" s="75">
        <f>VLOOKUP($A61,'Data Vlaue (Cr)'!$C:$FB,99)</f>
        <v>2985</v>
      </c>
      <c r="I61" s="75">
        <f>VLOOKUP($A61,'Data Vlaue (Cr)'!$C:$FB,100)</f>
        <v>3046</v>
      </c>
      <c r="J61" s="75">
        <f t="shared" si="2"/>
        <v>-61</v>
      </c>
      <c r="K61" s="75">
        <f t="shared" si="3"/>
        <v>-2.0435510887772192</v>
      </c>
      <c r="L61" s="75">
        <f>VLOOKUP($A61,'Data Vlaue (Cr)'!$C:$FB,67)</f>
        <v>1014</v>
      </c>
      <c r="M61" s="75">
        <f>VLOOKUP($A61,'Data Vlaue (Cr)'!$C:$FB,68)</f>
        <v>581</v>
      </c>
      <c r="N61" s="75">
        <f t="shared" si="4"/>
        <v>433</v>
      </c>
      <c r="O61" s="75">
        <f t="shared" si="5"/>
        <v>42.702169625246547</v>
      </c>
      <c r="P61" s="75">
        <f>VLOOKUP($A61,'Data Vlaue (Cr)'!$C:$FB,119)</f>
        <v>0.5</v>
      </c>
      <c r="Q61" s="75">
        <f>VLOOKUP($A61,'Data Vlaue (Cr)'!$C:$FB,122)*100</f>
        <v>0</v>
      </c>
      <c r="R61" s="75">
        <f>VLOOKUP($A61,'Data Vlaue (Cr)'!$C:$FB,125)</f>
        <v>0.71</v>
      </c>
      <c r="S61" s="75">
        <f>VLOOKUP($A61,'Data Vlaue (Cr)'!$C:$FB,128)*100</f>
        <v>14.52</v>
      </c>
    </row>
    <row r="62" spans="1:19" x14ac:dyDescent="0.25">
      <c r="A62" s="96" t="str">
        <f>'Data Vlaue (Cr)'!C53</f>
        <v>COALINDIA</v>
      </c>
      <c r="B62" s="75">
        <f>VLOOKUP($A62,'Data Vlaue (Cr)'!$C:$FB,2)</f>
        <v>1350</v>
      </c>
      <c r="C62" s="75">
        <f>VLOOKUP($A62,'Data Vlaue (Cr)'!$C:$FB,8)</f>
        <v>389.1</v>
      </c>
      <c r="D62" s="75">
        <f>VLOOKUP($A62,'Data Vlaue (Cr)'!$C:$FB,4)</f>
        <v>390.1</v>
      </c>
      <c r="E62" s="75">
        <f>VLOOKUP($A62,'Data Vlaue (Cr)'!$C:$FB,5)</f>
        <v>387.45</v>
      </c>
      <c r="F62" s="75">
        <f t="shared" si="0"/>
        <v>1</v>
      </c>
      <c r="G62" s="75">
        <f t="shared" si="1"/>
        <v>0.67931299666752987</v>
      </c>
      <c r="H62" s="75">
        <f>VLOOKUP($A62,'Data Vlaue (Cr)'!$C:$FB,99)</f>
        <v>6040</v>
      </c>
      <c r="I62" s="75">
        <f>VLOOKUP($A62,'Data Vlaue (Cr)'!$C:$FB,100)</f>
        <v>6260</v>
      </c>
      <c r="J62" s="75">
        <f t="shared" si="2"/>
        <v>-220</v>
      </c>
      <c r="K62" s="75">
        <f t="shared" si="3"/>
        <v>-3.6423841059602649</v>
      </c>
      <c r="L62" s="75">
        <f>VLOOKUP($A62,'Data Vlaue (Cr)'!$C:$FB,67)</f>
        <v>2447</v>
      </c>
      <c r="M62" s="75">
        <f>VLOOKUP($A62,'Data Vlaue (Cr)'!$C:$FB,68)</f>
        <v>1617</v>
      </c>
      <c r="N62" s="75">
        <f t="shared" si="4"/>
        <v>830</v>
      </c>
      <c r="O62" s="75">
        <f t="shared" si="5"/>
        <v>33.919084593379651</v>
      </c>
      <c r="P62" s="75">
        <f>VLOOKUP($A62,'Data Vlaue (Cr)'!$C:$FB,119)</f>
        <v>0.75</v>
      </c>
      <c r="Q62" s="75">
        <f>VLOOKUP($A62,'Data Vlaue (Cr)'!$C:$FB,122)*100</f>
        <v>4.17</v>
      </c>
      <c r="R62" s="75">
        <f>VLOOKUP($A62,'Data Vlaue (Cr)'!$C:$FB,125)</f>
        <v>0.53</v>
      </c>
      <c r="S62" s="75">
        <f>VLOOKUP($A62,'Data Vlaue (Cr)'!$C:$FB,128)*100</f>
        <v>-17.190000000000001</v>
      </c>
    </row>
    <row r="63" spans="1:19" x14ac:dyDescent="0.25">
      <c r="A63" s="96" t="str">
        <f>'Data Vlaue (Cr)'!C54</f>
        <v>COFORGE</v>
      </c>
      <c r="B63" s="75">
        <f>VLOOKUP($A63,'Data Vlaue (Cr)'!$C:$FB,2)</f>
        <v>375</v>
      </c>
      <c r="C63" s="75">
        <f>VLOOKUP($A63,'Data Vlaue (Cr)'!$C:$FB,8)</f>
        <v>1858.4</v>
      </c>
      <c r="D63" s="75">
        <f>VLOOKUP($A63,'Data Vlaue (Cr)'!$C:$FB,4)</f>
        <v>1859</v>
      </c>
      <c r="E63" s="75">
        <f>VLOOKUP($A63,'Data Vlaue (Cr)'!$C:$FB,5)</f>
        <v>1877.5</v>
      </c>
      <c r="F63" s="75">
        <f t="shared" si="0"/>
        <v>0.59999999999990905</v>
      </c>
      <c r="G63" s="75">
        <f t="shared" si="1"/>
        <v>-0.99515868746637981</v>
      </c>
      <c r="H63" s="75">
        <f>VLOOKUP($A63,'Data Vlaue (Cr)'!$C:$FB,99)</f>
        <v>4119</v>
      </c>
      <c r="I63" s="75">
        <f>VLOOKUP($A63,'Data Vlaue (Cr)'!$C:$FB,100)</f>
        <v>4086</v>
      </c>
      <c r="J63" s="75">
        <f t="shared" si="2"/>
        <v>33</v>
      </c>
      <c r="K63" s="75">
        <f t="shared" si="3"/>
        <v>0.80116533139111445</v>
      </c>
      <c r="L63" s="75">
        <f>VLOOKUP($A63,'Data Vlaue (Cr)'!$C:$FB,67)</f>
        <v>1518</v>
      </c>
      <c r="M63" s="75">
        <f>VLOOKUP($A63,'Data Vlaue (Cr)'!$C:$FB,68)</f>
        <v>1186</v>
      </c>
      <c r="N63" s="75">
        <f t="shared" si="4"/>
        <v>332</v>
      </c>
      <c r="O63" s="75">
        <f t="shared" si="5"/>
        <v>21.870882740447957</v>
      </c>
      <c r="P63" s="75">
        <f>VLOOKUP($A63,'Data Vlaue (Cr)'!$C:$FB,119)</f>
        <v>0.5</v>
      </c>
      <c r="Q63" s="75">
        <f>VLOOKUP($A63,'Data Vlaue (Cr)'!$C:$FB,122)*100</f>
        <v>-1.96</v>
      </c>
      <c r="R63" s="75">
        <f>VLOOKUP($A63,'Data Vlaue (Cr)'!$C:$FB,125)</f>
        <v>0.36</v>
      </c>
      <c r="S63" s="75">
        <f>VLOOKUP($A63,'Data Vlaue (Cr)'!$C:$FB,128)*100</f>
        <v>-5.26</v>
      </c>
    </row>
    <row r="64" spans="1:19" x14ac:dyDescent="0.25">
      <c r="A64" s="96" t="str">
        <f>'Data Vlaue (Cr)'!C55</f>
        <v>COLPAL</v>
      </c>
      <c r="B64" s="75">
        <f>VLOOKUP($A64,'Data Vlaue (Cr)'!$C:$FB,2)</f>
        <v>225</v>
      </c>
      <c r="C64" s="75">
        <f>VLOOKUP($A64,'Data Vlaue (Cr)'!$C:$FB,8)</f>
        <v>2379.5</v>
      </c>
      <c r="D64" s="75">
        <f>VLOOKUP($A64,'Data Vlaue (Cr)'!$C:$FB,4)</f>
        <v>2375.6</v>
      </c>
      <c r="E64" s="75">
        <f>VLOOKUP($A64,'Data Vlaue (Cr)'!$C:$FB,5)</f>
        <v>2390.9</v>
      </c>
      <c r="F64" s="75">
        <f t="shared" si="0"/>
        <v>-3.9000000000000909</v>
      </c>
      <c r="G64" s="75">
        <f t="shared" si="1"/>
        <v>-0.64404781949823964</v>
      </c>
      <c r="H64" s="75">
        <f>VLOOKUP($A64,'Data Vlaue (Cr)'!$C:$FB,99)</f>
        <v>2183</v>
      </c>
      <c r="I64" s="75">
        <f>VLOOKUP($A64,'Data Vlaue (Cr)'!$C:$FB,100)</f>
        <v>1986</v>
      </c>
      <c r="J64" s="75">
        <f t="shared" si="2"/>
        <v>197</v>
      </c>
      <c r="K64" s="75">
        <f t="shared" si="3"/>
        <v>9.0242785158039389</v>
      </c>
      <c r="L64" s="75">
        <f>VLOOKUP($A64,'Data Vlaue (Cr)'!$C:$FB,67)</f>
        <v>4098</v>
      </c>
      <c r="M64" s="75">
        <f>VLOOKUP($A64,'Data Vlaue (Cr)'!$C:$FB,68)</f>
        <v>694</v>
      </c>
      <c r="N64" s="75">
        <f t="shared" si="4"/>
        <v>3404</v>
      </c>
      <c r="O64" s="75">
        <f t="shared" si="5"/>
        <v>83.064909712054657</v>
      </c>
      <c r="P64" s="75">
        <f>VLOOKUP($A64,'Data Vlaue (Cr)'!$C:$FB,119)</f>
        <v>0.84</v>
      </c>
      <c r="Q64" s="75">
        <f>VLOOKUP($A64,'Data Vlaue (Cr)'!$C:$FB,122)*100</f>
        <v>-19.23</v>
      </c>
      <c r="R64" s="75">
        <f>VLOOKUP($A64,'Data Vlaue (Cr)'!$C:$FB,125)</f>
        <v>0.64</v>
      </c>
      <c r="S64" s="75">
        <f>VLOOKUP($A64,'Data Vlaue (Cr)'!$C:$FB,128)*100</f>
        <v>20.75</v>
      </c>
    </row>
    <row r="65" spans="1:19" x14ac:dyDescent="0.25">
      <c r="A65" s="96" t="str">
        <f>'Data Vlaue (Cr)'!C56</f>
        <v>CONCOR</v>
      </c>
      <c r="B65" s="75">
        <f>VLOOKUP($A65,'Data Vlaue (Cr)'!$C:$FB,2)</f>
        <v>1250</v>
      </c>
      <c r="C65" s="75">
        <f>VLOOKUP($A65,'Data Vlaue (Cr)'!$C:$FB,8)</f>
        <v>607.5</v>
      </c>
      <c r="D65" s="75">
        <f>VLOOKUP($A65,'Data Vlaue (Cr)'!$C:$FB,4)</f>
        <v>607.9</v>
      </c>
      <c r="E65" s="75">
        <f>VLOOKUP($A65,'Data Vlaue (Cr)'!$C:$FB,5)</f>
        <v>615.15</v>
      </c>
      <c r="F65" s="75">
        <f t="shared" si="0"/>
        <v>0.39999999999997726</v>
      </c>
      <c r="G65" s="75">
        <f t="shared" si="1"/>
        <v>-1.1926303668366509</v>
      </c>
      <c r="H65" s="75">
        <f>VLOOKUP($A65,'Data Vlaue (Cr)'!$C:$FB,99)</f>
        <v>1956</v>
      </c>
      <c r="I65" s="75">
        <f>VLOOKUP($A65,'Data Vlaue (Cr)'!$C:$FB,100)</f>
        <v>1923</v>
      </c>
      <c r="J65" s="75">
        <f t="shared" si="2"/>
        <v>33</v>
      </c>
      <c r="K65" s="75">
        <f t="shared" si="3"/>
        <v>1.6871165644171779</v>
      </c>
      <c r="L65" s="75">
        <f>VLOOKUP($A65,'Data Vlaue (Cr)'!$C:$FB,67)</f>
        <v>586</v>
      </c>
      <c r="M65" s="75">
        <f>VLOOKUP($A65,'Data Vlaue (Cr)'!$C:$FB,68)</f>
        <v>425</v>
      </c>
      <c r="N65" s="75">
        <f t="shared" si="4"/>
        <v>161</v>
      </c>
      <c r="O65" s="75">
        <f t="shared" si="5"/>
        <v>27.474402730375424</v>
      </c>
      <c r="P65" s="75">
        <f>VLOOKUP($A65,'Data Vlaue (Cr)'!$C:$FB,119)</f>
        <v>0.59</v>
      </c>
      <c r="Q65" s="75">
        <f>VLOOKUP($A65,'Data Vlaue (Cr)'!$C:$FB,122)*100</f>
        <v>0</v>
      </c>
      <c r="R65" s="75">
        <f>VLOOKUP($A65,'Data Vlaue (Cr)'!$C:$FB,125)</f>
        <v>0.38</v>
      </c>
      <c r="S65" s="75">
        <f>VLOOKUP($A65,'Data Vlaue (Cr)'!$C:$FB,128)*100</f>
        <v>-5</v>
      </c>
    </row>
    <row r="66" spans="1:19" x14ac:dyDescent="0.25">
      <c r="A66" s="96" t="str">
        <f>'Data Vlaue (Cr)'!C57</f>
        <v>CROMPTON</v>
      </c>
      <c r="B66" s="75">
        <f>VLOOKUP($A66,'Data Vlaue (Cr)'!$C:$FB,2)</f>
        <v>1800</v>
      </c>
      <c r="C66" s="75">
        <f>VLOOKUP($A66,'Data Vlaue (Cr)'!$C:$FB,8)</f>
        <v>335.95</v>
      </c>
      <c r="D66" s="75">
        <f>VLOOKUP($A66,'Data Vlaue (Cr)'!$C:$FB,4)</f>
        <v>334.05</v>
      </c>
      <c r="E66" s="75">
        <f>VLOOKUP($A66,'Data Vlaue (Cr)'!$C:$FB,5)</f>
        <v>338.9</v>
      </c>
      <c r="F66" s="75">
        <f t="shared" si="0"/>
        <v>-1.8999999999999773</v>
      </c>
      <c r="G66" s="75">
        <f t="shared" si="1"/>
        <v>-1.451878461308177</v>
      </c>
      <c r="H66" s="75">
        <f>VLOOKUP($A66,'Data Vlaue (Cr)'!$C:$FB,99)</f>
        <v>1670</v>
      </c>
      <c r="I66" s="75">
        <f>VLOOKUP($A66,'Data Vlaue (Cr)'!$C:$FB,100)</f>
        <v>1641</v>
      </c>
      <c r="J66" s="75">
        <f t="shared" si="2"/>
        <v>29</v>
      </c>
      <c r="K66" s="75">
        <f t="shared" si="3"/>
        <v>1.7365269461077846</v>
      </c>
      <c r="L66" s="75">
        <f>VLOOKUP($A66,'Data Vlaue (Cr)'!$C:$FB,67)</f>
        <v>710</v>
      </c>
      <c r="M66" s="75">
        <f>VLOOKUP($A66,'Data Vlaue (Cr)'!$C:$FB,68)</f>
        <v>287</v>
      </c>
      <c r="N66" s="75">
        <f t="shared" si="4"/>
        <v>423</v>
      </c>
      <c r="O66" s="75">
        <f t="shared" si="5"/>
        <v>59.577464788732392</v>
      </c>
      <c r="P66" s="75">
        <f>VLOOKUP($A66,'Data Vlaue (Cr)'!$C:$FB,119)</f>
        <v>0.63</v>
      </c>
      <c r="Q66" s="75">
        <f>VLOOKUP($A66,'Data Vlaue (Cr)'!$C:$FB,122)*100</f>
        <v>3.2800000000000002</v>
      </c>
      <c r="R66" s="75">
        <f>VLOOKUP($A66,'Data Vlaue (Cr)'!$C:$FB,125)</f>
        <v>0.47</v>
      </c>
      <c r="S66" s="75">
        <f>VLOOKUP($A66,'Data Vlaue (Cr)'!$C:$FB,128)*100</f>
        <v>9.3000000000000007</v>
      </c>
    </row>
    <row r="67" spans="1:19" x14ac:dyDescent="0.25">
      <c r="A67" s="96" t="str">
        <f>'Data Vlaue (Cr)'!C58</f>
        <v>CUMMINSIND</v>
      </c>
      <c r="B67" s="75">
        <f>VLOOKUP($A67,'Data Vlaue (Cr)'!$C:$FB,2)</f>
        <v>200</v>
      </c>
      <c r="C67" s="75">
        <f>VLOOKUP($A67,'Data Vlaue (Cr)'!$C:$FB,8)</f>
        <v>3587.4</v>
      </c>
      <c r="D67" s="75">
        <f>VLOOKUP($A67,'Data Vlaue (Cr)'!$C:$FB,4)</f>
        <v>3589.2</v>
      </c>
      <c r="E67" s="75">
        <f>VLOOKUP($A67,'Data Vlaue (Cr)'!$C:$FB,5)</f>
        <v>3621.6</v>
      </c>
      <c r="F67" s="75">
        <f t="shared" si="0"/>
        <v>1.7999999999997272</v>
      </c>
      <c r="G67" s="75">
        <f t="shared" si="1"/>
        <v>-0.90270812437312187</v>
      </c>
      <c r="H67" s="75">
        <f>VLOOKUP($A67,'Data Vlaue (Cr)'!$C:$FB,99)</f>
        <v>1706</v>
      </c>
      <c r="I67" s="75">
        <f>VLOOKUP($A67,'Data Vlaue (Cr)'!$C:$FB,100)</f>
        <v>1762</v>
      </c>
      <c r="J67" s="75">
        <f t="shared" si="2"/>
        <v>-56</v>
      </c>
      <c r="K67" s="75">
        <f t="shared" si="3"/>
        <v>-3.2825322391559206</v>
      </c>
      <c r="L67" s="75">
        <f>VLOOKUP($A67,'Data Vlaue (Cr)'!$C:$FB,67)</f>
        <v>749</v>
      </c>
      <c r="M67" s="75">
        <f>VLOOKUP($A67,'Data Vlaue (Cr)'!$C:$FB,68)</f>
        <v>1462</v>
      </c>
      <c r="N67" s="75">
        <f t="shared" si="4"/>
        <v>-713</v>
      </c>
      <c r="O67" s="75">
        <f t="shared" si="5"/>
        <v>-95.19359145527369</v>
      </c>
      <c r="P67" s="75">
        <f>VLOOKUP($A67,'Data Vlaue (Cr)'!$C:$FB,119)</f>
        <v>0.91</v>
      </c>
      <c r="Q67" s="75">
        <f>VLOOKUP($A67,'Data Vlaue (Cr)'!$C:$FB,122)*100</f>
        <v>4.5999999999999996</v>
      </c>
      <c r="R67" s="75">
        <f>VLOOKUP($A67,'Data Vlaue (Cr)'!$C:$FB,125)</f>
        <v>0.56999999999999995</v>
      </c>
      <c r="S67" s="75">
        <f>VLOOKUP($A67,'Data Vlaue (Cr)'!$C:$FB,128)*100</f>
        <v>67.650000000000006</v>
      </c>
    </row>
    <row r="68" spans="1:19" x14ac:dyDescent="0.25">
      <c r="A68" s="96" t="str">
        <f>'Data Vlaue (Cr)'!C59</f>
        <v>CYIENT</v>
      </c>
      <c r="B68" s="75">
        <f>VLOOKUP($A68,'Data Vlaue (Cr)'!$C:$FB,2)</f>
        <v>425</v>
      </c>
      <c r="C68" s="75">
        <f>VLOOKUP($A68,'Data Vlaue (Cr)'!$C:$FB,8)</f>
        <v>1271.2</v>
      </c>
      <c r="D68" s="75">
        <f>VLOOKUP($A68,'Data Vlaue (Cr)'!$C:$FB,4)</f>
        <v>1273.8</v>
      </c>
      <c r="E68" s="75">
        <f>VLOOKUP($A68,'Data Vlaue (Cr)'!$C:$FB,5)</f>
        <v>1285.2</v>
      </c>
      <c r="F68" s="75">
        <f t="shared" si="0"/>
        <v>2.5999999999999091</v>
      </c>
      <c r="G68" s="75">
        <f t="shared" si="1"/>
        <v>-0.89495996231748254</v>
      </c>
      <c r="H68" s="75">
        <f>VLOOKUP($A68,'Data Vlaue (Cr)'!$C:$FB,99)</f>
        <v>686</v>
      </c>
      <c r="I68" s="75">
        <f>VLOOKUP($A68,'Data Vlaue (Cr)'!$C:$FB,100)</f>
        <v>680</v>
      </c>
      <c r="J68" s="75">
        <f t="shared" si="2"/>
        <v>6</v>
      </c>
      <c r="K68" s="75">
        <f t="shared" si="3"/>
        <v>0.87463556851311952</v>
      </c>
      <c r="L68" s="75">
        <f>VLOOKUP($A68,'Data Vlaue (Cr)'!$C:$FB,67)</f>
        <v>139</v>
      </c>
      <c r="M68" s="75">
        <f>VLOOKUP($A68,'Data Vlaue (Cr)'!$C:$FB,68)</f>
        <v>169</v>
      </c>
      <c r="N68" s="75">
        <f t="shared" si="4"/>
        <v>-30</v>
      </c>
      <c r="O68" s="75">
        <f t="shared" si="5"/>
        <v>-21.582733812949641</v>
      </c>
      <c r="P68" s="75">
        <f>VLOOKUP($A68,'Data Vlaue (Cr)'!$C:$FB,119)</f>
        <v>0.75</v>
      </c>
      <c r="Q68" s="75">
        <f>VLOOKUP($A68,'Data Vlaue (Cr)'!$C:$FB,122)*100</f>
        <v>4.17</v>
      </c>
      <c r="R68" s="75">
        <f>VLOOKUP($A68,'Data Vlaue (Cr)'!$C:$FB,125)</f>
        <v>0.64</v>
      </c>
      <c r="S68" s="75">
        <f>VLOOKUP($A68,'Data Vlaue (Cr)'!$C:$FB,128)*100</f>
        <v>28.000000000000004</v>
      </c>
    </row>
    <row r="69" spans="1:19" x14ac:dyDescent="0.25">
      <c r="A69" s="96" t="str">
        <f>'Data Vlaue (Cr)'!C60</f>
        <v>DABUR</v>
      </c>
      <c r="B69" s="75">
        <f>VLOOKUP($A69,'Data Vlaue (Cr)'!$C:$FB,2)</f>
        <v>1250</v>
      </c>
      <c r="C69" s="75">
        <f>VLOOKUP($A69,'Data Vlaue (Cr)'!$C:$FB,8)</f>
        <v>515.04999999999995</v>
      </c>
      <c r="D69" s="75">
        <f>VLOOKUP($A69,'Data Vlaue (Cr)'!$C:$FB,4)</f>
        <v>515.29999999999995</v>
      </c>
      <c r="E69" s="75">
        <f>VLOOKUP($A69,'Data Vlaue (Cr)'!$C:$FB,5)</f>
        <v>516.1</v>
      </c>
      <c r="F69" s="75">
        <f t="shared" si="0"/>
        <v>0.25</v>
      </c>
      <c r="G69" s="75">
        <f t="shared" si="1"/>
        <v>-0.15524936929945046</v>
      </c>
      <c r="H69" s="75">
        <f>VLOOKUP($A69,'Data Vlaue (Cr)'!$C:$FB,99)</f>
        <v>2275</v>
      </c>
      <c r="I69" s="75">
        <f>VLOOKUP($A69,'Data Vlaue (Cr)'!$C:$FB,100)</f>
        <v>2304</v>
      </c>
      <c r="J69" s="75">
        <f t="shared" si="2"/>
        <v>-29</v>
      </c>
      <c r="K69" s="75">
        <f t="shared" si="3"/>
        <v>-1.2747252747252749</v>
      </c>
      <c r="L69" s="75">
        <f>VLOOKUP($A69,'Data Vlaue (Cr)'!$C:$FB,67)</f>
        <v>582</v>
      </c>
      <c r="M69" s="75">
        <f>VLOOKUP($A69,'Data Vlaue (Cr)'!$C:$FB,68)</f>
        <v>713</v>
      </c>
      <c r="N69" s="75">
        <f t="shared" si="4"/>
        <v>-131</v>
      </c>
      <c r="O69" s="75">
        <f t="shared" si="5"/>
        <v>-22.508591065292098</v>
      </c>
      <c r="P69" s="75">
        <f>VLOOKUP($A69,'Data Vlaue (Cr)'!$C:$FB,119)</f>
        <v>1.05</v>
      </c>
      <c r="Q69" s="75">
        <f>VLOOKUP($A69,'Data Vlaue (Cr)'!$C:$FB,122)*100</f>
        <v>1.94</v>
      </c>
      <c r="R69" s="75">
        <f>VLOOKUP($A69,'Data Vlaue (Cr)'!$C:$FB,125)</f>
        <v>0.43</v>
      </c>
      <c r="S69" s="75">
        <f>VLOOKUP($A69,'Data Vlaue (Cr)'!$C:$FB,128)*100</f>
        <v>-44.87</v>
      </c>
    </row>
    <row r="70" spans="1:19" x14ac:dyDescent="0.25">
      <c r="A70" s="96" t="str">
        <f>'Data Vlaue (Cr)'!C61</f>
        <v>DALBHARAT</v>
      </c>
      <c r="B70" s="75">
        <f>VLOOKUP($A70,'Data Vlaue (Cr)'!$C:$FB,2)</f>
        <v>325</v>
      </c>
      <c r="C70" s="75">
        <f>VLOOKUP($A70,'Data Vlaue (Cr)'!$C:$FB,8)</f>
        <v>2320.1999999999998</v>
      </c>
      <c r="D70" s="75">
        <f>VLOOKUP($A70,'Data Vlaue (Cr)'!$C:$FB,4)</f>
        <v>2322</v>
      </c>
      <c r="E70" s="75">
        <f>VLOOKUP($A70,'Data Vlaue (Cr)'!$C:$FB,5)</f>
        <v>2270.8000000000002</v>
      </c>
      <c r="F70" s="75">
        <f t="shared" si="0"/>
        <v>1.8000000000001819</v>
      </c>
      <c r="G70" s="75">
        <f t="shared" si="1"/>
        <v>2.2049956933677786</v>
      </c>
      <c r="H70" s="75">
        <f>VLOOKUP($A70,'Data Vlaue (Cr)'!$C:$FB,99)</f>
        <v>1241</v>
      </c>
      <c r="I70" s="75">
        <f>VLOOKUP($A70,'Data Vlaue (Cr)'!$C:$FB,100)</f>
        <v>1095</v>
      </c>
      <c r="J70" s="75">
        <f t="shared" si="2"/>
        <v>146</v>
      </c>
      <c r="K70" s="75">
        <f t="shared" si="3"/>
        <v>11.76470588235294</v>
      </c>
      <c r="L70" s="75">
        <f>VLOOKUP($A70,'Data Vlaue (Cr)'!$C:$FB,67)</f>
        <v>2099</v>
      </c>
      <c r="M70" s="75">
        <f>VLOOKUP($A70,'Data Vlaue (Cr)'!$C:$FB,68)</f>
        <v>1053</v>
      </c>
      <c r="N70" s="75">
        <f t="shared" si="4"/>
        <v>1046</v>
      </c>
      <c r="O70" s="75">
        <f t="shared" si="5"/>
        <v>49.833253930443064</v>
      </c>
      <c r="P70" s="75">
        <f>VLOOKUP($A70,'Data Vlaue (Cr)'!$C:$FB,119)</f>
        <v>0.57999999999999996</v>
      </c>
      <c r="Q70" s="75">
        <f>VLOOKUP($A70,'Data Vlaue (Cr)'!$C:$FB,122)*100</f>
        <v>23.400000000000002</v>
      </c>
      <c r="R70" s="75">
        <f>VLOOKUP($A70,'Data Vlaue (Cr)'!$C:$FB,125)</f>
        <v>0.4</v>
      </c>
      <c r="S70" s="75">
        <f>VLOOKUP($A70,'Data Vlaue (Cr)'!$C:$FB,128)*100</f>
        <v>73.91</v>
      </c>
    </row>
    <row r="71" spans="1:19" x14ac:dyDescent="0.25">
      <c r="A71" s="96" t="str">
        <f>'Data Vlaue (Cr)'!C62</f>
        <v>DELHIVERY</v>
      </c>
      <c r="B71" s="75">
        <f>VLOOKUP($A71,'Data Vlaue (Cr)'!$C:$FB,2)</f>
        <v>2075</v>
      </c>
      <c r="C71" s="75">
        <f>VLOOKUP($A71,'Data Vlaue (Cr)'!$C:$FB,8)</f>
        <v>436.85</v>
      </c>
      <c r="D71" s="75">
        <f>VLOOKUP($A71,'Data Vlaue (Cr)'!$C:$FB,4)</f>
        <v>434.85</v>
      </c>
      <c r="E71" s="75">
        <f>VLOOKUP($A71,'Data Vlaue (Cr)'!$C:$FB,5)</f>
        <v>432.85</v>
      </c>
      <c r="F71" s="75">
        <f t="shared" si="0"/>
        <v>-2</v>
      </c>
      <c r="G71" s="75">
        <f t="shared" si="1"/>
        <v>0.45992871104978728</v>
      </c>
      <c r="H71" s="75">
        <f>VLOOKUP($A71,'Data Vlaue (Cr)'!$C:$FB,99)</f>
        <v>1101</v>
      </c>
      <c r="I71" s="75">
        <f>VLOOKUP($A71,'Data Vlaue (Cr)'!$C:$FB,100)</f>
        <v>1054</v>
      </c>
      <c r="J71" s="75">
        <f t="shared" si="2"/>
        <v>47</v>
      </c>
      <c r="K71" s="75">
        <f t="shared" si="3"/>
        <v>4.2688465031789278</v>
      </c>
      <c r="L71" s="75">
        <f>VLOOKUP($A71,'Data Vlaue (Cr)'!$C:$FB,67)</f>
        <v>1347</v>
      </c>
      <c r="M71" s="75">
        <f>VLOOKUP($A71,'Data Vlaue (Cr)'!$C:$FB,68)</f>
        <v>668</v>
      </c>
      <c r="N71" s="75">
        <f t="shared" si="4"/>
        <v>679</v>
      </c>
      <c r="O71" s="75">
        <f t="shared" si="5"/>
        <v>50.408314773570893</v>
      </c>
      <c r="P71" s="75">
        <f>VLOOKUP($A71,'Data Vlaue (Cr)'!$C:$FB,119)</f>
        <v>0.82</v>
      </c>
      <c r="Q71" s="75">
        <f>VLOOKUP($A71,'Data Vlaue (Cr)'!$C:$FB,122)*100</f>
        <v>13.889999999999999</v>
      </c>
      <c r="R71" s="75">
        <f>VLOOKUP($A71,'Data Vlaue (Cr)'!$C:$FB,125)</f>
        <v>0.51</v>
      </c>
      <c r="S71" s="75">
        <f>VLOOKUP($A71,'Data Vlaue (Cr)'!$C:$FB,128)*100</f>
        <v>24.39</v>
      </c>
    </row>
    <row r="72" spans="1:19" x14ac:dyDescent="0.25">
      <c r="A72" s="96" t="str">
        <f>'Data Vlaue (Cr)'!C63</f>
        <v>DIVISLAB</v>
      </c>
      <c r="B72" s="75">
        <f>VLOOKUP($A72,'Data Vlaue (Cr)'!$C:$FB,2)</f>
        <v>100</v>
      </c>
      <c r="C72" s="75">
        <f>VLOOKUP($A72,'Data Vlaue (Cr)'!$C:$FB,8)</f>
        <v>6613</v>
      </c>
      <c r="D72" s="75">
        <f>VLOOKUP($A72,'Data Vlaue (Cr)'!$C:$FB,4)</f>
        <v>6601</v>
      </c>
      <c r="E72" s="75">
        <f>VLOOKUP($A72,'Data Vlaue (Cr)'!$C:$FB,5)</f>
        <v>6675.5</v>
      </c>
      <c r="F72" s="75">
        <f t="shared" si="0"/>
        <v>-12</v>
      </c>
      <c r="G72" s="75">
        <f t="shared" si="1"/>
        <v>-1.1286168762308741</v>
      </c>
      <c r="H72" s="75">
        <f>VLOOKUP($A72,'Data Vlaue (Cr)'!$C:$FB,99)</f>
        <v>3205</v>
      </c>
      <c r="I72" s="75">
        <f>VLOOKUP($A72,'Data Vlaue (Cr)'!$C:$FB,100)</f>
        <v>3185</v>
      </c>
      <c r="J72" s="75">
        <f t="shared" si="2"/>
        <v>20</v>
      </c>
      <c r="K72" s="75">
        <f t="shared" si="3"/>
        <v>0.62402496099843996</v>
      </c>
      <c r="L72" s="75">
        <f>VLOOKUP($A72,'Data Vlaue (Cr)'!$C:$FB,67)</f>
        <v>1119</v>
      </c>
      <c r="M72" s="75">
        <f>VLOOKUP($A72,'Data Vlaue (Cr)'!$C:$FB,68)</f>
        <v>871</v>
      </c>
      <c r="N72" s="75">
        <f t="shared" si="4"/>
        <v>248</v>
      </c>
      <c r="O72" s="75">
        <f t="shared" si="5"/>
        <v>22.162645218945485</v>
      </c>
      <c r="P72" s="75">
        <f>VLOOKUP($A72,'Data Vlaue (Cr)'!$C:$FB,119)</f>
        <v>0.54</v>
      </c>
      <c r="Q72" s="75">
        <f>VLOOKUP($A72,'Data Vlaue (Cr)'!$C:$FB,122)*100</f>
        <v>-3.5700000000000003</v>
      </c>
      <c r="R72" s="75">
        <f>VLOOKUP($A72,'Data Vlaue (Cr)'!$C:$FB,125)</f>
        <v>0.48</v>
      </c>
      <c r="S72" s="75">
        <f>VLOOKUP($A72,'Data Vlaue (Cr)'!$C:$FB,128)*100</f>
        <v>-5.88</v>
      </c>
    </row>
    <row r="73" spans="1:19" x14ac:dyDescent="0.25">
      <c r="A73" s="96" t="str">
        <f>'Data Vlaue (Cr)'!C64</f>
        <v>DIXON</v>
      </c>
      <c r="B73" s="75">
        <f>VLOOKUP($A73,'Data Vlaue (Cr)'!$C:$FB,2)</f>
        <v>50</v>
      </c>
      <c r="C73" s="75">
        <f>VLOOKUP($A73,'Data Vlaue (Cr)'!$C:$FB,8)</f>
        <v>16112</v>
      </c>
      <c r="D73" s="75">
        <f>VLOOKUP($A73,'Data Vlaue (Cr)'!$C:$FB,4)</f>
        <v>16134</v>
      </c>
      <c r="E73" s="75">
        <f>VLOOKUP($A73,'Data Vlaue (Cr)'!$C:$FB,5)</f>
        <v>16335</v>
      </c>
      <c r="F73" s="75">
        <f t="shared" si="0"/>
        <v>22</v>
      </c>
      <c r="G73" s="75">
        <f t="shared" si="1"/>
        <v>-1.2458162885831163</v>
      </c>
      <c r="H73" s="75">
        <f>VLOOKUP($A73,'Data Vlaue (Cr)'!$C:$FB,99)</f>
        <v>6777</v>
      </c>
      <c r="I73" s="75">
        <f>VLOOKUP($A73,'Data Vlaue (Cr)'!$C:$FB,100)</f>
        <v>6003</v>
      </c>
      <c r="J73" s="75">
        <f t="shared" si="2"/>
        <v>774</v>
      </c>
      <c r="K73" s="75">
        <f t="shared" si="3"/>
        <v>11.42098273572377</v>
      </c>
      <c r="L73" s="75">
        <f>VLOOKUP($A73,'Data Vlaue (Cr)'!$C:$FB,67)</f>
        <v>7780</v>
      </c>
      <c r="M73" s="75">
        <f>VLOOKUP($A73,'Data Vlaue (Cr)'!$C:$FB,68)</f>
        <v>7811</v>
      </c>
      <c r="N73" s="75">
        <f t="shared" si="4"/>
        <v>-31</v>
      </c>
      <c r="O73" s="75">
        <f t="shared" si="5"/>
        <v>-0.39845758354755784</v>
      </c>
      <c r="P73" s="75">
        <f>VLOOKUP($A73,'Data Vlaue (Cr)'!$C:$FB,119)</f>
        <v>0.8</v>
      </c>
      <c r="Q73" s="75">
        <f>VLOOKUP($A73,'Data Vlaue (Cr)'!$C:$FB,122)*100</f>
        <v>-9.09</v>
      </c>
      <c r="R73" s="75">
        <f>VLOOKUP($A73,'Data Vlaue (Cr)'!$C:$FB,125)</f>
        <v>0.68</v>
      </c>
      <c r="S73" s="75">
        <f>VLOOKUP($A73,'Data Vlaue (Cr)'!$C:$FB,128)*100</f>
        <v>36</v>
      </c>
    </row>
    <row r="74" spans="1:19" x14ac:dyDescent="0.25">
      <c r="A74" s="96" t="str">
        <f>'Data Vlaue (Cr)'!C65</f>
        <v>DLF</v>
      </c>
      <c r="B74" s="75">
        <f>VLOOKUP($A74,'Data Vlaue (Cr)'!$C:$FB,2)</f>
        <v>825</v>
      </c>
      <c r="C74" s="75">
        <f>VLOOKUP($A74,'Data Vlaue (Cr)'!$C:$FB,8)</f>
        <v>845.5</v>
      </c>
      <c r="D74" s="75">
        <f>VLOOKUP($A74,'Data Vlaue (Cr)'!$C:$FB,4)</f>
        <v>839.85</v>
      </c>
      <c r="E74" s="75">
        <f>VLOOKUP($A74,'Data Vlaue (Cr)'!$C:$FB,5)</f>
        <v>847.7</v>
      </c>
      <c r="F74" s="75">
        <f t="shared" si="0"/>
        <v>-5.6499999999999773</v>
      </c>
      <c r="G74" s="75">
        <f t="shared" si="1"/>
        <v>-0.93469071858070152</v>
      </c>
      <c r="H74" s="75">
        <f>VLOOKUP($A74,'Data Vlaue (Cr)'!$C:$FB,99)</f>
        <v>6196</v>
      </c>
      <c r="I74" s="75">
        <f>VLOOKUP($A74,'Data Vlaue (Cr)'!$C:$FB,100)</f>
        <v>6250</v>
      </c>
      <c r="J74" s="75">
        <f t="shared" si="2"/>
        <v>-54</v>
      </c>
      <c r="K74" s="75">
        <f t="shared" si="3"/>
        <v>-0.87153001936733387</v>
      </c>
      <c r="L74" s="75">
        <f>VLOOKUP($A74,'Data Vlaue (Cr)'!$C:$FB,67)</f>
        <v>2302</v>
      </c>
      <c r="M74" s="75">
        <f>VLOOKUP($A74,'Data Vlaue (Cr)'!$C:$FB,68)</f>
        <v>1884</v>
      </c>
      <c r="N74" s="75">
        <f t="shared" si="4"/>
        <v>418</v>
      </c>
      <c r="O74" s="75">
        <f t="shared" si="5"/>
        <v>18.158123370981755</v>
      </c>
      <c r="P74" s="75">
        <f>VLOOKUP($A74,'Data Vlaue (Cr)'!$C:$FB,119)</f>
        <v>0.56000000000000005</v>
      </c>
      <c r="Q74" s="75">
        <f>VLOOKUP($A74,'Data Vlaue (Cr)'!$C:$FB,122)*100</f>
        <v>0</v>
      </c>
      <c r="R74" s="75">
        <f>VLOOKUP($A74,'Data Vlaue (Cr)'!$C:$FB,125)</f>
        <v>0.5</v>
      </c>
      <c r="S74" s="75">
        <f>VLOOKUP($A74,'Data Vlaue (Cr)'!$C:$FB,128)*100</f>
        <v>11.110000000000001</v>
      </c>
    </row>
    <row r="75" spans="1:19" x14ac:dyDescent="0.25">
      <c r="A75" s="96" t="str">
        <f>'Data Vlaue (Cr)'!C66</f>
        <v>DMART</v>
      </c>
      <c r="B75" s="75">
        <f>VLOOKUP($A75,'Data Vlaue (Cr)'!$C:$FB,2)</f>
        <v>150</v>
      </c>
      <c r="C75" s="75">
        <f>VLOOKUP($A75,'Data Vlaue (Cr)'!$C:$FB,8)</f>
        <v>4033.3</v>
      </c>
      <c r="D75" s="75">
        <f>VLOOKUP($A75,'Data Vlaue (Cr)'!$C:$FB,4)</f>
        <v>4044.2</v>
      </c>
      <c r="E75" s="75">
        <f>VLOOKUP($A75,'Data Vlaue (Cr)'!$C:$FB,5)</f>
        <v>4030.5</v>
      </c>
      <c r="F75" s="75">
        <f t="shared" si="0"/>
        <v>10.899999999999636</v>
      </c>
      <c r="G75" s="75">
        <f>(D75-E75)/D75*100</f>
        <v>0.3387567380446026</v>
      </c>
      <c r="H75" s="75">
        <f>VLOOKUP($A75,'Data Vlaue (Cr)'!$C:$FB,99)</f>
        <v>4437</v>
      </c>
      <c r="I75" s="75">
        <f>VLOOKUP($A75,'Data Vlaue (Cr)'!$C:$FB,100)</f>
        <v>4473</v>
      </c>
      <c r="J75" s="75">
        <f t="shared" si="2"/>
        <v>-36</v>
      </c>
      <c r="K75" s="75">
        <f t="shared" si="3"/>
        <v>-0.81135902636916835</v>
      </c>
      <c r="L75" s="75">
        <f>VLOOKUP($A75,'Data Vlaue (Cr)'!$C:$FB,67)</f>
        <v>1698</v>
      </c>
      <c r="M75" s="75">
        <f>VLOOKUP($A75,'Data Vlaue (Cr)'!$C:$FB,68)</f>
        <v>1304</v>
      </c>
      <c r="N75" s="75">
        <f t="shared" si="4"/>
        <v>394</v>
      </c>
      <c r="O75" s="75">
        <f t="shared" si="5"/>
        <v>23.203769140164901</v>
      </c>
      <c r="P75" s="75">
        <f>VLOOKUP($A75,'Data Vlaue (Cr)'!$C:$FB,119)</f>
        <v>0.44</v>
      </c>
      <c r="Q75" s="75">
        <f>VLOOKUP($A75,'Data Vlaue (Cr)'!$C:$FB,122)*100</f>
        <v>-2.2200000000000002</v>
      </c>
      <c r="R75" s="75">
        <f>VLOOKUP($A75,'Data Vlaue (Cr)'!$C:$FB,125)</f>
        <v>0.31</v>
      </c>
      <c r="S75" s="75">
        <f>VLOOKUP($A75,'Data Vlaue (Cr)'!$C:$FB,128)*100</f>
        <v>-13.889999999999999</v>
      </c>
    </row>
    <row r="76" spans="1:19" x14ac:dyDescent="0.25">
      <c r="A76" s="96" t="str">
        <f>'Data Vlaue (Cr)'!C67</f>
        <v>DRREDDY</v>
      </c>
      <c r="B76" s="75">
        <f>VLOOKUP($A76,'Data Vlaue (Cr)'!$C:$FB,2)</f>
        <v>625</v>
      </c>
      <c r="C76" s="75">
        <f>VLOOKUP($A76,'Data Vlaue (Cr)'!$C:$FB,8)</f>
        <v>1240</v>
      </c>
      <c r="D76" s="75">
        <f>VLOOKUP($A76,'Data Vlaue (Cr)'!$C:$FB,4)</f>
        <v>1240.9000000000001</v>
      </c>
      <c r="E76" s="75">
        <f>VLOOKUP($A76,'Data Vlaue (Cr)'!$C:$FB,5)</f>
        <v>1259.8</v>
      </c>
      <c r="F76" s="75">
        <f t="shared" ref="F76:F139" si="6">D76-C76</f>
        <v>0.90000000000009095</v>
      </c>
      <c r="G76" s="75">
        <f t="shared" ref="G76:G139" si="7">(D76-E76)/D76*100</f>
        <v>-1.5230880812313532</v>
      </c>
      <c r="H76" s="75">
        <f>VLOOKUP($A76,'Data Vlaue (Cr)'!$C:$FB,99)</f>
        <v>3532</v>
      </c>
      <c r="I76" s="75">
        <f>VLOOKUP($A76,'Data Vlaue (Cr)'!$C:$FB,100)</f>
        <v>3446</v>
      </c>
      <c r="J76" s="75">
        <f t="shared" ref="J76:J139" si="8">H76-I76</f>
        <v>86</v>
      </c>
      <c r="K76" s="75">
        <f t="shared" ref="K76:K139" si="9">J76/H76*100</f>
        <v>2.4348810872027182</v>
      </c>
      <c r="L76" s="75">
        <f>VLOOKUP($A76,'Data Vlaue (Cr)'!$C:$FB,67)</f>
        <v>1824</v>
      </c>
      <c r="M76" s="75">
        <f>VLOOKUP($A76,'Data Vlaue (Cr)'!$C:$FB,68)</f>
        <v>764</v>
      </c>
      <c r="N76" s="75">
        <f t="shared" ref="N76:N139" si="10">L76-M76</f>
        <v>1060</v>
      </c>
      <c r="O76" s="75">
        <f t="shared" ref="O76:O139" si="11">N76/L76*100</f>
        <v>58.114035087719294</v>
      </c>
      <c r="P76" s="75">
        <f>VLOOKUP($A76,'Data Vlaue (Cr)'!$C:$FB,119)</f>
        <v>0.47</v>
      </c>
      <c r="Q76" s="75">
        <f>VLOOKUP($A76,'Data Vlaue (Cr)'!$C:$FB,122)*100</f>
        <v>2.17</v>
      </c>
      <c r="R76" s="75">
        <f>VLOOKUP($A76,'Data Vlaue (Cr)'!$C:$FB,125)</f>
        <v>0.85</v>
      </c>
      <c r="S76" s="75">
        <f>VLOOKUP($A76,'Data Vlaue (Cr)'!$C:$FB,128)*100</f>
        <v>73.47</v>
      </c>
    </row>
    <row r="77" spans="1:19" x14ac:dyDescent="0.25">
      <c r="A77" s="96" t="str">
        <f>'Data Vlaue (Cr)'!C68</f>
        <v>EICHERMOT</v>
      </c>
      <c r="B77" s="75">
        <f>VLOOKUP($A77,'Data Vlaue (Cr)'!$C:$FB,2)</f>
        <v>175</v>
      </c>
      <c r="C77" s="75">
        <f>VLOOKUP($A77,'Data Vlaue (Cr)'!$C:$FB,8)</f>
        <v>5439.5</v>
      </c>
      <c r="D77" s="75">
        <f>VLOOKUP($A77,'Data Vlaue (Cr)'!$C:$FB,4)</f>
        <v>5455.5</v>
      </c>
      <c r="E77" s="75">
        <f>VLOOKUP($A77,'Data Vlaue (Cr)'!$C:$FB,5)</f>
        <v>5576</v>
      </c>
      <c r="F77" s="75">
        <f t="shared" si="6"/>
        <v>16</v>
      </c>
      <c r="G77" s="75">
        <f t="shared" si="7"/>
        <v>-2.2087801301438916</v>
      </c>
      <c r="H77" s="75">
        <f>VLOOKUP($A77,'Data Vlaue (Cr)'!$C:$FB,99)</f>
        <v>3138</v>
      </c>
      <c r="I77" s="75">
        <f>VLOOKUP($A77,'Data Vlaue (Cr)'!$C:$FB,100)</f>
        <v>2910</v>
      </c>
      <c r="J77" s="75">
        <f t="shared" si="8"/>
        <v>228</v>
      </c>
      <c r="K77" s="75">
        <f t="shared" si="9"/>
        <v>7.2657743785850863</v>
      </c>
      <c r="L77" s="75">
        <f>VLOOKUP($A77,'Data Vlaue (Cr)'!$C:$FB,67)</f>
        <v>2016</v>
      </c>
      <c r="M77" s="75">
        <f>VLOOKUP($A77,'Data Vlaue (Cr)'!$C:$FB,68)</f>
        <v>1202</v>
      </c>
      <c r="N77" s="75">
        <f t="shared" si="10"/>
        <v>814</v>
      </c>
      <c r="O77" s="75">
        <f t="shared" si="11"/>
        <v>40.376984126984127</v>
      </c>
      <c r="P77" s="75">
        <f>VLOOKUP($A77,'Data Vlaue (Cr)'!$C:$FB,119)</f>
        <v>0.52</v>
      </c>
      <c r="Q77" s="75">
        <f>VLOOKUP($A77,'Data Vlaue (Cr)'!$C:$FB,122)*100</f>
        <v>-5.45</v>
      </c>
      <c r="R77" s="75">
        <f>VLOOKUP($A77,'Data Vlaue (Cr)'!$C:$FB,125)</f>
        <v>0.62</v>
      </c>
      <c r="S77" s="75">
        <f>VLOOKUP($A77,'Data Vlaue (Cr)'!$C:$FB,128)*100</f>
        <v>-6.0600000000000005</v>
      </c>
    </row>
    <row r="78" spans="1:19" x14ac:dyDescent="0.25">
      <c r="A78" s="96" t="str">
        <f>'Data Vlaue (Cr)'!C69</f>
        <v>ETERNAL</v>
      </c>
      <c r="B78" s="75">
        <f>VLOOKUP($A78,'Data Vlaue (Cr)'!$C:$FB,2)</f>
        <v>2425</v>
      </c>
      <c r="C78" s="75">
        <f>VLOOKUP($A78,'Data Vlaue (Cr)'!$C:$FB,8)</f>
        <v>299.8</v>
      </c>
      <c r="D78" s="75">
        <f>VLOOKUP($A78,'Data Vlaue (Cr)'!$C:$FB,4)</f>
        <v>300.75</v>
      </c>
      <c r="E78" s="75">
        <f>VLOOKUP($A78,'Data Vlaue (Cr)'!$C:$FB,5)</f>
        <v>271.39999999999998</v>
      </c>
      <c r="F78" s="75">
        <f t="shared" si="6"/>
        <v>0.94999999999998863</v>
      </c>
      <c r="G78" s="75">
        <f t="shared" si="7"/>
        <v>9.7589359933499651</v>
      </c>
      <c r="H78" s="75">
        <f>VLOOKUP($A78,'Data Vlaue (Cr)'!$C:$FB,99)</f>
        <v>11335</v>
      </c>
      <c r="I78" s="75">
        <f>VLOOKUP($A78,'Data Vlaue (Cr)'!$C:$FB,100)</f>
        <v>8512</v>
      </c>
      <c r="J78" s="75">
        <f t="shared" si="8"/>
        <v>2823</v>
      </c>
      <c r="K78" s="75">
        <f t="shared" si="9"/>
        <v>24.905161005734449</v>
      </c>
      <c r="L78" s="75">
        <f>VLOOKUP($A78,'Data Vlaue (Cr)'!$C:$FB,67)</f>
        <v>50471</v>
      </c>
      <c r="M78" s="75">
        <f>VLOOKUP($A78,'Data Vlaue (Cr)'!$C:$FB,68)</f>
        <v>18700</v>
      </c>
      <c r="N78" s="75">
        <f t="shared" si="10"/>
        <v>31771</v>
      </c>
      <c r="O78" s="75">
        <f t="shared" si="11"/>
        <v>62.949020229438688</v>
      </c>
      <c r="P78" s="75">
        <f>VLOOKUP($A78,'Data Vlaue (Cr)'!$C:$FB,119)</f>
        <v>1.06</v>
      </c>
      <c r="Q78" s="75">
        <f>VLOOKUP($A78,'Data Vlaue (Cr)'!$C:$FB,122)*100</f>
        <v>30.86</v>
      </c>
      <c r="R78" s="75">
        <f>VLOOKUP($A78,'Data Vlaue (Cr)'!$C:$FB,125)</f>
        <v>0.77</v>
      </c>
      <c r="S78" s="75">
        <f>VLOOKUP($A78,'Data Vlaue (Cr)'!$C:$FB,128)*100</f>
        <v>24.19</v>
      </c>
    </row>
    <row r="79" spans="1:19" x14ac:dyDescent="0.25">
      <c r="A79" s="96" t="str">
        <f>'Data Vlaue (Cr)'!C70</f>
        <v>EXIDEIND</v>
      </c>
      <c r="B79" s="75">
        <f>VLOOKUP($A79,'Data Vlaue (Cr)'!$C:$FB,2)</f>
        <v>1800</v>
      </c>
      <c r="C79" s="75">
        <f>VLOOKUP($A79,'Data Vlaue (Cr)'!$C:$FB,8)</f>
        <v>394.25</v>
      </c>
      <c r="D79" s="75">
        <f>VLOOKUP($A79,'Data Vlaue (Cr)'!$C:$FB,4)</f>
        <v>395.3</v>
      </c>
      <c r="E79" s="75">
        <f>VLOOKUP($A79,'Data Vlaue (Cr)'!$C:$FB,5)</f>
        <v>390.45</v>
      </c>
      <c r="F79" s="75">
        <f t="shared" si="6"/>
        <v>1.0500000000000114</v>
      </c>
      <c r="G79" s="75">
        <f t="shared" si="7"/>
        <v>1.2269162661269979</v>
      </c>
      <c r="H79" s="75">
        <f>VLOOKUP($A79,'Data Vlaue (Cr)'!$C:$FB,99)</f>
        <v>1801</v>
      </c>
      <c r="I79" s="75">
        <f>VLOOKUP($A79,'Data Vlaue (Cr)'!$C:$FB,100)</f>
        <v>1715</v>
      </c>
      <c r="J79" s="75">
        <f t="shared" si="8"/>
        <v>86</v>
      </c>
      <c r="K79" s="75">
        <f t="shared" si="9"/>
        <v>4.7751249305941146</v>
      </c>
      <c r="L79" s="75">
        <f>VLOOKUP($A79,'Data Vlaue (Cr)'!$C:$FB,67)</f>
        <v>1926</v>
      </c>
      <c r="M79" s="75">
        <f>VLOOKUP($A79,'Data Vlaue (Cr)'!$C:$FB,68)</f>
        <v>1676</v>
      </c>
      <c r="N79" s="75">
        <f t="shared" si="10"/>
        <v>250</v>
      </c>
      <c r="O79" s="75">
        <f t="shared" si="11"/>
        <v>12.980269989615783</v>
      </c>
      <c r="P79" s="75">
        <f>VLOOKUP($A79,'Data Vlaue (Cr)'!$C:$FB,119)</f>
        <v>0.56999999999999995</v>
      </c>
      <c r="Q79" s="75">
        <f>VLOOKUP($A79,'Data Vlaue (Cr)'!$C:$FB,122)*100</f>
        <v>-5</v>
      </c>
      <c r="R79" s="75">
        <f>VLOOKUP($A79,'Data Vlaue (Cr)'!$C:$FB,125)</f>
        <v>0.19</v>
      </c>
      <c r="S79" s="75">
        <f>VLOOKUP($A79,'Data Vlaue (Cr)'!$C:$FB,128)*100</f>
        <v>-20.830000000000002</v>
      </c>
    </row>
    <row r="80" spans="1:19" x14ac:dyDescent="0.25">
      <c r="A80" s="96" t="str">
        <f>'Data Vlaue (Cr)'!C71</f>
        <v>FEDERALBNK</v>
      </c>
      <c r="B80" s="75">
        <f>VLOOKUP($A80,'Data Vlaue (Cr)'!$C:$FB,2)</f>
        <v>5000</v>
      </c>
      <c r="C80" s="75">
        <f>VLOOKUP($A80,'Data Vlaue (Cr)'!$C:$FB,8)</f>
        <v>212.4</v>
      </c>
      <c r="D80" s="75">
        <f>VLOOKUP($A80,'Data Vlaue (Cr)'!$C:$FB,4)</f>
        <v>212.39</v>
      </c>
      <c r="E80" s="75">
        <f>VLOOKUP($A80,'Data Vlaue (Cr)'!$C:$FB,5)</f>
        <v>212.67</v>
      </c>
      <c r="F80" s="75">
        <f t="shared" si="6"/>
        <v>-1.0000000000019327E-2</v>
      </c>
      <c r="G80" s="75">
        <f t="shared" si="7"/>
        <v>-0.13183294882056648</v>
      </c>
      <c r="H80" s="75">
        <f>VLOOKUP($A80,'Data Vlaue (Cr)'!$C:$FB,99)</f>
        <v>3459</v>
      </c>
      <c r="I80" s="75">
        <f>VLOOKUP($A80,'Data Vlaue (Cr)'!$C:$FB,100)</f>
        <v>3449</v>
      </c>
      <c r="J80" s="75">
        <f t="shared" si="8"/>
        <v>10</v>
      </c>
      <c r="K80" s="75">
        <f t="shared" si="9"/>
        <v>0.28910089621277824</v>
      </c>
      <c r="L80" s="75">
        <f>VLOOKUP($A80,'Data Vlaue (Cr)'!$C:$FB,67)</f>
        <v>1283</v>
      </c>
      <c r="M80" s="75">
        <f>VLOOKUP($A80,'Data Vlaue (Cr)'!$C:$FB,68)</f>
        <v>2639</v>
      </c>
      <c r="N80" s="75">
        <f t="shared" si="10"/>
        <v>-1356</v>
      </c>
      <c r="O80" s="75">
        <f t="shared" si="11"/>
        <v>-105.68978955572877</v>
      </c>
      <c r="P80" s="75">
        <f>VLOOKUP($A80,'Data Vlaue (Cr)'!$C:$FB,119)</f>
        <v>0.65</v>
      </c>
      <c r="Q80" s="75">
        <f>VLOOKUP($A80,'Data Vlaue (Cr)'!$C:$FB,122)*100</f>
        <v>-1.52</v>
      </c>
      <c r="R80" s="75">
        <f>VLOOKUP($A80,'Data Vlaue (Cr)'!$C:$FB,125)</f>
        <v>0.67</v>
      </c>
      <c r="S80" s="75">
        <f>VLOOKUP($A80,'Data Vlaue (Cr)'!$C:$FB,128)*100</f>
        <v>8.06</v>
      </c>
    </row>
    <row r="81" spans="1:19" x14ac:dyDescent="0.25">
      <c r="A81" s="96" t="str">
        <f>'Data Vlaue (Cr)'!C72</f>
        <v>FINNIFTY</v>
      </c>
      <c r="B81" s="75">
        <f>VLOOKUP($A81,'Data Vlaue (Cr)'!$C:$FB,2)</f>
        <v>65</v>
      </c>
      <c r="C81" s="75">
        <f>VLOOKUP($A81,'Data Vlaue (Cr)'!$C:$FB,8)</f>
        <v>26990.45</v>
      </c>
      <c r="D81" s="75">
        <f>VLOOKUP($A81,'Data Vlaue (Cr)'!$C:$FB,4)</f>
        <v>27004.7</v>
      </c>
      <c r="E81" s="75">
        <f>VLOOKUP($A81,'Data Vlaue (Cr)'!$C:$FB,5)</f>
        <v>27012.1</v>
      </c>
      <c r="F81" s="75">
        <f t="shared" si="6"/>
        <v>14.25</v>
      </c>
      <c r="G81" s="75">
        <f t="shared" si="7"/>
        <v>-2.7402637318680884E-2</v>
      </c>
      <c r="H81" s="75">
        <f>VLOOKUP($A81,'Data Vlaue (Cr)'!$C:$FB,99)</f>
        <v>8095</v>
      </c>
      <c r="I81" s="75">
        <f>VLOOKUP($A81,'Data Vlaue (Cr)'!$C:$FB,100)</f>
        <v>7706</v>
      </c>
      <c r="J81" s="75">
        <f t="shared" si="8"/>
        <v>389</v>
      </c>
      <c r="K81" s="75">
        <f t="shared" si="9"/>
        <v>4.8054354539839412</v>
      </c>
      <c r="L81" s="75">
        <f>VLOOKUP($A81,'Data Vlaue (Cr)'!$C:$FB,67)</f>
        <v>17813</v>
      </c>
      <c r="M81" s="75">
        <f>VLOOKUP($A81,'Data Vlaue (Cr)'!$C:$FB,68)</f>
        <v>25636</v>
      </c>
      <c r="N81" s="75">
        <f t="shared" si="10"/>
        <v>-7823</v>
      </c>
      <c r="O81" s="75">
        <f t="shared" si="11"/>
        <v>-43.917363723123557</v>
      </c>
      <c r="P81" s="75">
        <f>VLOOKUP($A81,'Data Vlaue (Cr)'!$C:$FB,119)</f>
        <v>0.87</v>
      </c>
      <c r="Q81" s="75">
        <f>VLOOKUP($A81,'Data Vlaue (Cr)'!$C:$FB,122)*100</f>
        <v>1.1599999999999999</v>
      </c>
      <c r="R81" s="75">
        <f>VLOOKUP($A81,'Data Vlaue (Cr)'!$C:$FB,125)</f>
        <v>0.9</v>
      </c>
      <c r="S81" s="75">
        <f>VLOOKUP($A81,'Data Vlaue (Cr)'!$C:$FB,128)*100</f>
        <v>2.27</v>
      </c>
    </row>
    <row r="82" spans="1:19" x14ac:dyDescent="0.25">
      <c r="A82" s="96" t="str">
        <f>'Data Vlaue (Cr)'!C73</f>
        <v>FORTIS</v>
      </c>
      <c r="B82" s="75">
        <f>VLOOKUP($A82,'Data Vlaue (Cr)'!$C:$FB,2)</f>
        <v>775</v>
      </c>
      <c r="C82" s="75">
        <f>VLOOKUP($A82,'Data Vlaue (Cr)'!$C:$FB,8)</f>
        <v>809.1</v>
      </c>
      <c r="D82" s="75">
        <f>VLOOKUP($A82,'Data Vlaue (Cr)'!$C:$FB,4)</f>
        <v>810.25</v>
      </c>
      <c r="E82" s="75">
        <f>VLOOKUP($A82,'Data Vlaue (Cr)'!$C:$FB,5)</f>
        <v>804.2</v>
      </c>
      <c r="F82" s="75">
        <f t="shared" si="6"/>
        <v>1.1499999999999773</v>
      </c>
      <c r="G82" s="75">
        <f t="shared" si="7"/>
        <v>0.74668312249305202</v>
      </c>
      <c r="H82" s="75">
        <f>VLOOKUP($A82,'Data Vlaue (Cr)'!$C:$FB,99)</f>
        <v>1127</v>
      </c>
      <c r="I82" s="75">
        <f>VLOOKUP($A82,'Data Vlaue (Cr)'!$C:$FB,100)</f>
        <v>1061</v>
      </c>
      <c r="J82" s="75">
        <f t="shared" si="8"/>
        <v>66</v>
      </c>
      <c r="K82" s="75">
        <f t="shared" si="9"/>
        <v>5.8562555456965395</v>
      </c>
      <c r="L82" s="75">
        <f>VLOOKUP($A82,'Data Vlaue (Cr)'!$C:$FB,67)</f>
        <v>750</v>
      </c>
      <c r="M82" s="75">
        <f>VLOOKUP($A82,'Data Vlaue (Cr)'!$C:$FB,68)</f>
        <v>625</v>
      </c>
      <c r="N82" s="75">
        <f t="shared" si="10"/>
        <v>125</v>
      </c>
      <c r="O82" s="75">
        <f t="shared" si="11"/>
        <v>16.666666666666664</v>
      </c>
      <c r="P82" s="75">
        <f>VLOOKUP($A82,'Data Vlaue (Cr)'!$C:$FB,119)</f>
        <v>0.68</v>
      </c>
      <c r="Q82" s="75">
        <f>VLOOKUP($A82,'Data Vlaue (Cr)'!$C:$FB,122)*100</f>
        <v>-8.1100000000000012</v>
      </c>
      <c r="R82" s="75">
        <f>VLOOKUP($A82,'Data Vlaue (Cr)'!$C:$FB,125)</f>
        <v>0.36</v>
      </c>
      <c r="S82" s="75">
        <f>VLOOKUP($A82,'Data Vlaue (Cr)'!$C:$FB,128)*100</f>
        <v>-54.43</v>
      </c>
    </row>
    <row r="83" spans="1:19" x14ac:dyDescent="0.25">
      <c r="A83" s="96" t="str">
        <f>'Data Vlaue (Cr)'!C74</f>
        <v>GAIL</v>
      </c>
      <c r="B83" s="75">
        <f>VLOOKUP($A83,'Data Vlaue (Cr)'!$C:$FB,2)</f>
        <v>3150</v>
      </c>
      <c r="C83" s="75">
        <f>VLOOKUP($A83,'Data Vlaue (Cr)'!$C:$FB,8)</f>
        <v>184.03</v>
      </c>
      <c r="D83" s="75">
        <f>VLOOKUP($A83,'Data Vlaue (Cr)'!$C:$FB,4)</f>
        <v>183.99</v>
      </c>
      <c r="E83" s="75">
        <f>VLOOKUP($A83,'Data Vlaue (Cr)'!$C:$FB,5)</f>
        <v>184.11</v>
      </c>
      <c r="F83" s="75">
        <f t="shared" si="6"/>
        <v>-3.9999999999992042E-2</v>
      </c>
      <c r="G83" s="75">
        <f t="shared" si="7"/>
        <v>-6.5220935920432932E-2</v>
      </c>
      <c r="H83" s="75">
        <f>VLOOKUP($A83,'Data Vlaue (Cr)'!$C:$FB,99)</f>
        <v>3452</v>
      </c>
      <c r="I83" s="75">
        <f>VLOOKUP($A83,'Data Vlaue (Cr)'!$C:$FB,100)</f>
        <v>3469</v>
      </c>
      <c r="J83" s="75">
        <f t="shared" si="8"/>
        <v>-17</v>
      </c>
      <c r="K83" s="75">
        <f t="shared" si="9"/>
        <v>-0.49246813441483195</v>
      </c>
      <c r="L83" s="75">
        <f>VLOOKUP($A83,'Data Vlaue (Cr)'!$C:$FB,67)</f>
        <v>938</v>
      </c>
      <c r="M83" s="75">
        <f>VLOOKUP($A83,'Data Vlaue (Cr)'!$C:$FB,68)</f>
        <v>600</v>
      </c>
      <c r="N83" s="75">
        <f t="shared" si="10"/>
        <v>338</v>
      </c>
      <c r="O83" s="75">
        <f t="shared" si="11"/>
        <v>36.034115138592746</v>
      </c>
      <c r="P83" s="75">
        <f>VLOOKUP($A83,'Data Vlaue (Cr)'!$C:$FB,119)</f>
        <v>0.6</v>
      </c>
      <c r="Q83" s="75">
        <f>VLOOKUP($A83,'Data Vlaue (Cr)'!$C:$FB,122)*100</f>
        <v>1.69</v>
      </c>
      <c r="R83" s="75">
        <f>VLOOKUP($A83,'Data Vlaue (Cr)'!$C:$FB,125)</f>
        <v>0.56000000000000005</v>
      </c>
      <c r="S83" s="75">
        <f>VLOOKUP($A83,'Data Vlaue (Cr)'!$C:$FB,128)*100</f>
        <v>55.559999999999995</v>
      </c>
    </row>
    <row r="84" spans="1:19" x14ac:dyDescent="0.25">
      <c r="A84" s="96" t="str">
        <f>'Data Vlaue (Cr)'!C75</f>
        <v>GLENMARK</v>
      </c>
      <c r="B84" s="75">
        <f>VLOOKUP($A84,'Data Vlaue (Cr)'!$C:$FB,2)</f>
        <v>375</v>
      </c>
      <c r="C84" s="75">
        <f>VLOOKUP($A84,'Data Vlaue (Cr)'!$C:$FB,8)</f>
        <v>2157.9</v>
      </c>
      <c r="D84" s="75">
        <f>VLOOKUP($A84,'Data Vlaue (Cr)'!$C:$FB,4)</f>
        <v>2161.5</v>
      </c>
      <c r="E84" s="75">
        <f>VLOOKUP($A84,'Data Vlaue (Cr)'!$C:$FB,5)</f>
        <v>2193</v>
      </c>
      <c r="F84" s="75">
        <f t="shared" si="6"/>
        <v>3.5999999999999091</v>
      </c>
      <c r="G84" s="75">
        <f t="shared" si="7"/>
        <v>-1.457321304649549</v>
      </c>
      <c r="H84" s="75">
        <f>VLOOKUP($A84,'Data Vlaue (Cr)'!$C:$FB,99)</f>
        <v>5019</v>
      </c>
      <c r="I84" s="75">
        <f>VLOOKUP($A84,'Data Vlaue (Cr)'!$C:$FB,100)</f>
        <v>5213</v>
      </c>
      <c r="J84" s="75">
        <f t="shared" si="8"/>
        <v>-194</v>
      </c>
      <c r="K84" s="75">
        <f t="shared" si="9"/>
        <v>-3.86531181510261</v>
      </c>
      <c r="L84" s="75">
        <f>VLOOKUP($A84,'Data Vlaue (Cr)'!$C:$FB,67)</f>
        <v>2346</v>
      </c>
      <c r="M84" s="75">
        <f>VLOOKUP($A84,'Data Vlaue (Cr)'!$C:$FB,68)</f>
        <v>2116</v>
      </c>
      <c r="N84" s="75">
        <f t="shared" si="10"/>
        <v>230</v>
      </c>
      <c r="O84" s="75">
        <f t="shared" si="11"/>
        <v>9.8039215686274517</v>
      </c>
      <c r="P84" s="75">
        <f>VLOOKUP($A84,'Data Vlaue (Cr)'!$C:$FB,119)</f>
        <v>0.93</v>
      </c>
      <c r="Q84" s="75">
        <f>VLOOKUP($A84,'Data Vlaue (Cr)'!$C:$FB,122)*100</f>
        <v>-3.1199999999999997</v>
      </c>
      <c r="R84" s="75">
        <f>VLOOKUP($A84,'Data Vlaue (Cr)'!$C:$FB,125)</f>
        <v>0.93</v>
      </c>
      <c r="S84" s="75">
        <f>VLOOKUP($A84,'Data Vlaue (Cr)'!$C:$FB,128)*100</f>
        <v>-7.9200000000000008</v>
      </c>
    </row>
    <row r="85" spans="1:19" x14ac:dyDescent="0.25">
      <c r="A85" s="96" t="str">
        <f>'Data Vlaue (Cr)'!C76</f>
        <v>GMRAIRPORT</v>
      </c>
      <c r="B85" s="75">
        <f>VLOOKUP($A85,'Data Vlaue (Cr)'!$C:$FB,2)</f>
        <v>6975</v>
      </c>
      <c r="C85" s="75">
        <f>VLOOKUP($A85,'Data Vlaue (Cr)'!$C:$FB,8)</f>
        <v>91.92</v>
      </c>
      <c r="D85" s="75">
        <f>VLOOKUP($A85,'Data Vlaue (Cr)'!$C:$FB,4)</f>
        <v>91.99</v>
      </c>
      <c r="E85" s="75">
        <f>VLOOKUP($A85,'Data Vlaue (Cr)'!$C:$FB,5)</f>
        <v>93.77</v>
      </c>
      <c r="F85" s="75">
        <f t="shared" si="6"/>
        <v>6.9999999999993179E-2</v>
      </c>
      <c r="G85" s="75">
        <f t="shared" si="7"/>
        <v>-1.9349929340145682</v>
      </c>
      <c r="H85" s="75">
        <f>VLOOKUP($A85,'Data Vlaue (Cr)'!$C:$FB,99)</f>
        <v>2955</v>
      </c>
      <c r="I85" s="75">
        <f>VLOOKUP($A85,'Data Vlaue (Cr)'!$C:$FB,100)</f>
        <v>2962</v>
      </c>
      <c r="J85" s="75">
        <f t="shared" si="8"/>
        <v>-7</v>
      </c>
      <c r="K85" s="75">
        <f t="shared" si="9"/>
        <v>-0.23688663282571912</v>
      </c>
      <c r="L85" s="75">
        <f>VLOOKUP($A85,'Data Vlaue (Cr)'!$C:$FB,67)</f>
        <v>898</v>
      </c>
      <c r="M85" s="75">
        <f>VLOOKUP($A85,'Data Vlaue (Cr)'!$C:$FB,68)</f>
        <v>693</v>
      </c>
      <c r="N85" s="75">
        <f t="shared" si="10"/>
        <v>205</v>
      </c>
      <c r="O85" s="75">
        <f t="shared" si="11"/>
        <v>22.828507795100222</v>
      </c>
      <c r="P85" s="75">
        <f>VLOOKUP($A85,'Data Vlaue (Cr)'!$C:$FB,119)</f>
        <v>0.5</v>
      </c>
      <c r="Q85" s="75">
        <f>VLOOKUP($A85,'Data Vlaue (Cr)'!$C:$FB,122)*100</f>
        <v>-3.85</v>
      </c>
      <c r="R85" s="75">
        <f>VLOOKUP($A85,'Data Vlaue (Cr)'!$C:$FB,125)</f>
        <v>0.37</v>
      </c>
      <c r="S85" s="75">
        <f>VLOOKUP($A85,'Data Vlaue (Cr)'!$C:$FB,128)*100</f>
        <v>-30.19</v>
      </c>
    </row>
    <row r="86" spans="1:19" x14ac:dyDescent="0.25">
      <c r="A86" s="96" t="str">
        <f>'Data Vlaue (Cr)'!C77</f>
        <v>GODREJCP</v>
      </c>
      <c r="B86" s="75">
        <f>VLOOKUP($A86,'Data Vlaue (Cr)'!$C:$FB,2)</f>
        <v>500</v>
      </c>
      <c r="C86" s="75">
        <f>VLOOKUP($A86,'Data Vlaue (Cr)'!$C:$FB,8)</f>
        <v>1242.4000000000001</v>
      </c>
      <c r="D86" s="75">
        <f>VLOOKUP($A86,'Data Vlaue (Cr)'!$C:$FB,4)</f>
        <v>1248.2</v>
      </c>
      <c r="E86" s="75">
        <f>VLOOKUP($A86,'Data Vlaue (Cr)'!$C:$FB,5)</f>
        <v>1242.5</v>
      </c>
      <c r="F86" s="75">
        <f t="shared" si="6"/>
        <v>5.7999999999999545</v>
      </c>
      <c r="G86" s="75">
        <f t="shared" si="7"/>
        <v>0.45665758692517588</v>
      </c>
      <c r="H86" s="75">
        <f>VLOOKUP($A86,'Data Vlaue (Cr)'!$C:$FB,99)</f>
        <v>1918</v>
      </c>
      <c r="I86" s="75">
        <f>VLOOKUP($A86,'Data Vlaue (Cr)'!$C:$FB,100)</f>
        <v>1908</v>
      </c>
      <c r="J86" s="75">
        <f t="shared" si="8"/>
        <v>10</v>
      </c>
      <c r="K86" s="75">
        <f t="shared" si="9"/>
        <v>0.52137643378519283</v>
      </c>
      <c r="L86" s="75">
        <f>VLOOKUP($A86,'Data Vlaue (Cr)'!$C:$FB,67)</f>
        <v>375</v>
      </c>
      <c r="M86" s="75">
        <f>VLOOKUP($A86,'Data Vlaue (Cr)'!$C:$FB,68)</f>
        <v>391</v>
      </c>
      <c r="N86" s="75">
        <f t="shared" si="10"/>
        <v>-16</v>
      </c>
      <c r="O86" s="75">
        <f t="shared" si="11"/>
        <v>-4.2666666666666666</v>
      </c>
      <c r="P86" s="75">
        <f>VLOOKUP($A86,'Data Vlaue (Cr)'!$C:$FB,119)</f>
        <v>0.62</v>
      </c>
      <c r="Q86" s="75">
        <f>VLOOKUP($A86,'Data Vlaue (Cr)'!$C:$FB,122)*100</f>
        <v>6.9</v>
      </c>
      <c r="R86" s="75">
        <f>VLOOKUP($A86,'Data Vlaue (Cr)'!$C:$FB,125)</f>
        <v>0.43</v>
      </c>
      <c r="S86" s="75">
        <f>VLOOKUP($A86,'Data Vlaue (Cr)'!$C:$FB,128)*100</f>
        <v>-12.24</v>
      </c>
    </row>
    <row r="87" spans="1:19" x14ac:dyDescent="0.25">
      <c r="A87" s="96" t="str">
        <f>'Data Vlaue (Cr)'!C78</f>
        <v>GODREJPROP</v>
      </c>
      <c r="B87" s="75">
        <f>VLOOKUP($A87,'Data Vlaue (Cr)'!$C:$FB,2)</f>
        <v>275</v>
      </c>
      <c r="C87" s="75">
        <f>VLOOKUP($A87,'Data Vlaue (Cr)'!$C:$FB,8)</f>
        <v>2363.5</v>
      </c>
      <c r="D87" s="75">
        <f>VLOOKUP($A87,'Data Vlaue (Cr)'!$C:$FB,4)</f>
        <v>2363.9</v>
      </c>
      <c r="E87" s="75">
        <f>VLOOKUP($A87,'Data Vlaue (Cr)'!$C:$FB,5)</f>
        <v>2406.3000000000002</v>
      </c>
      <c r="F87" s="75">
        <f t="shared" si="6"/>
        <v>0.40000000000009095</v>
      </c>
      <c r="G87" s="75">
        <f t="shared" si="7"/>
        <v>-1.7936460933203642</v>
      </c>
      <c r="H87" s="75">
        <f>VLOOKUP($A87,'Data Vlaue (Cr)'!$C:$FB,99)</f>
        <v>2560</v>
      </c>
      <c r="I87" s="75">
        <f>VLOOKUP($A87,'Data Vlaue (Cr)'!$C:$FB,100)</f>
        <v>2586</v>
      </c>
      <c r="J87" s="75">
        <f t="shared" si="8"/>
        <v>-26</v>
      </c>
      <c r="K87" s="75">
        <f t="shared" si="9"/>
        <v>-1.015625</v>
      </c>
      <c r="L87" s="75">
        <f>VLOOKUP($A87,'Data Vlaue (Cr)'!$C:$FB,67)</f>
        <v>1039</v>
      </c>
      <c r="M87" s="75">
        <f>VLOOKUP($A87,'Data Vlaue (Cr)'!$C:$FB,68)</f>
        <v>1496</v>
      </c>
      <c r="N87" s="75">
        <f t="shared" si="10"/>
        <v>-457</v>
      </c>
      <c r="O87" s="75">
        <f t="shared" si="11"/>
        <v>-43.984600577478346</v>
      </c>
      <c r="P87" s="75">
        <f>VLOOKUP($A87,'Data Vlaue (Cr)'!$C:$FB,119)</f>
        <v>0.64</v>
      </c>
      <c r="Q87" s="75">
        <f>VLOOKUP($A87,'Data Vlaue (Cr)'!$C:$FB,122)*100</f>
        <v>-9.86</v>
      </c>
      <c r="R87" s="75">
        <f>VLOOKUP($A87,'Data Vlaue (Cr)'!$C:$FB,125)</f>
        <v>0.72</v>
      </c>
      <c r="S87" s="75">
        <f>VLOOKUP($A87,'Data Vlaue (Cr)'!$C:$FB,128)*100</f>
        <v>12.5</v>
      </c>
    </row>
    <row r="88" spans="1:19" x14ac:dyDescent="0.25">
      <c r="A88" s="96" t="str">
        <f>'Data Vlaue (Cr)'!C79</f>
        <v>GRANULES</v>
      </c>
      <c r="B88" s="75">
        <f>VLOOKUP($A88,'Data Vlaue (Cr)'!$C:$FB,2)</f>
        <v>1075</v>
      </c>
      <c r="C88" s="75">
        <f>VLOOKUP($A88,'Data Vlaue (Cr)'!$C:$FB,8)</f>
        <v>477.1</v>
      </c>
      <c r="D88" s="75">
        <f>VLOOKUP($A88,'Data Vlaue (Cr)'!$C:$FB,4)</f>
        <v>476.65</v>
      </c>
      <c r="E88" s="75">
        <f>VLOOKUP($A88,'Data Vlaue (Cr)'!$C:$FB,5)</f>
        <v>494.1</v>
      </c>
      <c r="F88" s="75">
        <f t="shared" si="6"/>
        <v>-0.45000000000004547</v>
      </c>
      <c r="G88" s="75">
        <f t="shared" si="7"/>
        <v>-3.6609671666841592</v>
      </c>
      <c r="H88" s="75">
        <f>VLOOKUP($A88,'Data Vlaue (Cr)'!$C:$FB,99)</f>
        <v>964</v>
      </c>
      <c r="I88" s="75">
        <f>VLOOKUP($A88,'Data Vlaue (Cr)'!$C:$FB,100)</f>
        <v>945</v>
      </c>
      <c r="J88" s="75">
        <f t="shared" si="8"/>
        <v>19</v>
      </c>
      <c r="K88" s="75">
        <f t="shared" si="9"/>
        <v>1.9709543568464729</v>
      </c>
      <c r="L88" s="75">
        <f>VLOOKUP($A88,'Data Vlaue (Cr)'!$C:$FB,67)</f>
        <v>388</v>
      </c>
      <c r="M88" s="75">
        <f>VLOOKUP($A88,'Data Vlaue (Cr)'!$C:$FB,68)</f>
        <v>167</v>
      </c>
      <c r="N88" s="75">
        <f t="shared" si="10"/>
        <v>221</v>
      </c>
      <c r="O88" s="75">
        <f t="shared" si="11"/>
        <v>56.958762886597938</v>
      </c>
      <c r="P88" s="75">
        <f>VLOOKUP($A88,'Data Vlaue (Cr)'!$C:$FB,119)</f>
        <v>0.51</v>
      </c>
      <c r="Q88" s="75">
        <f>VLOOKUP($A88,'Data Vlaue (Cr)'!$C:$FB,122)*100</f>
        <v>-3.7699999999999996</v>
      </c>
      <c r="R88" s="75">
        <f>VLOOKUP($A88,'Data Vlaue (Cr)'!$C:$FB,125)</f>
        <v>0.6</v>
      </c>
      <c r="S88" s="75">
        <f>VLOOKUP($A88,'Data Vlaue (Cr)'!$C:$FB,128)*100</f>
        <v>66.67</v>
      </c>
    </row>
    <row r="89" spans="1:19" x14ac:dyDescent="0.25">
      <c r="A89" s="96" t="str">
        <f>'Data Vlaue (Cr)'!C80</f>
        <v>GRASIM</v>
      </c>
      <c r="B89" s="75">
        <f>VLOOKUP($A89,'Data Vlaue (Cr)'!$C:$FB,2)</f>
        <v>250</v>
      </c>
      <c r="C89" s="75">
        <f>VLOOKUP($A89,'Data Vlaue (Cr)'!$C:$FB,8)</f>
        <v>2722.7</v>
      </c>
      <c r="D89" s="75">
        <f>VLOOKUP($A89,'Data Vlaue (Cr)'!$C:$FB,4)</f>
        <v>2730</v>
      </c>
      <c r="E89" s="75">
        <f>VLOOKUP($A89,'Data Vlaue (Cr)'!$C:$FB,5)</f>
        <v>2750.2</v>
      </c>
      <c r="F89" s="75">
        <f t="shared" si="6"/>
        <v>7.3000000000001819</v>
      </c>
      <c r="G89" s="75">
        <f t="shared" si="7"/>
        <v>-0.7399267399267333</v>
      </c>
      <c r="H89" s="75">
        <f>VLOOKUP($A89,'Data Vlaue (Cr)'!$C:$FB,99)</f>
        <v>4413</v>
      </c>
      <c r="I89" s="75">
        <f>VLOOKUP($A89,'Data Vlaue (Cr)'!$C:$FB,100)</f>
        <v>4354</v>
      </c>
      <c r="J89" s="75">
        <f t="shared" si="8"/>
        <v>59</v>
      </c>
      <c r="K89" s="75">
        <f t="shared" si="9"/>
        <v>1.3369589848175845</v>
      </c>
      <c r="L89" s="75">
        <f>VLOOKUP($A89,'Data Vlaue (Cr)'!$C:$FB,67)</f>
        <v>856</v>
      </c>
      <c r="M89" s="75">
        <f>VLOOKUP($A89,'Data Vlaue (Cr)'!$C:$FB,68)</f>
        <v>920</v>
      </c>
      <c r="N89" s="75">
        <f t="shared" si="10"/>
        <v>-64</v>
      </c>
      <c r="O89" s="75">
        <f t="shared" si="11"/>
        <v>-7.4766355140186906</v>
      </c>
      <c r="P89" s="75">
        <f>VLOOKUP($A89,'Data Vlaue (Cr)'!$C:$FB,119)</f>
        <v>0.46</v>
      </c>
      <c r="Q89" s="75">
        <f>VLOOKUP($A89,'Data Vlaue (Cr)'!$C:$FB,122)*100</f>
        <v>-4.17</v>
      </c>
      <c r="R89" s="75">
        <f>VLOOKUP($A89,'Data Vlaue (Cr)'!$C:$FB,125)</f>
        <v>0.38</v>
      </c>
      <c r="S89" s="75">
        <f>VLOOKUP($A89,'Data Vlaue (Cr)'!$C:$FB,128)*100</f>
        <v>35.709999999999994</v>
      </c>
    </row>
    <row r="90" spans="1:19" x14ac:dyDescent="0.25">
      <c r="A90" s="96" t="str">
        <f>'Data Vlaue (Cr)'!C81</f>
        <v>HAL</v>
      </c>
      <c r="B90" s="75">
        <f>VLOOKUP($A90,'Data Vlaue (Cr)'!$C:$FB,2)</f>
        <v>150</v>
      </c>
      <c r="C90" s="75">
        <f>VLOOKUP($A90,'Data Vlaue (Cr)'!$C:$FB,8)</f>
        <v>4758.2</v>
      </c>
      <c r="D90" s="75">
        <f>VLOOKUP($A90,'Data Vlaue (Cr)'!$C:$FB,4)</f>
        <v>4768.7</v>
      </c>
      <c r="E90" s="75">
        <f>VLOOKUP($A90,'Data Vlaue (Cr)'!$C:$FB,5)</f>
        <v>4758.3</v>
      </c>
      <c r="F90" s="75">
        <f t="shared" si="6"/>
        <v>10.5</v>
      </c>
      <c r="G90" s="75">
        <f t="shared" si="7"/>
        <v>0.21808878730051454</v>
      </c>
      <c r="H90" s="75">
        <f>VLOOKUP($A90,'Data Vlaue (Cr)'!$C:$FB,99)</f>
        <v>9587</v>
      </c>
      <c r="I90" s="75">
        <f>VLOOKUP($A90,'Data Vlaue (Cr)'!$C:$FB,100)</f>
        <v>9635</v>
      </c>
      <c r="J90" s="75">
        <f t="shared" si="8"/>
        <v>-48</v>
      </c>
      <c r="K90" s="75">
        <f t="shared" si="9"/>
        <v>-0.50067800146031083</v>
      </c>
      <c r="L90" s="75">
        <f>VLOOKUP($A90,'Data Vlaue (Cr)'!$C:$FB,67)</f>
        <v>6295</v>
      </c>
      <c r="M90" s="75">
        <f>VLOOKUP($A90,'Data Vlaue (Cr)'!$C:$FB,68)</f>
        <v>8939</v>
      </c>
      <c r="N90" s="75">
        <f t="shared" si="10"/>
        <v>-2644</v>
      </c>
      <c r="O90" s="75">
        <f t="shared" si="11"/>
        <v>-42.001588562351074</v>
      </c>
      <c r="P90" s="75">
        <f>VLOOKUP($A90,'Data Vlaue (Cr)'!$C:$FB,119)</f>
        <v>0.52</v>
      </c>
      <c r="Q90" s="75">
        <f>VLOOKUP($A90,'Data Vlaue (Cr)'!$C:$FB,122)*100</f>
        <v>4</v>
      </c>
      <c r="R90" s="75">
        <f>VLOOKUP($A90,'Data Vlaue (Cr)'!$C:$FB,125)</f>
        <v>0.36</v>
      </c>
      <c r="S90" s="75">
        <f>VLOOKUP($A90,'Data Vlaue (Cr)'!$C:$FB,128)*100</f>
        <v>-10</v>
      </c>
    </row>
    <row r="91" spans="1:19" x14ac:dyDescent="0.25">
      <c r="A91" s="96" t="str">
        <f>'Data Vlaue (Cr)'!C82</f>
        <v>HAVELLS</v>
      </c>
      <c r="B91" s="75">
        <f>VLOOKUP($A91,'Data Vlaue (Cr)'!$C:$FB,2)</f>
        <v>500</v>
      </c>
      <c r="C91" s="75">
        <f>VLOOKUP($A91,'Data Vlaue (Cr)'!$C:$FB,8)</f>
        <v>1578.6</v>
      </c>
      <c r="D91" s="75">
        <f>VLOOKUP($A91,'Data Vlaue (Cr)'!$C:$FB,4)</f>
        <v>1581.2</v>
      </c>
      <c r="E91" s="75">
        <f>VLOOKUP($A91,'Data Vlaue (Cr)'!$C:$FB,5)</f>
        <v>1533.2</v>
      </c>
      <c r="F91" s="75">
        <f t="shared" si="6"/>
        <v>2.6000000000001364</v>
      </c>
      <c r="G91" s="75">
        <f t="shared" si="7"/>
        <v>3.0356691120667847</v>
      </c>
      <c r="H91" s="75">
        <f>VLOOKUP($A91,'Data Vlaue (Cr)'!$C:$FB,99)</f>
        <v>2638</v>
      </c>
      <c r="I91" s="75">
        <f>VLOOKUP($A91,'Data Vlaue (Cr)'!$C:$FB,100)</f>
        <v>2973</v>
      </c>
      <c r="J91" s="75">
        <f t="shared" si="8"/>
        <v>-335</v>
      </c>
      <c r="K91" s="75">
        <f t="shared" si="9"/>
        <v>-12.699014404852161</v>
      </c>
      <c r="L91" s="75">
        <f>VLOOKUP($A91,'Data Vlaue (Cr)'!$C:$FB,67)</f>
        <v>11296</v>
      </c>
      <c r="M91" s="75">
        <f>VLOOKUP($A91,'Data Vlaue (Cr)'!$C:$FB,68)</f>
        <v>2946</v>
      </c>
      <c r="N91" s="75">
        <f t="shared" si="10"/>
        <v>8350</v>
      </c>
      <c r="O91" s="75">
        <f t="shared" si="11"/>
        <v>73.919971671388112</v>
      </c>
      <c r="P91" s="75">
        <f>VLOOKUP($A91,'Data Vlaue (Cr)'!$C:$FB,119)</f>
        <v>1.03</v>
      </c>
      <c r="Q91" s="75">
        <f>VLOOKUP($A91,'Data Vlaue (Cr)'!$C:$FB,122)*100</f>
        <v>15.73</v>
      </c>
      <c r="R91" s="75">
        <f>VLOOKUP($A91,'Data Vlaue (Cr)'!$C:$FB,125)</f>
        <v>0.57999999999999996</v>
      </c>
      <c r="S91" s="75">
        <f>VLOOKUP($A91,'Data Vlaue (Cr)'!$C:$FB,128)*100</f>
        <v>-19.439999999999998</v>
      </c>
    </row>
    <row r="92" spans="1:19" x14ac:dyDescent="0.25">
      <c r="A92" s="96" t="str">
        <f>'Data Vlaue (Cr)'!C83</f>
        <v>HCLTECH</v>
      </c>
      <c r="B92" s="75">
        <f>VLOOKUP($A92,'Data Vlaue (Cr)'!$C:$FB,2)</f>
        <v>350</v>
      </c>
      <c r="C92" s="75">
        <f>VLOOKUP($A92,'Data Vlaue (Cr)'!$C:$FB,8)</f>
        <v>1520.1</v>
      </c>
      <c r="D92" s="75">
        <f>VLOOKUP($A92,'Data Vlaue (Cr)'!$C:$FB,4)</f>
        <v>1524.9</v>
      </c>
      <c r="E92" s="75">
        <f>VLOOKUP($A92,'Data Vlaue (Cr)'!$C:$FB,5)</f>
        <v>1535.6</v>
      </c>
      <c r="F92" s="75">
        <f t="shared" si="6"/>
        <v>4.8000000000001819</v>
      </c>
      <c r="G92" s="75">
        <f t="shared" si="7"/>
        <v>-0.70168535641680219</v>
      </c>
      <c r="H92" s="75">
        <f>VLOOKUP($A92,'Data Vlaue (Cr)'!$C:$FB,99)</f>
        <v>6666</v>
      </c>
      <c r="I92" s="75">
        <f>VLOOKUP($A92,'Data Vlaue (Cr)'!$C:$FB,100)</f>
        <v>6675</v>
      </c>
      <c r="J92" s="75">
        <f t="shared" si="8"/>
        <v>-9</v>
      </c>
      <c r="K92" s="75">
        <f t="shared" si="9"/>
        <v>-0.13501350135013501</v>
      </c>
      <c r="L92" s="75">
        <f>VLOOKUP($A92,'Data Vlaue (Cr)'!$C:$FB,67)</f>
        <v>2682</v>
      </c>
      <c r="M92" s="75">
        <f>VLOOKUP($A92,'Data Vlaue (Cr)'!$C:$FB,68)</f>
        <v>3634</v>
      </c>
      <c r="N92" s="75">
        <f t="shared" si="10"/>
        <v>-952</v>
      </c>
      <c r="O92" s="75">
        <f t="shared" si="11"/>
        <v>-35.495898583146904</v>
      </c>
      <c r="P92" s="75">
        <f>VLOOKUP($A92,'Data Vlaue (Cr)'!$C:$FB,119)</f>
        <v>0.38</v>
      </c>
      <c r="Q92" s="75">
        <f>VLOOKUP($A92,'Data Vlaue (Cr)'!$C:$FB,122)*100</f>
        <v>-2.56</v>
      </c>
      <c r="R92" s="75">
        <f>VLOOKUP($A92,'Data Vlaue (Cr)'!$C:$FB,125)</f>
        <v>0.34</v>
      </c>
      <c r="S92" s="75">
        <f>VLOOKUP($A92,'Data Vlaue (Cr)'!$C:$FB,128)*100</f>
        <v>-2.86</v>
      </c>
    </row>
    <row r="93" spans="1:19" x14ac:dyDescent="0.25">
      <c r="A93" s="96" t="str">
        <f>'Data Vlaue (Cr)'!C84</f>
        <v>HDFCAMC</v>
      </c>
      <c r="B93" s="75">
        <f>VLOOKUP($A93,'Data Vlaue (Cr)'!$C:$FB,2)</f>
        <v>150</v>
      </c>
      <c r="C93" s="75">
        <f>VLOOKUP($A93,'Data Vlaue (Cr)'!$C:$FB,8)</f>
        <v>5592.5</v>
      </c>
      <c r="D93" s="75">
        <f>VLOOKUP($A93,'Data Vlaue (Cr)'!$C:$FB,4)</f>
        <v>5593.5</v>
      </c>
      <c r="E93" s="75">
        <f>VLOOKUP($A93,'Data Vlaue (Cr)'!$C:$FB,5)</f>
        <v>5626.5</v>
      </c>
      <c r="F93" s="75">
        <f t="shared" si="6"/>
        <v>1</v>
      </c>
      <c r="G93" s="75">
        <f t="shared" si="7"/>
        <v>-0.58997050147492625</v>
      </c>
      <c r="H93" s="75">
        <f>VLOOKUP($A93,'Data Vlaue (Cr)'!$C:$FB,99)</f>
        <v>3472</v>
      </c>
      <c r="I93" s="75">
        <f>VLOOKUP($A93,'Data Vlaue (Cr)'!$C:$FB,100)</f>
        <v>3581</v>
      </c>
      <c r="J93" s="75">
        <f t="shared" si="8"/>
        <v>-109</v>
      </c>
      <c r="K93" s="75">
        <f t="shared" si="9"/>
        <v>-3.1394009216589867</v>
      </c>
      <c r="L93" s="75">
        <f>VLOOKUP($A93,'Data Vlaue (Cr)'!$C:$FB,67)</f>
        <v>1920</v>
      </c>
      <c r="M93" s="75">
        <f>VLOOKUP($A93,'Data Vlaue (Cr)'!$C:$FB,68)</f>
        <v>3604</v>
      </c>
      <c r="N93" s="75">
        <f t="shared" si="10"/>
        <v>-1684</v>
      </c>
      <c r="O93" s="75">
        <f t="shared" si="11"/>
        <v>-87.708333333333329</v>
      </c>
      <c r="P93" s="75">
        <f>VLOOKUP($A93,'Data Vlaue (Cr)'!$C:$FB,119)</f>
        <v>0.7</v>
      </c>
      <c r="Q93" s="75">
        <f>VLOOKUP($A93,'Data Vlaue (Cr)'!$C:$FB,122)*100</f>
        <v>-2.78</v>
      </c>
      <c r="R93" s="75">
        <f>VLOOKUP($A93,'Data Vlaue (Cr)'!$C:$FB,125)</f>
        <v>0.77</v>
      </c>
      <c r="S93" s="75">
        <f>VLOOKUP($A93,'Data Vlaue (Cr)'!$C:$FB,128)*100</f>
        <v>35.089999999999996</v>
      </c>
    </row>
    <row r="94" spans="1:19" x14ac:dyDescent="0.25">
      <c r="A94" s="96" t="str">
        <f>'Data Vlaue (Cr)'!C85</f>
        <v>HDFCBANK</v>
      </c>
      <c r="B94" s="75">
        <f>VLOOKUP($A94,'Data Vlaue (Cr)'!$C:$FB,2)</f>
        <v>550</v>
      </c>
      <c r="C94" s="75">
        <f>VLOOKUP($A94,'Data Vlaue (Cr)'!$C:$FB,8)</f>
        <v>2007.1</v>
      </c>
      <c r="D94" s="75">
        <f>VLOOKUP($A94,'Data Vlaue (Cr)'!$C:$FB,4)</f>
        <v>2004</v>
      </c>
      <c r="E94" s="75">
        <f>VLOOKUP($A94,'Data Vlaue (Cr)'!$C:$FB,5)</f>
        <v>1997.3</v>
      </c>
      <c r="F94" s="75">
        <f t="shared" si="6"/>
        <v>-3.0999999999999091</v>
      </c>
      <c r="G94" s="75">
        <f t="shared" si="7"/>
        <v>0.33433133732535159</v>
      </c>
      <c r="H94" s="75">
        <f>VLOOKUP($A94,'Data Vlaue (Cr)'!$C:$FB,99)</f>
        <v>32511</v>
      </c>
      <c r="I94" s="75">
        <f>VLOOKUP($A94,'Data Vlaue (Cr)'!$C:$FB,100)</f>
        <v>33088</v>
      </c>
      <c r="J94" s="75">
        <f t="shared" si="8"/>
        <v>-577</v>
      </c>
      <c r="K94" s="75">
        <f t="shared" si="9"/>
        <v>-1.7747839192888561</v>
      </c>
      <c r="L94" s="75">
        <f>VLOOKUP($A94,'Data Vlaue (Cr)'!$C:$FB,67)</f>
        <v>21245</v>
      </c>
      <c r="M94" s="75">
        <f>VLOOKUP($A94,'Data Vlaue (Cr)'!$C:$FB,68)</f>
        <v>50796</v>
      </c>
      <c r="N94" s="75">
        <f t="shared" si="10"/>
        <v>-29551</v>
      </c>
      <c r="O94" s="75">
        <f t="shared" si="11"/>
        <v>-139.09625794304543</v>
      </c>
      <c r="P94" s="75">
        <f>VLOOKUP($A94,'Data Vlaue (Cr)'!$C:$FB,119)</f>
        <v>0.59</v>
      </c>
      <c r="Q94" s="75">
        <f>VLOOKUP($A94,'Data Vlaue (Cr)'!$C:$FB,122)*100</f>
        <v>7.2700000000000005</v>
      </c>
      <c r="R94" s="75">
        <f>VLOOKUP($A94,'Data Vlaue (Cr)'!$C:$FB,125)</f>
        <v>0.69</v>
      </c>
      <c r="S94" s="75">
        <f>VLOOKUP($A94,'Data Vlaue (Cr)'!$C:$FB,128)*100</f>
        <v>-9.2100000000000009</v>
      </c>
    </row>
    <row r="95" spans="1:19" x14ac:dyDescent="0.25">
      <c r="A95" s="96" t="str">
        <f>'Data Vlaue (Cr)'!C86</f>
        <v>HDFCLIFE</v>
      </c>
      <c r="B95" s="75">
        <f>VLOOKUP($A95,'Data Vlaue (Cr)'!$C:$FB,2)</f>
        <v>1100</v>
      </c>
      <c r="C95" s="75">
        <f>VLOOKUP($A95,'Data Vlaue (Cr)'!$C:$FB,8)</f>
        <v>763.3</v>
      </c>
      <c r="D95" s="75">
        <f>VLOOKUP($A95,'Data Vlaue (Cr)'!$C:$FB,4)</f>
        <v>763.8</v>
      </c>
      <c r="E95" s="75">
        <f>VLOOKUP($A95,'Data Vlaue (Cr)'!$C:$FB,5)</f>
        <v>752.95</v>
      </c>
      <c r="F95" s="75">
        <f t="shared" si="6"/>
        <v>0.5</v>
      </c>
      <c r="G95" s="75">
        <f t="shared" si="7"/>
        <v>1.4205289342759766</v>
      </c>
      <c r="H95" s="75">
        <f>VLOOKUP($A95,'Data Vlaue (Cr)'!$C:$FB,99)</f>
        <v>4589</v>
      </c>
      <c r="I95" s="75">
        <f>VLOOKUP($A95,'Data Vlaue (Cr)'!$C:$FB,100)</f>
        <v>4913</v>
      </c>
      <c r="J95" s="75">
        <f t="shared" si="8"/>
        <v>-324</v>
      </c>
      <c r="K95" s="75">
        <f t="shared" si="9"/>
        <v>-7.0603617345826972</v>
      </c>
      <c r="L95" s="75">
        <f>VLOOKUP($A95,'Data Vlaue (Cr)'!$C:$FB,67)</f>
        <v>4833</v>
      </c>
      <c r="M95" s="75">
        <f>VLOOKUP($A95,'Data Vlaue (Cr)'!$C:$FB,68)</f>
        <v>2303</v>
      </c>
      <c r="N95" s="75">
        <f t="shared" si="10"/>
        <v>2530</v>
      </c>
      <c r="O95" s="75">
        <f t="shared" si="11"/>
        <v>52.348437823298156</v>
      </c>
      <c r="P95" s="75">
        <f>VLOOKUP($A95,'Data Vlaue (Cr)'!$C:$FB,119)</f>
        <v>0.51</v>
      </c>
      <c r="Q95" s="75">
        <f>VLOOKUP($A95,'Data Vlaue (Cr)'!$C:$FB,122)*100</f>
        <v>8.51</v>
      </c>
      <c r="R95" s="75">
        <f>VLOOKUP($A95,'Data Vlaue (Cr)'!$C:$FB,125)</f>
        <v>0.38</v>
      </c>
      <c r="S95" s="75">
        <f>VLOOKUP($A95,'Data Vlaue (Cr)'!$C:$FB,128)*100</f>
        <v>-11.63</v>
      </c>
    </row>
    <row r="96" spans="1:19" x14ac:dyDescent="0.25">
      <c r="A96" s="96" t="str">
        <f>'Data Vlaue (Cr)'!C87</f>
        <v>HEROMOTOCO</v>
      </c>
      <c r="B96" s="75">
        <f>VLOOKUP($A96,'Data Vlaue (Cr)'!$C:$FB,2)</f>
        <v>150</v>
      </c>
      <c r="C96" s="75">
        <f>VLOOKUP($A96,'Data Vlaue (Cr)'!$C:$FB,8)</f>
        <v>4342.3999999999996</v>
      </c>
      <c r="D96" s="75">
        <f>VLOOKUP($A96,'Data Vlaue (Cr)'!$C:$FB,4)</f>
        <v>4262.8</v>
      </c>
      <c r="E96" s="75">
        <f>VLOOKUP($A96,'Data Vlaue (Cr)'!$C:$FB,5)</f>
        <v>4342.2</v>
      </c>
      <c r="F96" s="75">
        <f t="shared" si="6"/>
        <v>-79.599999999999454</v>
      </c>
      <c r="G96" s="75">
        <f t="shared" si="7"/>
        <v>-1.8626255043633206</v>
      </c>
      <c r="H96" s="75">
        <f>VLOOKUP($A96,'Data Vlaue (Cr)'!$C:$FB,99)</f>
        <v>5600</v>
      </c>
      <c r="I96" s="75">
        <f>VLOOKUP($A96,'Data Vlaue (Cr)'!$C:$FB,100)</f>
        <v>5333</v>
      </c>
      <c r="J96" s="75">
        <f t="shared" si="8"/>
        <v>267</v>
      </c>
      <c r="K96" s="75">
        <f t="shared" si="9"/>
        <v>4.7678571428571432</v>
      </c>
      <c r="L96" s="75">
        <f>VLOOKUP($A96,'Data Vlaue (Cr)'!$C:$FB,67)</f>
        <v>4055</v>
      </c>
      <c r="M96" s="75">
        <f>VLOOKUP($A96,'Data Vlaue (Cr)'!$C:$FB,68)</f>
        <v>3030</v>
      </c>
      <c r="N96" s="75">
        <f t="shared" si="10"/>
        <v>1025</v>
      </c>
      <c r="O96" s="75">
        <f t="shared" si="11"/>
        <v>25.27743526510481</v>
      </c>
      <c r="P96" s="75">
        <f>VLOOKUP($A96,'Data Vlaue (Cr)'!$C:$FB,119)</f>
        <v>0.54</v>
      </c>
      <c r="Q96" s="75">
        <f>VLOOKUP($A96,'Data Vlaue (Cr)'!$C:$FB,122)*100</f>
        <v>-6.9</v>
      </c>
      <c r="R96" s="75">
        <f>VLOOKUP($A96,'Data Vlaue (Cr)'!$C:$FB,125)</f>
        <v>0.37</v>
      </c>
      <c r="S96" s="75">
        <f>VLOOKUP($A96,'Data Vlaue (Cr)'!$C:$FB,128)*100</f>
        <v>2.78</v>
      </c>
    </row>
    <row r="97" spans="1:19" x14ac:dyDescent="0.25">
      <c r="A97" s="96" t="str">
        <f>'Data Vlaue (Cr)'!C88</f>
        <v>HFCL</v>
      </c>
      <c r="B97" s="75">
        <f>VLOOKUP($A97,'Data Vlaue (Cr)'!$C:$FB,2)</f>
        <v>6450</v>
      </c>
      <c r="C97" s="75">
        <f>VLOOKUP($A97,'Data Vlaue (Cr)'!$C:$FB,8)</f>
        <v>80.319999999999993</v>
      </c>
      <c r="D97" s="75">
        <f>VLOOKUP($A97,'Data Vlaue (Cr)'!$C:$FB,4)</f>
        <v>80.69</v>
      </c>
      <c r="E97" s="75">
        <f>VLOOKUP($A97,'Data Vlaue (Cr)'!$C:$FB,5)</f>
        <v>81.98</v>
      </c>
      <c r="F97" s="75">
        <f t="shared" si="6"/>
        <v>0.37000000000000455</v>
      </c>
      <c r="G97" s="75">
        <f t="shared" si="7"/>
        <v>-1.5987111166191676</v>
      </c>
      <c r="H97" s="75">
        <f>VLOOKUP($A97,'Data Vlaue (Cr)'!$C:$FB,99)</f>
        <v>1109</v>
      </c>
      <c r="I97" s="75">
        <f>VLOOKUP($A97,'Data Vlaue (Cr)'!$C:$FB,100)</f>
        <v>1067</v>
      </c>
      <c r="J97" s="75">
        <f t="shared" si="8"/>
        <v>42</v>
      </c>
      <c r="K97" s="75">
        <f t="shared" si="9"/>
        <v>3.7871956717763751</v>
      </c>
      <c r="L97" s="75">
        <f>VLOOKUP($A97,'Data Vlaue (Cr)'!$C:$FB,67)</f>
        <v>356</v>
      </c>
      <c r="M97" s="75">
        <f>VLOOKUP($A97,'Data Vlaue (Cr)'!$C:$FB,68)</f>
        <v>164</v>
      </c>
      <c r="N97" s="75">
        <f t="shared" si="10"/>
        <v>192</v>
      </c>
      <c r="O97" s="75">
        <f t="shared" si="11"/>
        <v>53.932584269662918</v>
      </c>
      <c r="P97" s="75">
        <f>VLOOKUP($A97,'Data Vlaue (Cr)'!$C:$FB,119)</f>
        <v>0.65</v>
      </c>
      <c r="Q97" s="75">
        <f>VLOOKUP($A97,'Data Vlaue (Cr)'!$C:$FB,122)*100</f>
        <v>1.5599999999999998</v>
      </c>
      <c r="R97" s="75">
        <f>VLOOKUP($A97,'Data Vlaue (Cr)'!$C:$FB,125)</f>
        <v>0.41</v>
      </c>
      <c r="S97" s="75">
        <f>VLOOKUP($A97,'Data Vlaue (Cr)'!$C:$FB,128)*100</f>
        <v>-12.770000000000001</v>
      </c>
    </row>
    <row r="98" spans="1:19" x14ac:dyDescent="0.25">
      <c r="A98" s="96" t="str">
        <f>'Data Vlaue (Cr)'!C89</f>
        <v>HINDALCO</v>
      </c>
      <c r="B98" s="75">
        <f>VLOOKUP($A98,'Data Vlaue (Cr)'!$C:$FB,2)</f>
        <v>1400</v>
      </c>
      <c r="C98" s="75">
        <f>VLOOKUP($A98,'Data Vlaue (Cr)'!$C:$FB,8)</f>
        <v>690.05</v>
      </c>
      <c r="D98" s="75">
        <f>VLOOKUP($A98,'Data Vlaue (Cr)'!$C:$FB,4)</f>
        <v>690</v>
      </c>
      <c r="E98" s="75">
        <f>VLOOKUP($A98,'Data Vlaue (Cr)'!$C:$FB,5)</f>
        <v>684.9</v>
      </c>
      <c r="F98" s="75">
        <f t="shared" si="6"/>
        <v>-4.9999999999954525E-2</v>
      </c>
      <c r="G98" s="75">
        <f t="shared" si="7"/>
        <v>0.73913043478261198</v>
      </c>
      <c r="H98" s="75">
        <f>VLOOKUP($A98,'Data Vlaue (Cr)'!$C:$FB,99)</f>
        <v>5718</v>
      </c>
      <c r="I98" s="75">
        <f>VLOOKUP($A98,'Data Vlaue (Cr)'!$C:$FB,100)</f>
        <v>5632</v>
      </c>
      <c r="J98" s="75">
        <f t="shared" si="8"/>
        <v>86</v>
      </c>
      <c r="K98" s="75">
        <f t="shared" si="9"/>
        <v>1.5040223854494577</v>
      </c>
      <c r="L98" s="75">
        <f>VLOOKUP($A98,'Data Vlaue (Cr)'!$C:$FB,67)</f>
        <v>3210</v>
      </c>
      <c r="M98" s="75">
        <f>VLOOKUP($A98,'Data Vlaue (Cr)'!$C:$FB,68)</f>
        <v>3398</v>
      </c>
      <c r="N98" s="75">
        <f t="shared" si="10"/>
        <v>-188</v>
      </c>
      <c r="O98" s="75">
        <f t="shared" si="11"/>
        <v>-5.8566978193146415</v>
      </c>
      <c r="P98" s="75">
        <f>VLOOKUP($A98,'Data Vlaue (Cr)'!$C:$FB,119)</f>
        <v>0.55000000000000004</v>
      </c>
      <c r="Q98" s="75">
        <f>VLOOKUP($A98,'Data Vlaue (Cr)'!$C:$FB,122)*100</f>
        <v>-1.79</v>
      </c>
      <c r="R98" s="75">
        <f>VLOOKUP($A98,'Data Vlaue (Cr)'!$C:$FB,125)</f>
        <v>0.44</v>
      </c>
      <c r="S98" s="75">
        <f>VLOOKUP($A98,'Data Vlaue (Cr)'!$C:$FB,128)*100</f>
        <v>-12</v>
      </c>
    </row>
    <row r="99" spans="1:19" x14ac:dyDescent="0.25">
      <c r="A99" s="96" t="str">
        <f>'Data Vlaue (Cr)'!C90</f>
        <v>HINDCOPPER</v>
      </c>
      <c r="B99" s="75">
        <f>VLOOKUP($A99,'Data Vlaue (Cr)'!$C:$FB,2)</f>
        <v>2650</v>
      </c>
      <c r="C99" s="75">
        <f>VLOOKUP($A99,'Data Vlaue (Cr)'!$C:$FB,8)</f>
        <v>271.95</v>
      </c>
      <c r="D99" s="75">
        <f>VLOOKUP($A99,'Data Vlaue (Cr)'!$C:$FB,4)</f>
        <v>273.05</v>
      </c>
      <c r="E99" s="75">
        <f>VLOOKUP($A99,'Data Vlaue (Cr)'!$C:$FB,5)</f>
        <v>274.10000000000002</v>
      </c>
      <c r="F99" s="75">
        <f t="shared" si="6"/>
        <v>1.1000000000000227</v>
      </c>
      <c r="G99" s="75">
        <f t="shared" si="7"/>
        <v>-0.38454495513642606</v>
      </c>
      <c r="H99" s="75">
        <f>VLOOKUP($A99,'Data Vlaue (Cr)'!$C:$FB,99)</f>
        <v>1351</v>
      </c>
      <c r="I99" s="75">
        <f>VLOOKUP($A99,'Data Vlaue (Cr)'!$C:$FB,100)</f>
        <v>1424</v>
      </c>
      <c r="J99" s="75">
        <f t="shared" si="8"/>
        <v>-73</v>
      </c>
      <c r="K99" s="75">
        <f t="shared" si="9"/>
        <v>-5.4034048852701702</v>
      </c>
      <c r="L99" s="75">
        <f>VLOOKUP($A99,'Data Vlaue (Cr)'!$C:$FB,67)</f>
        <v>924</v>
      </c>
      <c r="M99" s="75">
        <f>VLOOKUP($A99,'Data Vlaue (Cr)'!$C:$FB,68)</f>
        <v>78</v>
      </c>
      <c r="N99" s="75">
        <f t="shared" si="10"/>
        <v>846</v>
      </c>
      <c r="O99" s="75">
        <f t="shared" si="11"/>
        <v>91.558441558441558</v>
      </c>
      <c r="P99" s="75">
        <f>VLOOKUP($A99,'Data Vlaue (Cr)'!$C:$FB,119)</f>
        <v>0.48</v>
      </c>
      <c r="Q99" s="75">
        <f>VLOOKUP($A99,'Data Vlaue (Cr)'!$C:$FB,122)*100</f>
        <v>-14.29</v>
      </c>
      <c r="R99" s="75">
        <f>VLOOKUP($A99,'Data Vlaue (Cr)'!$C:$FB,125)</f>
        <v>0.38</v>
      </c>
      <c r="S99" s="75">
        <f>VLOOKUP($A99,'Data Vlaue (Cr)'!$C:$FB,128)*100</f>
        <v>-9.5200000000000014</v>
      </c>
    </row>
    <row r="100" spans="1:19" x14ac:dyDescent="0.25">
      <c r="A100" s="96" t="str">
        <f>'Data Vlaue (Cr)'!C91</f>
        <v>HINDPETRO</v>
      </c>
      <c r="B100" s="75">
        <f>VLOOKUP($A100,'Data Vlaue (Cr)'!$C:$FB,2)</f>
        <v>2025</v>
      </c>
      <c r="C100" s="75">
        <f>VLOOKUP($A100,'Data Vlaue (Cr)'!$C:$FB,8)</f>
        <v>429.25</v>
      </c>
      <c r="D100" s="75">
        <f>VLOOKUP($A100,'Data Vlaue (Cr)'!$C:$FB,4)</f>
        <v>429.6</v>
      </c>
      <c r="E100" s="75">
        <f>VLOOKUP($A100,'Data Vlaue (Cr)'!$C:$FB,5)</f>
        <v>432.8</v>
      </c>
      <c r="F100" s="75">
        <f t="shared" si="6"/>
        <v>0.35000000000002274</v>
      </c>
      <c r="G100" s="75">
        <f t="shared" si="7"/>
        <v>-0.74487895716945729</v>
      </c>
      <c r="H100" s="75">
        <f>VLOOKUP($A100,'Data Vlaue (Cr)'!$C:$FB,99)</f>
        <v>3566</v>
      </c>
      <c r="I100" s="75">
        <f>VLOOKUP($A100,'Data Vlaue (Cr)'!$C:$FB,100)</f>
        <v>3553</v>
      </c>
      <c r="J100" s="75">
        <f t="shared" si="8"/>
        <v>13</v>
      </c>
      <c r="K100" s="75">
        <f t="shared" si="9"/>
        <v>0.36455412226584405</v>
      </c>
      <c r="L100" s="75">
        <f>VLOOKUP($A100,'Data Vlaue (Cr)'!$C:$FB,67)</f>
        <v>776</v>
      </c>
      <c r="M100" s="75">
        <f>VLOOKUP($A100,'Data Vlaue (Cr)'!$C:$FB,68)</f>
        <v>791</v>
      </c>
      <c r="N100" s="75">
        <f t="shared" si="10"/>
        <v>-15</v>
      </c>
      <c r="O100" s="75">
        <f t="shared" si="11"/>
        <v>-1.9329896907216495</v>
      </c>
      <c r="P100" s="75">
        <f>VLOOKUP($A100,'Data Vlaue (Cr)'!$C:$FB,119)</f>
        <v>0.69</v>
      </c>
      <c r="Q100" s="75">
        <f>VLOOKUP($A100,'Data Vlaue (Cr)'!$C:$FB,122)*100</f>
        <v>-2.82</v>
      </c>
      <c r="R100" s="75">
        <f>VLOOKUP($A100,'Data Vlaue (Cr)'!$C:$FB,125)</f>
        <v>0.57999999999999996</v>
      </c>
      <c r="S100" s="75">
        <f>VLOOKUP($A100,'Data Vlaue (Cr)'!$C:$FB,128)*100</f>
        <v>-19.439999999999998</v>
      </c>
    </row>
    <row r="101" spans="1:19" x14ac:dyDescent="0.25">
      <c r="A101" s="96" t="str">
        <f>'Data Vlaue (Cr)'!C92</f>
        <v>HINDUNILVR</v>
      </c>
      <c r="B101" s="75">
        <f>VLOOKUP($A101,'Data Vlaue (Cr)'!$C:$FB,2)</f>
        <v>300</v>
      </c>
      <c r="C101" s="75">
        <f>VLOOKUP($A101,'Data Vlaue (Cr)'!$C:$FB,8)</f>
        <v>2479.6999999999998</v>
      </c>
      <c r="D101" s="75">
        <f>VLOOKUP($A101,'Data Vlaue (Cr)'!$C:$FB,4)</f>
        <v>2480.6999999999998</v>
      </c>
      <c r="E101" s="75">
        <f>VLOOKUP($A101,'Data Vlaue (Cr)'!$C:$FB,5)</f>
        <v>2467.1</v>
      </c>
      <c r="F101" s="75">
        <f t="shared" si="6"/>
        <v>1</v>
      </c>
      <c r="G101" s="75">
        <f t="shared" si="7"/>
        <v>0.54823235377110935</v>
      </c>
      <c r="H101" s="75">
        <f>VLOOKUP($A101,'Data Vlaue (Cr)'!$C:$FB,99)</f>
        <v>8256</v>
      </c>
      <c r="I101" s="75">
        <f>VLOOKUP($A101,'Data Vlaue (Cr)'!$C:$FB,100)</f>
        <v>8356</v>
      </c>
      <c r="J101" s="75">
        <f t="shared" si="8"/>
        <v>-100</v>
      </c>
      <c r="K101" s="75">
        <f t="shared" si="9"/>
        <v>-1.2112403100775195</v>
      </c>
      <c r="L101" s="75">
        <f>VLOOKUP($A101,'Data Vlaue (Cr)'!$C:$FB,67)</f>
        <v>2618</v>
      </c>
      <c r="M101" s="75">
        <f>VLOOKUP($A101,'Data Vlaue (Cr)'!$C:$FB,68)</f>
        <v>4403</v>
      </c>
      <c r="N101" s="75">
        <f t="shared" si="10"/>
        <v>-1785</v>
      </c>
      <c r="O101" s="75">
        <f t="shared" si="11"/>
        <v>-68.181818181818173</v>
      </c>
      <c r="P101" s="75">
        <f>VLOOKUP($A101,'Data Vlaue (Cr)'!$C:$FB,119)</f>
        <v>0.71</v>
      </c>
      <c r="Q101" s="75">
        <f>VLOOKUP($A101,'Data Vlaue (Cr)'!$C:$FB,122)*100</f>
        <v>1.43</v>
      </c>
      <c r="R101" s="75">
        <f>VLOOKUP($A101,'Data Vlaue (Cr)'!$C:$FB,125)</f>
        <v>0.47</v>
      </c>
      <c r="S101" s="75">
        <f>VLOOKUP($A101,'Data Vlaue (Cr)'!$C:$FB,128)*100</f>
        <v>-44.71</v>
      </c>
    </row>
    <row r="102" spans="1:19" x14ac:dyDescent="0.25">
      <c r="A102" s="96" t="str">
        <f>'Data Vlaue (Cr)'!C93</f>
        <v>HINDZINC</v>
      </c>
      <c r="B102" s="75">
        <f>VLOOKUP($A102,'Data Vlaue (Cr)'!$C:$FB,2)</f>
        <v>1225</v>
      </c>
      <c r="C102" s="75">
        <f>VLOOKUP($A102,'Data Vlaue (Cr)'!$C:$FB,8)</f>
        <v>443.2</v>
      </c>
      <c r="D102" s="75">
        <f>VLOOKUP($A102,'Data Vlaue (Cr)'!$C:$FB,4)</f>
        <v>443.4</v>
      </c>
      <c r="E102" s="75">
        <f>VLOOKUP($A102,'Data Vlaue (Cr)'!$C:$FB,5)</f>
        <v>445.05</v>
      </c>
      <c r="F102" s="75">
        <f t="shared" si="6"/>
        <v>0.19999999999998863</v>
      </c>
      <c r="G102" s="75">
        <f t="shared" si="7"/>
        <v>-0.37212449255751784</v>
      </c>
      <c r="H102" s="75">
        <f>VLOOKUP($A102,'Data Vlaue (Cr)'!$C:$FB,99)</f>
        <v>3237</v>
      </c>
      <c r="I102" s="75">
        <f>VLOOKUP($A102,'Data Vlaue (Cr)'!$C:$FB,100)</f>
        <v>3311</v>
      </c>
      <c r="J102" s="75">
        <f t="shared" si="8"/>
        <v>-74</v>
      </c>
      <c r="K102" s="75">
        <f t="shared" si="9"/>
        <v>-2.2860673463083101</v>
      </c>
      <c r="L102" s="75">
        <f>VLOOKUP($A102,'Data Vlaue (Cr)'!$C:$FB,67)</f>
        <v>583</v>
      </c>
      <c r="M102" s="75">
        <f>VLOOKUP($A102,'Data Vlaue (Cr)'!$C:$FB,68)</f>
        <v>1599</v>
      </c>
      <c r="N102" s="75">
        <f t="shared" si="10"/>
        <v>-1016</v>
      </c>
      <c r="O102" s="75">
        <f t="shared" si="11"/>
        <v>-174.27101200686107</v>
      </c>
      <c r="P102" s="75">
        <f>VLOOKUP($A102,'Data Vlaue (Cr)'!$C:$FB,119)</f>
        <v>0.59</v>
      </c>
      <c r="Q102" s="75">
        <f>VLOOKUP($A102,'Data Vlaue (Cr)'!$C:$FB,122)*100</f>
        <v>-3.2800000000000002</v>
      </c>
      <c r="R102" s="75">
        <f>VLOOKUP($A102,'Data Vlaue (Cr)'!$C:$FB,125)</f>
        <v>0.51</v>
      </c>
      <c r="S102" s="75">
        <f>VLOOKUP($A102,'Data Vlaue (Cr)'!$C:$FB,128)*100</f>
        <v>-21.54</v>
      </c>
    </row>
    <row r="103" spans="1:19" x14ac:dyDescent="0.25">
      <c r="A103" s="96" t="str">
        <f>'Data Vlaue (Cr)'!C94</f>
        <v>HUDCO</v>
      </c>
      <c r="B103" s="75">
        <f>VLOOKUP($A103,'Data Vlaue (Cr)'!$C:$FB,2)</f>
        <v>2775</v>
      </c>
      <c r="C103" s="75">
        <f>VLOOKUP($A103,'Data Vlaue (Cr)'!$C:$FB,8)</f>
        <v>225.46</v>
      </c>
      <c r="D103" s="75">
        <f>VLOOKUP($A103,'Data Vlaue (Cr)'!$C:$FB,4)</f>
        <v>225.45</v>
      </c>
      <c r="E103" s="75">
        <f>VLOOKUP($A103,'Data Vlaue (Cr)'!$C:$FB,5)</f>
        <v>228.5</v>
      </c>
      <c r="F103" s="75">
        <f t="shared" si="6"/>
        <v>-1.0000000000019327E-2</v>
      </c>
      <c r="G103" s="75">
        <f t="shared" si="7"/>
        <v>-1.3528498558438729</v>
      </c>
      <c r="H103" s="75">
        <f>VLOOKUP($A103,'Data Vlaue (Cr)'!$C:$FB,99)</f>
        <v>1552</v>
      </c>
      <c r="I103" s="75">
        <f>VLOOKUP($A103,'Data Vlaue (Cr)'!$C:$FB,100)</f>
        <v>1559</v>
      </c>
      <c r="J103" s="75">
        <f t="shared" si="8"/>
        <v>-7</v>
      </c>
      <c r="K103" s="75">
        <f t="shared" si="9"/>
        <v>-0.4510309278350515</v>
      </c>
      <c r="L103" s="75">
        <f>VLOOKUP($A103,'Data Vlaue (Cr)'!$C:$FB,67)</f>
        <v>385</v>
      </c>
      <c r="M103" s="75">
        <f>VLOOKUP($A103,'Data Vlaue (Cr)'!$C:$FB,68)</f>
        <v>478</v>
      </c>
      <c r="N103" s="75">
        <f t="shared" si="10"/>
        <v>-93</v>
      </c>
      <c r="O103" s="75">
        <f t="shared" si="11"/>
        <v>-24.155844155844157</v>
      </c>
      <c r="P103" s="75">
        <f>VLOOKUP($A103,'Data Vlaue (Cr)'!$C:$FB,119)</f>
        <v>0.54</v>
      </c>
      <c r="Q103" s="75">
        <f>VLOOKUP($A103,'Data Vlaue (Cr)'!$C:$FB,122)*100</f>
        <v>-1.82</v>
      </c>
      <c r="R103" s="75">
        <f>VLOOKUP($A103,'Data Vlaue (Cr)'!$C:$FB,125)</f>
        <v>0.45</v>
      </c>
      <c r="S103" s="75">
        <f>VLOOKUP($A103,'Data Vlaue (Cr)'!$C:$FB,128)*100</f>
        <v>-2.17</v>
      </c>
    </row>
    <row r="104" spans="1:19" x14ac:dyDescent="0.25">
      <c r="A104" s="96" t="str">
        <f>'Data Vlaue (Cr)'!C95</f>
        <v>ICICIBANK</v>
      </c>
      <c r="B104" s="75">
        <f>VLOOKUP($A104,'Data Vlaue (Cr)'!$C:$FB,2)</f>
        <v>700</v>
      </c>
      <c r="C104" s="75">
        <f>VLOOKUP($A104,'Data Vlaue (Cr)'!$C:$FB,8)</f>
        <v>1473.6</v>
      </c>
      <c r="D104" s="75">
        <f>VLOOKUP($A104,'Data Vlaue (Cr)'!$C:$FB,4)</f>
        <v>1474.3</v>
      </c>
      <c r="E104" s="75">
        <f>VLOOKUP($A104,'Data Vlaue (Cr)'!$C:$FB,5)</f>
        <v>1467.2</v>
      </c>
      <c r="F104" s="75">
        <f t="shared" si="6"/>
        <v>0.70000000000004547</v>
      </c>
      <c r="G104" s="75">
        <f t="shared" si="7"/>
        <v>0.48158448077052901</v>
      </c>
      <c r="H104" s="75">
        <f>VLOOKUP($A104,'Data Vlaue (Cr)'!$C:$FB,99)</f>
        <v>22838</v>
      </c>
      <c r="I104" s="75">
        <f>VLOOKUP($A104,'Data Vlaue (Cr)'!$C:$FB,100)</f>
        <v>23007</v>
      </c>
      <c r="J104" s="75">
        <f t="shared" si="8"/>
        <v>-169</v>
      </c>
      <c r="K104" s="75">
        <f t="shared" si="9"/>
        <v>-0.73999474559943956</v>
      </c>
      <c r="L104" s="75">
        <f>VLOOKUP($A104,'Data Vlaue (Cr)'!$C:$FB,67)</f>
        <v>18111</v>
      </c>
      <c r="M104" s="75">
        <f>VLOOKUP($A104,'Data Vlaue (Cr)'!$C:$FB,68)</f>
        <v>38484</v>
      </c>
      <c r="N104" s="75">
        <f t="shared" si="10"/>
        <v>-20373</v>
      </c>
      <c r="O104" s="75">
        <f t="shared" si="11"/>
        <v>-112.48964717574954</v>
      </c>
      <c r="P104" s="75">
        <f>VLOOKUP($A104,'Data Vlaue (Cr)'!$C:$FB,119)</f>
        <v>0.89</v>
      </c>
      <c r="Q104" s="75">
        <f>VLOOKUP($A104,'Data Vlaue (Cr)'!$C:$FB,122)*100</f>
        <v>8.5400000000000009</v>
      </c>
      <c r="R104" s="75">
        <f>VLOOKUP($A104,'Data Vlaue (Cr)'!$C:$FB,125)</f>
        <v>0.64</v>
      </c>
      <c r="S104" s="75">
        <f>VLOOKUP($A104,'Data Vlaue (Cr)'!$C:$FB,128)*100</f>
        <v>14.29</v>
      </c>
    </row>
    <row r="105" spans="1:19" x14ac:dyDescent="0.25">
      <c r="A105" s="96" t="str">
        <f>'Data Vlaue (Cr)'!C96</f>
        <v>ICICIGI</v>
      </c>
      <c r="B105" s="75">
        <f>VLOOKUP($A105,'Data Vlaue (Cr)'!$C:$FB,2)</f>
        <v>325</v>
      </c>
      <c r="C105" s="75">
        <f>VLOOKUP($A105,'Data Vlaue (Cr)'!$C:$FB,8)</f>
        <v>1962.3</v>
      </c>
      <c r="D105" s="75">
        <f>VLOOKUP($A105,'Data Vlaue (Cr)'!$C:$FB,4)</f>
        <v>1961.9</v>
      </c>
      <c r="E105" s="75">
        <f>VLOOKUP($A105,'Data Vlaue (Cr)'!$C:$FB,5)</f>
        <v>1954.4</v>
      </c>
      <c r="F105" s="75">
        <f t="shared" si="6"/>
        <v>-0.39999999999986358</v>
      </c>
      <c r="G105" s="75">
        <f t="shared" si="7"/>
        <v>0.38228248126815845</v>
      </c>
      <c r="H105" s="75">
        <f>VLOOKUP($A105,'Data Vlaue (Cr)'!$C:$FB,99)</f>
        <v>1828</v>
      </c>
      <c r="I105" s="75">
        <f>VLOOKUP($A105,'Data Vlaue (Cr)'!$C:$FB,100)</f>
        <v>1930</v>
      </c>
      <c r="J105" s="75">
        <f t="shared" si="8"/>
        <v>-102</v>
      </c>
      <c r="K105" s="75">
        <f t="shared" si="9"/>
        <v>-5.5798687089715537</v>
      </c>
      <c r="L105" s="75">
        <f>VLOOKUP($A105,'Data Vlaue (Cr)'!$C:$FB,67)</f>
        <v>647</v>
      </c>
      <c r="M105" s="75">
        <f>VLOOKUP($A105,'Data Vlaue (Cr)'!$C:$FB,68)</f>
        <v>786</v>
      </c>
      <c r="N105" s="75">
        <f t="shared" si="10"/>
        <v>-139</v>
      </c>
      <c r="O105" s="75">
        <f t="shared" si="11"/>
        <v>-21.483771251931994</v>
      </c>
      <c r="P105" s="75">
        <f>VLOOKUP($A105,'Data Vlaue (Cr)'!$C:$FB,119)</f>
        <v>0.38</v>
      </c>
      <c r="Q105" s="75">
        <f>VLOOKUP($A105,'Data Vlaue (Cr)'!$C:$FB,122)*100</f>
        <v>2.7</v>
      </c>
      <c r="R105" s="75">
        <f>VLOOKUP($A105,'Data Vlaue (Cr)'!$C:$FB,125)</f>
        <v>0.38</v>
      </c>
      <c r="S105" s="75">
        <f>VLOOKUP($A105,'Data Vlaue (Cr)'!$C:$FB,128)*100</f>
        <v>46.150000000000006</v>
      </c>
    </row>
    <row r="106" spans="1:19" x14ac:dyDescent="0.25">
      <c r="A106" s="96" t="str">
        <f>'Data Vlaue (Cr)'!C97</f>
        <v>ICICIPRULI</v>
      </c>
      <c r="B106" s="75">
        <f>VLOOKUP($A106,'Data Vlaue (Cr)'!$C:$FB,2)</f>
        <v>925</v>
      </c>
      <c r="C106" s="75">
        <f>VLOOKUP($A106,'Data Vlaue (Cr)'!$C:$FB,8)</f>
        <v>625.1</v>
      </c>
      <c r="D106" s="75">
        <f>VLOOKUP($A106,'Data Vlaue (Cr)'!$C:$FB,4)</f>
        <v>627.54999999999995</v>
      </c>
      <c r="E106" s="75">
        <f>VLOOKUP($A106,'Data Vlaue (Cr)'!$C:$FB,5)</f>
        <v>637.15</v>
      </c>
      <c r="F106" s="75">
        <f t="shared" si="6"/>
        <v>2.4499999999999318</v>
      </c>
      <c r="G106" s="75">
        <f t="shared" si="7"/>
        <v>-1.5297585849733126</v>
      </c>
      <c r="H106" s="75">
        <f>VLOOKUP($A106,'Data Vlaue (Cr)'!$C:$FB,99)</f>
        <v>1692</v>
      </c>
      <c r="I106" s="75">
        <f>VLOOKUP($A106,'Data Vlaue (Cr)'!$C:$FB,100)</f>
        <v>1656</v>
      </c>
      <c r="J106" s="75">
        <f t="shared" si="8"/>
        <v>36</v>
      </c>
      <c r="K106" s="75">
        <f t="shared" si="9"/>
        <v>2.1276595744680851</v>
      </c>
      <c r="L106" s="75">
        <f>VLOOKUP($A106,'Data Vlaue (Cr)'!$C:$FB,67)</f>
        <v>1076</v>
      </c>
      <c r="M106" s="75">
        <f>VLOOKUP($A106,'Data Vlaue (Cr)'!$C:$FB,68)</f>
        <v>704</v>
      </c>
      <c r="N106" s="75">
        <f t="shared" si="10"/>
        <v>372</v>
      </c>
      <c r="O106" s="75">
        <f t="shared" si="11"/>
        <v>34.572490706319705</v>
      </c>
      <c r="P106" s="75">
        <f>VLOOKUP($A106,'Data Vlaue (Cr)'!$C:$FB,119)</f>
        <v>0.38</v>
      </c>
      <c r="Q106" s="75">
        <f>VLOOKUP($A106,'Data Vlaue (Cr)'!$C:$FB,122)*100</f>
        <v>-2.56</v>
      </c>
      <c r="R106" s="75">
        <f>VLOOKUP($A106,'Data Vlaue (Cr)'!$C:$FB,125)</f>
        <v>0.26</v>
      </c>
      <c r="S106" s="75">
        <f>VLOOKUP($A106,'Data Vlaue (Cr)'!$C:$FB,128)*100</f>
        <v>-13.33</v>
      </c>
    </row>
    <row r="107" spans="1:19" x14ac:dyDescent="0.25">
      <c r="A107" s="96" t="str">
        <f>'Data Vlaue (Cr)'!C98</f>
        <v>IDEA</v>
      </c>
      <c r="B107" s="75">
        <f>VLOOKUP($A107,'Data Vlaue (Cr)'!$C:$FB,2)</f>
        <v>71475</v>
      </c>
      <c r="C107" s="75">
        <f>VLOOKUP($A107,'Data Vlaue (Cr)'!$C:$FB,8)</f>
        <v>7.37</v>
      </c>
      <c r="D107" s="75">
        <f>VLOOKUP($A107,'Data Vlaue (Cr)'!$C:$FB,4)</f>
        <v>7.39</v>
      </c>
      <c r="E107" s="75">
        <f>VLOOKUP($A107,'Data Vlaue (Cr)'!$C:$FB,5)</f>
        <v>7.65</v>
      </c>
      <c r="F107" s="75">
        <f t="shared" si="6"/>
        <v>1.9999999999999574E-2</v>
      </c>
      <c r="G107" s="75">
        <f t="shared" si="7"/>
        <v>-3.5182679296346504</v>
      </c>
      <c r="H107" s="75">
        <f>VLOOKUP($A107,'Data Vlaue (Cr)'!$C:$FB,99)</f>
        <v>5543</v>
      </c>
      <c r="I107" s="75">
        <f>VLOOKUP($A107,'Data Vlaue (Cr)'!$C:$FB,100)</f>
        <v>5464</v>
      </c>
      <c r="J107" s="75">
        <f t="shared" si="8"/>
        <v>79</v>
      </c>
      <c r="K107" s="75">
        <f t="shared" si="9"/>
        <v>1.4252209994587768</v>
      </c>
      <c r="L107" s="75">
        <f>VLOOKUP($A107,'Data Vlaue (Cr)'!$C:$FB,67)</f>
        <v>891</v>
      </c>
      <c r="M107" s="75">
        <f>VLOOKUP($A107,'Data Vlaue (Cr)'!$C:$FB,68)</f>
        <v>681</v>
      </c>
      <c r="N107" s="75">
        <f t="shared" si="10"/>
        <v>210</v>
      </c>
      <c r="O107" s="75">
        <f t="shared" si="11"/>
        <v>23.569023569023571</v>
      </c>
      <c r="P107" s="75">
        <f>VLOOKUP($A107,'Data Vlaue (Cr)'!$C:$FB,119)</f>
        <v>0.52</v>
      </c>
      <c r="Q107" s="75">
        <f>VLOOKUP($A107,'Data Vlaue (Cr)'!$C:$FB,122)*100</f>
        <v>-3.6999999999999997</v>
      </c>
      <c r="R107" s="75">
        <f>VLOOKUP($A107,'Data Vlaue (Cr)'!$C:$FB,125)</f>
        <v>0.16</v>
      </c>
      <c r="S107" s="75">
        <f>VLOOKUP($A107,'Data Vlaue (Cr)'!$C:$FB,128)*100</f>
        <v>-36</v>
      </c>
    </row>
    <row r="108" spans="1:19" x14ac:dyDescent="0.25">
      <c r="A108" s="96" t="str">
        <f>'Data Vlaue (Cr)'!C99</f>
        <v>IDFCFIRSTB</v>
      </c>
      <c r="B108" s="75">
        <f>VLOOKUP($A108,'Data Vlaue (Cr)'!$C:$FB,2)</f>
        <v>9275</v>
      </c>
      <c r="C108" s="75">
        <f>VLOOKUP($A108,'Data Vlaue (Cr)'!$C:$FB,8)</f>
        <v>72.44</v>
      </c>
      <c r="D108" s="75">
        <f>VLOOKUP($A108,'Data Vlaue (Cr)'!$C:$FB,4)</f>
        <v>72.56</v>
      </c>
      <c r="E108" s="75">
        <f>VLOOKUP($A108,'Data Vlaue (Cr)'!$C:$FB,5)</f>
        <v>74.06</v>
      </c>
      <c r="F108" s="75">
        <f t="shared" si="6"/>
        <v>0.12000000000000455</v>
      </c>
      <c r="G108" s="75">
        <f t="shared" si="7"/>
        <v>-2.0672546857772875</v>
      </c>
      <c r="H108" s="75">
        <f>VLOOKUP($A108,'Data Vlaue (Cr)'!$C:$FB,99)</f>
        <v>4485</v>
      </c>
      <c r="I108" s="75">
        <f>VLOOKUP($A108,'Data Vlaue (Cr)'!$C:$FB,100)</f>
        <v>4426</v>
      </c>
      <c r="J108" s="75">
        <f t="shared" si="8"/>
        <v>59</v>
      </c>
      <c r="K108" s="75">
        <f t="shared" si="9"/>
        <v>1.3154960981047938</v>
      </c>
      <c r="L108" s="75">
        <f>VLOOKUP($A108,'Data Vlaue (Cr)'!$C:$FB,67)</f>
        <v>1278</v>
      </c>
      <c r="M108" s="75">
        <f>VLOOKUP($A108,'Data Vlaue (Cr)'!$C:$FB,68)</f>
        <v>2626</v>
      </c>
      <c r="N108" s="75">
        <f t="shared" si="10"/>
        <v>-1348</v>
      </c>
      <c r="O108" s="75">
        <f t="shared" si="11"/>
        <v>-105.47730829420969</v>
      </c>
      <c r="P108" s="75">
        <f>VLOOKUP($A108,'Data Vlaue (Cr)'!$C:$FB,119)</f>
        <v>0.63</v>
      </c>
      <c r="Q108" s="75">
        <f>VLOOKUP($A108,'Data Vlaue (Cr)'!$C:$FB,122)*100</f>
        <v>-3.08</v>
      </c>
      <c r="R108" s="75">
        <f>VLOOKUP($A108,'Data Vlaue (Cr)'!$C:$FB,125)</f>
        <v>0.42</v>
      </c>
      <c r="S108" s="75">
        <f>VLOOKUP($A108,'Data Vlaue (Cr)'!$C:$FB,128)*100</f>
        <v>-2.33</v>
      </c>
    </row>
    <row r="109" spans="1:19" x14ac:dyDescent="0.25">
      <c r="A109" s="96" t="str">
        <f>'Data Vlaue (Cr)'!C100</f>
        <v>IEX</v>
      </c>
      <c r="B109" s="75">
        <f>VLOOKUP($A109,'Data Vlaue (Cr)'!$C:$FB,2)</f>
        <v>3750</v>
      </c>
      <c r="C109" s="75">
        <f>VLOOKUP($A109,'Data Vlaue (Cr)'!$C:$FB,8)</f>
        <v>192.56</v>
      </c>
      <c r="D109" s="75">
        <f>VLOOKUP($A109,'Data Vlaue (Cr)'!$C:$FB,4)</f>
        <v>192.61</v>
      </c>
      <c r="E109" s="75">
        <f>VLOOKUP($A109,'Data Vlaue (Cr)'!$C:$FB,5)</f>
        <v>196.33</v>
      </c>
      <c r="F109" s="75">
        <f t="shared" si="6"/>
        <v>5.0000000000011369E-2</v>
      </c>
      <c r="G109" s="75">
        <f t="shared" si="7"/>
        <v>-1.9313638959555572</v>
      </c>
      <c r="H109" s="75">
        <f>VLOOKUP($A109,'Data Vlaue (Cr)'!$C:$FB,99)</f>
        <v>3896</v>
      </c>
      <c r="I109" s="75">
        <f>VLOOKUP($A109,'Data Vlaue (Cr)'!$C:$FB,100)</f>
        <v>2538</v>
      </c>
      <c r="J109" s="75">
        <f t="shared" si="8"/>
        <v>1358</v>
      </c>
      <c r="K109" s="75">
        <f t="shared" si="9"/>
        <v>34.856262833675565</v>
      </c>
      <c r="L109" s="75">
        <f>VLOOKUP($A109,'Data Vlaue (Cr)'!$C:$FB,67)</f>
        <v>8067</v>
      </c>
      <c r="M109" s="75">
        <f>VLOOKUP($A109,'Data Vlaue (Cr)'!$C:$FB,68)</f>
        <v>4643</v>
      </c>
      <c r="N109" s="75">
        <f t="shared" si="10"/>
        <v>3424</v>
      </c>
      <c r="O109" s="75">
        <f t="shared" si="11"/>
        <v>42.444527085657619</v>
      </c>
      <c r="P109" s="75">
        <f>VLOOKUP($A109,'Data Vlaue (Cr)'!$C:$FB,119)</f>
        <v>2.2999999999999998</v>
      </c>
      <c r="Q109" s="75">
        <f>VLOOKUP($A109,'Data Vlaue (Cr)'!$C:$FB,122)*100</f>
        <v>33.72</v>
      </c>
      <c r="R109" s="75">
        <f>VLOOKUP($A109,'Data Vlaue (Cr)'!$C:$FB,125)</f>
        <v>2.16</v>
      </c>
      <c r="S109" s="75">
        <f>VLOOKUP($A109,'Data Vlaue (Cr)'!$C:$FB,128)*100</f>
        <v>-17.239999999999998</v>
      </c>
    </row>
    <row r="110" spans="1:19" x14ac:dyDescent="0.25">
      <c r="A110" s="96" t="str">
        <f>'Data Vlaue (Cr)'!C101</f>
        <v>IGL</v>
      </c>
      <c r="B110" s="75">
        <f>VLOOKUP($A110,'Data Vlaue (Cr)'!$C:$FB,2)</f>
        <v>2750</v>
      </c>
      <c r="C110" s="75">
        <f>VLOOKUP($A110,'Data Vlaue (Cr)'!$C:$FB,8)</f>
        <v>212.88</v>
      </c>
      <c r="D110" s="75">
        <f>VLOOKUP($A110,'Data Vlaue (Cr)'!$C:$FB,4)</f>
        <v>213.5</v>
      </c>
      <c r="E110" s="75">
        <f>VLOOKUP($A110,'Data Vlaue (Cr)'!$C:$FB,5)</f>
        <v>213.86</v>
      </c>
      <c r="F110" s="75">
        <f t="shared" si="6"/>
        <v>0.62000000000000455</v>
      </c>
      <c r="G110" s="75">
        <f t="shared" si="7"/>
        <v>-0.16861826697892912</v>
      </c>
      <c r="H110" s="75">
        <f>VLOOKUP($A110,'Data Vlaue (Cr)'!$C:$FB,99)</f>
        <v>939</v>
      </c>
      <c r="I110" s="75">
        <f>VLOOKUP($A110,'Data Vlaue (Cr)'!$C:$FB,100)</f>
        <v>870</v>
      </c>
      <c r="J110" s="75">
        <f t="shared" si="8"/>
        <v>69</v>
      </c>
      <c r="K110" s="75">
        <f t="shared" si="9"/>
        <v>7.3482428115015974</v>
      </c>
      <c r="L110" s="75">
        <f>VLOOKUP($A110,'Data Vlaue (Cr)'!$C:$FB,67)</f>
        <v>1324</v>
      </c>
      <c r="M110" s="75">
        <f>VLOOKUP($A110,'Data Vlaue (Cr)'!$C:$FB,68)</f>
        <v>828</v>
      </c>
      <c r="N110" s="75">
        <f t="shared" si="10"/>
        <v>496</v>
      </c>
      <c r="O110" s="75">
        <f t="shared" si="11"/>
        <v>37.462235649546827</v>
      </c>
      <c r="P110" s="75">
        <f>VLOOKUP($A110,'Data Vlaue (Cr)'!$C:$FB,119)</f>
        <v>0.68</v>
      </c>
      <c r="Q110" s="75">
        <f>VLOOKUP($A110,'Data Vlaue (Cr)'!$C:$FB,122)*100</f>
        <v>11.48</v>
      </c>
      <c r="R110" s="75">
        <f>VLOOKUP($A110,'Data Vlaue (Cr)'!$C:$FB,125)</f>
        <v>1.07</v>
      </c>
      <c r="S110" s="75">
        <f>VLOOKUP($A110,'Data Vlaue (Cr)'!$C:$FB,128)*100</f>
        <v>-33.54</v>
      </c>
    </row>
    <row r="111" spans="1:19" x14ac:dyDescent="0.25">
      <c r="A111" s="96" t="str">
        <f>'Data Vlaue (Cr)'!C102</f>
        <v>IIFL</v>
      </c>
      <c r="B111" s="75">
        <f>VLOOKUP($A111,'Data Vlaue (Cr)'!$C:$FB,2)</f>
        <v>1650</v>
      </c>
      <c r="C111" s="75">
        <f>VLOOKUP($A111,'Data Vlaue (Cr)'!$C:$FB,8)</f>
        <v>529.79999999999995</v>
      </c>
      <c r="D111" s="75">
        <f>VLOOKUP($A111,'Data Vlaue (Cr)'!$C:$FB,4)</f>
        <v>530</v>
      </c>
      <c r="E111" s="75">
        <f>VLOOKUP($A111,'Data Vlaue (Cr)'!$C:$FB,5)</f>
        <v>538.29999999999995</v>
      </c>
      <c r="F111" s="75">
        <f t="shared" si="6"/>
        <v>0.20000000000004547</v>
      </c>
      <c r="G111" s="75">
        <f t="shared" si="7"/>
        <v>-1.566037735849048</v>
      </c>
      <c r="H111" s="75">
        <f>VLOOKUP($A111,'Data Vlaue (Cr)'!$C:$FB,99)</f>
        <v>1253</v>
      </c>
      <c r="I111" s="75">
        <f>VLOOKUP($A111,'Data Vlaue (Cr)'!$C:$FB,100)</f>
        <v>1302</v>
      </c>
      <c r="J111" s="75">
        <f t="shared" si="8"/>
        <v>-49</v>
      </c>
      <c r="K111" s="75">
        <f t="shared" si="9"/>
        <v>-3.9106145251396649</v>
      </c>
      <c r="L111" s="75">
        <f>VLOOKUP($A111,'Data Vlaue (Cr)'!$C:$FB,67)</f>
        <v>416</v>
      </c>
      <c r="M111" s="75">
        <f>VLOOKUP($A111,'Data Vlaue (Cr)'!$C:$FB,68)</f>
        <v>323</v>
      </c>
      <c r="N111" s="75">
        <f t="shared" si="10"/>
        <v>93</v>
      </c>
      <c r="O111" s="75">
        <f t="shared" si="11"/>
        <v>22.355769230769234</v>
      </c>
      <c r="P111" s="75">
        <f>VLOOKUP($A111,'Data Vlaue (Cr)'!$C:$FB,119)</f>
        <v>0.8</v>
      </c>
      <c r="Q111" s="75">
        <f>VLOOKUP($A111,'Data Vlaue (Cr)'!$C:$FB,122)*100</f>
        <v>-3.61</v>
      </c>
      <c r="R111" s="75">
        <f>VLOOKUP($A111,'Data Vlaue (Cr)'!$C:$FB,125)</f>
        <v>0.72</v>
      </c>
      <c r="S111" s="75">
        <f>VLOOKUP($A111,'Data Vlaue (Cr)'!$C:$FB,128)*100</f>
        <v>9.09</v>
      </c>
    </row>
    <row r="112" spans="1:19" x14ac:dyDescent="0.25">
      <c r="A112" s="96" t="str">
        <f>'Data Vlaue (Cr)'!C103</f>
        <v>INDHOTEL</v>
      </c>
      <c r="B112" s="75">
        <f>VLOOKUP($A112,'Data Vlaue (Cr)'!$C:$FB,2)</f>
        <v>1000</v>
      </c>
      <c r="C112" s="75">
        <f>VLOOKUP($A112,'Data Vlaue (Cr)'!$C:$FB,8)</f>
        <v>756.3</v>
      </c>
      <c r="D112" s="75">
        <f>VLOOKUP($A112,'Data Vlaue (Cr)'!$C:$FB,4)</f>
        <v>757.55</v>
      </c>
      <c r="E112" s="75">
        <f>VLOOKUP($A112,'Data Vlaue (Cr)'!$C:$FB,5)</f>
        <v>773.4</v>
      </c>
      <c r="F112" s="75">
        <f t="shared" si="6"/>
        <v>1.25</v>
      </c>
      <c r="G112" s="75">
        <f t="shared" si="7"/>
        <v>-2.0922711372186686</v>
      </c>
      <c r="H112" s="75">
        <f>VLOOKUP($A112,'Data Vlaue (Cr)'!$C:$FB,99)</f>
        <v>3560</v>
      </c>
      <c r="I112" s="75">
        <f>VLOOKUP($A112,'Data Vlaue (Cr)'!$C:$FB,100)</f>
        <v>3481</v>
      </c>
      <c r="J112" s="75">
        <f t="shared" si="8"/>
        <v>79</v>
      </c>
      <c r="K112" s="75">
        <f t="shared" si="9"/>
        <v>2.2191011235955056</v>
      </c>
      <c r="L112" s="75">
        <f>VLOOKUP($A112,'Data Vlaue (Cr)'!$C:$FB,67)</f>
        <v>1908</v>
      </c>
      <c r="M112" s="75">
        <f>VLOOKUP($A112,'Data Vlaue (Cr)'!$C:$FB,68)</f>
        <v>2684</v>
      </c>
      <c r="N112" s="75">
        <f t="shared" si="10"/>
        <v>-776</v>
      </c>
      <c r="O112" s="75">
        <f t="shared" si="11"/>
        <v>-40.670859538784065</v>
      </c>
      <c r="P112" s="75">
        <f>VLOOKUP($A112,'Data Vlaue (Cr)'!$C:$FB,119)</f>
        <v>0.62</v>
      </c>
      <c r="Q112" s="75">
        <f>VLOOKUP($A112,'Data Vlaue (Cr)'!$C:$FB,122)*100</f>
        <v>-8.82</v>
      </c>
      <c r="R112" s="75">
        <f>VLOOKUP($A112,'Data Vlaue (Cr)'!$C:$FB,125)</f>
        <v>0.49</v>
      </c>
      <c r="S112" s="75">
        <f>VLOOKUP($A112,'Data Vlaue (Cr)'!$C:$FB,128)*100</f>
        <v>6.52</v>
      </c>
    </row>
    <row r="113" spans="1:19" x14ac:dyDescent="0.25">
      <c r="A113" s="96" t="str">
        <f>'Data Vlaue (Cr)'!C104</f>
        <v>INDIANB</v>
      </c>
      <c r="B113" s="75">
        <f>VLOOKUP($A113,'Data Vlaue (Cr)'!$C:$FB,2)</f>
        <v>1000</v>
      </c>
      <c r="C113" s="75">
        <f>VLOOKUP($A113,'Data Vlaue (Cr)'!$C:$FB,8)</f>
        <v>627.9</v>
      </c>
      <c r="D113" s="75">
        <f>VLOOKUP($A113,'Data Vlaue (Cr)'!$C:$FB,4)</f>
        <v>628.95000000000005</v>
      </c>
      <c r="E113" s="75">
        <f>VLOOKUP($A113,'Data Vlaue (Cr)'!$C:$FB,5)</f>
        <v>635.65</v>
      </c>
      <c r="F113" s="75">
        <f t="shared" si="6"/>
        <v>1.0500000000000682</v>
      </c>
      <c r="G113" s="75">
        <f t="shared" si="7"/>
        <v>-1.0652675093409543</v>
      </c>
      <c r="H113" s="75">
        <f>VLOOKUP($A113,'Data Vlaue (Cr)'!$C:$FB,99)</f>
        <v>706</v>
      </c>
      <c r="I113" s="75">
        <f>VLOOKUP($A113,'Data Vlaue (Cr)'!$C:$FB,100)</f>
        <v>705</v>
      </c>
      <c r="J113" s="75">
        <f t="shared" si="8"/>
        <v>1</v>
      </c>
      <c r="K113" s="75">
        <f t="shared" si="9"/>
        <v>0.14164305949008499</v>
      </c>
      <c r="L113" s="75">
        <f>VLOOKUP($A113,'Data Vlaue (Cr)'!$C:$FB,67)</f>
        <v>137</v>
      </c>
      <c r="M113" s="75">
        <f>VLOOKUP($A113,'Data Vlaue (Cr)'!$C:$FB,68)</f>
        <v>183</v>
      </c>
      <c r="N113" s="75">
        <f t="shared" si="10"/>
        <v>-46</v>
      </c>
      <c r="O113" s="75">
        <f t="shared" si="11"/>
        <v>-33.576642335766422</v>
      </c>
      <c r="P113" s="75">
        <f>VLOOKUP($A113,'Data Vlaue (Cr)'!$C:$FB,119)</f>
        <v>0.67</v>
      </c>
      <c r="Q113" s="75">
        <f>VLOOKUP($A113,'Data Vlaue (Cr)'!$C:$FB,122)*100</f>
        <v>1.52</v>
      </c>
      <c r="R113" s="75">
        <f>VLOOKUP($A113,'Data Vlaue (Cr)'!$C:$FB,125)</f>
        <v>0.54</v>
      </c>
      <c r="S113" s="75">
        <f>VLOOKUP($A113,'Data Vlaue (Cr)'!$C:$FB,128)*100</f>
        <v>5.88</v>
      </c>
    </row>
    <row r="114" spans="1:19" x14ac:dyDescent="0.25">
      <c r="A114" s="96" t="str">
        <f>'Data Vlaue (Cr)'!C105</f>
        <v>INDIAVIX</v>
      </c>
      <c r="B114" s="75">
        <f>VLOOKUP($A114,'Data Vlaue (Cr)'!$C:$FB,2)</f>
        <v>1</v>
      </c>
      <c r="C114" s="75">
        <f>VLOOKUP($A114,'Data Vlaue (Cr)'!$C:$FB,8)</f>
        <v>10.75</v>
      </c>
      <c r="D114" s="75">
        <f>VLOOKUP($A114,'Data Vlaue (Cr)'!$C:$FB,4)</f>
        <v>10.75</v>
      </c>
      <c r="E114" s="75">
        <f>VLOOKUP($A114,'Data Vlaue (Cr)'!$C:$FB,5)</f>
        <v>11.2</v>
      </c>
      <c r="F114" s="75">
        <f t="shared" si="6"/>
        <v>0</v>
      </c>
      <c r="G114" s="75">
        <f t="shared" si="7"/>
        <v>-4.1860465116279011</v>
      </c>
      <c r="H114" s="75">
        <f>VLOOKUP($A114,'Data Vlaue (Cr)'!$C:$FB,99)</f>
        <v>0</v>
      </c>
      <c r="I114" s="75">
        <f>VLOOKUP($A114,'Data Vlaue (Cr)'!$C:$FB,100)</f>
        <v>0</v>
      </c>
      <c r="J114" s="75">
        <f t="shared" si="8"/>
        <v>0</v>
      </c>
      <c r="K114" s="75" t="e">
        <f t="shared" si="9"/>
        <v>#DIV/0!</v>
      </c>
      <c r="L114" s="75">
        <f>VLOOKUP($A114,'Data Vlaue (Cr)'!$C:$FB,67)</f>
        <v>0</v>
      </c>
      <c r="M114" s="75">
        <f>VLOOKUP($A114,'Data Vlaue (Cr)'!$C:$FB,68)</f>
        <v>0</v>
      </c>
      <c r="N114" s="75">
        <f t="shared" si="10"/>
        <v>0</v>
      </c>
      <c r="O114" s="75" t="e">
        <f t="shared" si="11"/>
        <v>#DIV/0!</v>
      </c>
      <c r="P114" s="75">
        <f>VLOOKUP($A114,'Data Vlaue (Cr)'!$C:$FB,119)</f>
        <v>0</v>
      </c>
      <c r="Q114" s="75">
        <f>VLOOKUP($A114,'Data Vlaue (Cr)'!$C:$FB,122)*100</f>
        <v>0</v>
      </c>
      <c r="R114" s="75">
        <f>VLOOKUP($A114,'Data Vlaue (Cr)'!$C:$FB,125)</f>
        <v>0</v>
      </c>
      <c r="S114" s="75">
        <f>VLOOKUP($A114,'Data Vlaue (Cr)'!$C:$FB,128)*100</f>
        <v>0</v>
      </c>
    </row>
    <row r="115" spans="1:19" x14ac:dyDescent="0.25">
      <c r="A115" s="96" t="str">
        <f>'Data Vlaue (Cr)'!C106</f>
        <v>INDIGO</v>
      </c>
      <c r="B115" s="75">
        <f>VLOOKUP($A115,'Data Vlaue (Cr)'!$C:$FB,2)</f>
        <v>150</v>
      </c>
      <c r="C115" s="75">
        <f>VLOOKUP($A115,'Data Vlaue (Cr)'!$C:$FB,8)</f>
        <v>5948</v>
      </c>
      <c r="D115" s="75">
        <f>VLOOKUP($A115,'Data Vlaue (Cr)'!$C:$FB,4)</f>
        <v>5938.5</v>
      </c>
      <c r="E115" s="75">
        <f>VLOOKUP($A115,'Data Vlaue (Cr)'!$C:$FB,5)</f>
        <v>5871.5</v>
      </c>
      <c r="F115" s="75">
        <f t="shared" si="6"/>
        <v>-9.5</v>
      </c>
      <c r="G115" s="75">
        <f t="shared" si="7"/>
        <v>1.1282310347730908</v>
      </c>
      <c r="H115" s="75">
        <f>VLOOKUP($A115,'Data Vlaue (Cr)'!$C:$FB,99)</f>
        <v>8018</v>
      </c>
      <c r="I115" s="75">
        <f>VLOOKUP($A115,'Data Vlaue (Cr)'!$C:$FB,100)</f>
        <v>7969</v>
      </c>
      <c r="J115" s="75">
        <f t="shared" si="8"/>
        <v>49</v>
      </c>
      <c r="K115" s="75">
        <f t="shared" si="9"/>
        <v>0.61112496882015466</v>
      </c>
      <c r="L115" s="75">
        <f>VLOOKUP($A115,'Data Vlaue (Cr)'!$C:$FB,67)</f>
        <v>3283</v>
      </c>
      <c r="M115" s="75">
        <f>VLOOKUP($A115,'Data Vlaue (Cr)'!$C:$FB,68)</f>
        <v>2247</v>
      </c>
      <c r="N115" s="75">
        <f t="shared" si="10"/>
        <v>1036</v>
      </c>
      <c r="O115" s="75">
        <f t="shared" si="11"/>
        <v>31.556503198294244</v>
      </c>
      <c r="P115" s="75">
        <f>VLOOKUP($A115,'Data Vlaue (Cr)'!$C:$FB,119)</f>
        <v>0.82</v>
      </c>
      <c r="Q115" s="75">
        <f>VLOOKUP($A115,'Data Vlaue (Cr)'!$C:$FB,122)*100</f>
        <v>3.8</v>
      </c>
      <c r="R115" s="75">
        <f>VLOOKUP($A115,'Data Vlaue (Cr)'!$C:$FB,125)</f>
        <v>0.41</v>
      </c>
      <c r="S115" s="75">
        <f>VLOOKUP($A115,'Data Vlaue (Cr)'!$C:$FB,128)*100</f>
        <v>-16.329999999999998</v>
      </c>
    </row>
    <row r="116" spans="1:19" x14ac:dyDescent="0.25">
      <c r="A116" s="96" t="str">
        <f>'Data Vlaue (Cr)'!C107</f>
        <v>INDUSINDBK</v>
      </c>
      <c r="B116" s="75">
        <f>VLOOKUP($A116,'Data Vlaue (Cr)'!$C:$FB,2)</f>
        <v>700</v>
      </c>
      <c r="C116" s="75">
        <f>VLOOKUP($A116,'Data Vlaue (Cr)'!$C:$FB,8)</f>
        <v>843.2</v>
      </c>
      <c r="D116" s="75">
        <f>VLOOKUP($A116,'Data Vlaue (Cr)'!$C:$FB,4)</f>
        <v>845.4</v>
      </c>
      <c r="E116" s="75">
        <f>VLOOKUP($A116,'Data Vlaue (Cr)'!$C:$FB,5)</f>
        <v>858.9</v>
      </c>
      <c r="F116" s="75">
        <f t="shared" si="6"/>
        <v>2.1999999999999318</v>
      </c>
      <c r="G116" s="75">
        <f t="shared" si="7"/>
        <v>-1.596877217885025</v>
      </c>
      <c r="H116" s="75">
        <f>VLOOKUP($A116,'Data Vlaue (Cr)'!$C:$FB,99)</f>
        <v>6299</v>
      </c>
      <c r="I116" s="75">
        <f>VLOOKUP($A116,'Data Vlaue (Cr)'!$C:$FB,100)</f>
        <v>6069</v>
      </c>
      <c r="J116" s="75">
        <f t="shared" si="8"/>
        <v>230</v>
      </c>
      <c r="K116" s="75">
        <f t="shared" si="9"/>
        <v>3.651373233846642</v>
      </c>
      <c r="L116" s="75">
        <f>VLOOKUP($A116,'Data Vlaue (Cr)'!$C:$FB,67)</f>
        <v>6408</v>
      </c>
      <c r="M116" s="75">
        <f>VLOOKUP($A116,'Data Vlaue (Cr)'!$C:$FB,68)</f>
        <v>8991</v>
      </c>
      <c r="N116" s="75">
        <f t="shared" si="10"/>
        <v>-2583</v>
      </c>
      <c r="O116" s="75">
        <f t="shared" si="11"/>
        <v>-40.308988764044948</v>
      </c>
      <c r="P116" s="75">
        <f>VLOOKUP($A116,'Data Vlaue (Cr)'!$C:$FB,119)</f>
        <v>0.52</v>
      </c>
      <c r="Q116" s="75">
        <f>VLOOKUP($A116,'Data Vlaue (Cr)'!$C:$FB,122)*100</f>
        <v>-7.1400000000000006</v>
      </c>
      <c r="R116" s="75">
        <f>VLOOKUP($A116,'Data Vlaue (Cr)'!$C:$FB,125)</f>
        <v>0.67</v>
      </c>
      <c r="S116" s="75">
        <f>VLOOKUP($A116,'Data Vlaue (Cr)'!$C:$FB,128)*100</f>
        <v>-10.67</v>
      </c>
    </row>
    <row r="117" spans="1:19" x14ac:dyDescent="0.25">
      <c r="A117" s="96" t="str">
        <f>'Data Vlaue (Cr)'!C108</f>
        <v>INDUSTOWER</v>
      </c>
      <c r="B117" s="75">
        <f>VLOOKUP($A117,'Data Vlaue (Cr)'!$C:$FB,2)</f>
        <v>1700</v>
      </c>
      <c r="C117" s="75">
        <f>VLOOKUP($A117,'Data Vlaue (Cr)'!$C:$FB,8)</f>
        <v>396.3</v>
      </c>
      <c r="D117" s="75">
        <f>VLOOKUP($A117,'Data Vlaue (Cr)'!$C:$FB,4)</f>
        <v>396.65</v>
      </c>
      <c r="E117" s="75">
        <f>VLOOKUP($A117,'Data Vlaue (Cr)'!$C:$FB,5)</f>
        <v>405.15</v>
      </c>
      <c r="F117" s="75">
        <f t="shared" si="6"/>
        <v>0.34999999999996589</v>
      </c>
      <c r="G117" s="75">
        <f t="shared" si="7"/>
        <v>-2.1429471826547335</v>
      </c>
      <c r="H117" s="75">
        <f>VLOOKUP($A117,'Data Vlaue (Cr)'!$C:$FB,99)</f>
        <v>3496</v>
      </c>
      <c r="I117" s="75">
        <f>VLOOKUP($A117,'Data Vlaue (Cr)'!$C:$FB,100)</f>
        <v>3467</v>
      </c>
      <c r="J117" s="75">
        <f t="shared" si="8"/>
        <v>29</v>
      </c>
      <c r="K117" s="75">
        <f t="shared" si="9"/>
        <v>0.82951945080091527</v>
      </c>
      <c r="L117" s="75">
        <f>VLOOKUP($A117,'Data Vlaue (Cr)'!$C:$FB,67)</f>
        <v>840</v>
      </c>
      <c r="M117" s="75">
        <f>VLOOKUP($A117,'Data Vlaue (Cr)'!$C:$FB,68)</f>
        <v>782</v>
      </c>
      <c r="N117" s="75">
        <f t="shared" si="10"/>
        <v>58</v>
      </c>
      <c r="O117" s="75">
        <f t="shared" si="11"/>
        <v>6.9047619047619051</v>
      </c>
      <c r="P117" s="75">
        <f>VLOOKUP($A117,'Data Vlaue (Cr)'!$C:$FB,119)</f>
        <v>0.57999999999999996</v>
      </c>
      <c r="Q117" s="75">
        <f>VLOOKUP($A117,'Data Vlaue (Cr)'!$C:$FB,122)*100</f>
        <v>1.7500000000000002</v>
      </c>
      <c r="R117" s="75">
        <f>VLOOKUP($A117,'Data Vlaue (Cr)'!$C:$FB,125)</f>
        <v>0.43</v>
      </c>
      <c r="S117" s="75">
        <f>VLOOKUP($A117,'Data Vlaue (Cr)'!$C:$FB,128)*100</f>
        <v>2.3800000000000003</v>
      </c>
    </row>
    <row r="118" spans="1:19" x14ac:dyDescent="0.25">
      <c r="A118" s="96" t="str">
        <f>'Data Vlaue (Cr)'!C109</f>
        <v>INFY</v>
      </c>
      <c r="B118" s="75">
        <f>VLOOKUP($A118,'Data Vlaue (Cr)'!$C:$FB,2)</f>
        <v>400</v>
      </c>
      <c r="C118" s="75">
        <f>VLOOKUP($A118,'Data Vlaue (Cr)'!$C:$FB,8)</f>
        <v>1570.9</v>
      </c>
      <c r="D118" s="75">
        <f>VLOOKUP($A118,'Data Vlaue (Cr)'!$C:$FB,4)</f>
        <v>1576.5</v>
      </c>
      <c r="E118" s="75">
        <f>VLOOKUP($A118,'Data Vlaue (Cr)'!$C:$FB,5)</f>
        <v>1588.3</v>
      </c>
      <c r="F118" s="75">
        <f t="shared" si="6"/>
        <v>5.5999999999999091</v>
      </c>
      <c r="G118" s="75">
        <f t="shared" si="7"/>
        <v>-0.74849349825562672</v>
      </c>
      <c r="H118" s="75">
        <f>VLOOKUP($A118,'Data Vlaue (Cr)'!$C:$FB,99)</f>
        <v>18912</v>
      </c>
      <c r="I118" s="75">
        <f>VLOOKUP($A118,'Data Vlaue (Cr)'!$C:$FB,100)</f>
        <v>18019</v>
      </c>
      <c r="J118" s="75">
        <f t="shared" si="8"/>
        <v>893</v>
      </c>
      <c r="K118" s="75">
        <f t="shared" si="9"/>
        <v>4.7218697123519453</v>
      </c>
      <c r="L118" s="75">
        <f>VLOOKUP($A118,'Data Vlaue (Cr)'!$C:$FB,67)</f>
        <v>7993</v>
      </c>
      <c r="M118" s="75">
        <f>VLOOKUP($A118,'Data Vlaue (Cr)'!$C:$FB,68)</f>
        <v>5021</v>
      </c>
      <c r="N118" s="75">
        <f t="shared" si="10"/>
        <v>2972</v>
      </c>
      <c r="O118" s="75">
        <f t="shared" si="11"/>
        <v>37.182534717878141</v>
      </c>
      <c r="P118" s="75">
        <f>VLOOKUP($A118,'Data Vlaue (Cr)'!$C:$FB,119)</f>
        <v>0.53</v>
      </c>
      <c r="Q118" s="75">
        <f>VLOOKUP($A118,'Data Vlaue (Cr)'!$C:$FB,122)*100</f>
        <v>1.92</v>
      </c>
      <c r="R118" s="75">
        <f>VLOOKUP($A118,'Data Vlaue (Cr)'!$C:$FB,125)</f>
        <v>0.55000000000000004</v>
      </c>
      <c r="S118" s="75">
        <f>VLOOKUP($A118,'Data Vlaue (Cr)'!$C:$FB,128)*100</f>
        <v>3.7699999999999996</v>
      </c>
    </row>
    <row r="119" spans="1:19" x14ac:dyDescent="0.25">
      <c r="A119" s="96" t="str">
        <f>'Data Vlaue (Cr)'!C110</f>
        <v>INOXWIND</v>
      </c>
      <c r="B119" s="75">
        <f>VLOOKUP($A119,'Data Vlaue (Cr)'!$C:$FB,2)</f>
        <v>3225</v>
      </c>
      <c r="C119" s="75">
        <f>VLOOKUP($A119,'Data Vlaue (Cr)'!$C:$FB,8)</f>
        <v>165.53</v>
      </c>
      <c r="D119" s="75">
        <f>VLOOKUP($A119,'Data Vlaue (Cr)'!$C:$FB,4)</f>
        <v>165.8</v>
      </c>
      <c r="E119" s="75">
        <f>VLOOKUP($A119,'Data Vlaue (Cr)'!$C:$FB,5)</f>
        <v>167.51</v>
      </c>
      <c r="F119" s="75">
        <f t="shared" si="6"/>
        <v>0.27000000000001023</v>
      </c>
      <c r="G119" s="75">
        <f t="shared" si="7"/>
        <v>-1.0313630880578886</v>
      </c>
      <c r="H119" s="75">
        <f>VLOOKUP($A119,'Data Vlaue (Cr)'!$C:$FB,99)</f>
        <v>1235</v>
      </c>
      <c r="I119" s="75">
        <f>VLOOKUP($A119,'Data Vlaue (Cr)'!$C:$FB,100)</f>
        <v>1232</v>
      </c>
      <c r="J119" s="75">
        <f t="shared" si="8"/>
        <v>3</v>
      </c>
      <c r="K119" s="75">
        <f t="shared" si="9"/>
        <v>0.24291497975708504</v>
      </c>
      <c r="L119" s="75">
        <f>VLOOKUP($A119,'Data Vlaue (Cr)'!$C:$FB,67)</f>
        <v>256</v>
      </c>
      <c r="M119" s="75">
        <f>VLOOKUP($A119,'Data Vlaue (Cr)'!$C:$FB,68)</f>
        <v>315</v>
      </c>
      <c r="N119" s="75">
        <f t="shared" si="10"/>
        <v>-59</v>
      </c>
      <c r="O119" s="75">
        <f t="shared" si="11"/>
        <v>-23.046875</v>
      </c>
      <c r="P119" s="75">
        <f>VLOOKUP($A119,'Data Vlaue (Cr)'!$C:$FB,119)</f>
        <v>0.52</v>
      </c>
      <c r="Q119" s="75">
        <f>VLOOKUP($A119,'Data Vlaue (Cr)'!$C:$FB,122)*100</f>
        <v>13.04</v>
      </c>
      <c r="R119" s="75">
        <f>VLOOKUP($A119,'Data Vlaue (Cr)'!$C:$FB,125)</f>
        <v>0.88</v>
      </c>
      <c r="S119" s="75">
        <f>VLOOKUP($A119,'Data Vlaue (Cr)'!$C:$FB,128)*100</f>
        <v>66.039999999999992</v>
      </c>
    </row>
    <row r="120" spans="1:19" x14ac:dyDescent="0.25">
      <c r="A120" s="96" t="str">
        <f>'Data Vlaue (Cr)'!C111</f>
        <v>IOC</v>
      </c>
      <c r="B120" s="75">
        <f>VLOOKUP($A120,'Data Vlaue (Cr)'!$C:$FB,2)</f>
        <v>4875</v>
      </c>
      <c r="C120" s="75">
        <f>VLOOKUP($A120,'Data Vlaue (Cr)'!$C:$FB,8)</f>
        <v>151.97999999999999</v>
      </c>
      <c r="D120" s="75">
        <f>VLOOKUP($A120,'Data Vlaue (Cr)'!$C:$FB,4)</f>
        <v>152.01</v>
      </c>
      <c r="E120" s="75">
        <f>VLOOKUP($A120,'Data Vlaue (Cr)'!$C:$FB,5)</f>
        <v>151.19</v>
      </c>
      <c r="F120" s="75">
        <f t="shared" si="6"/>
        <v>3.0000000000001137E-2</v>
      </c>
      <c r="G120" s="75">
        <f t="shared" si="7"/>
        <v>0.53943819485559719</v>
      </c>
      <c r="H120" s="75">
        <f>VLOOKUP($A120,'Data Vlaue (Cr)'!$C:$FB,99)</f>
        <v>3143</v>
      </c>
      <c r="I120" s="75">
        <f>VLOOKUP($A120,'Data Vlaue (Cr)'!$C:$FB,100)</f>
        <v>3146</v>
      </c>
      <c r="J120" s="75">
        <f t="shared" si="8"/>
        <v>-3</v>
      </c>
      <c r="K120" s="75">
        <f t="shared" si="9"/>
        <v>-9.5450206808781426E-2</v>
      </c>
      <c r="L120" s="75">
        <f>VLOOKUP($A120,'Data Vlaue (Cr)'!$C:$FB,67)</f>
        <v>1473</v>
      </c>
      <c r="M120" s="75">
        <f>VLOOKUP($A120,'Data Vlaue (Cr)'!$C:$FB,68)</f>
        <v>824</v>
      </c>
      <c r="N120" s="75">
        <f t="shared" si="10"/>
        <v>649</v>
      </c>
      <c r="O120" s="75">
        <f t="shared" si="11"/>
        <v>44.059742023082144</v>
      </c>
      <c r="P120" s="75">
        <f>VLOOKUP($A120,'Data Vlaue (Cr)'!$C:$FB,119)</f>
        <v>0.69</v>
      </c>
      <c r="Q120" s="75">
        <f>VLOOKUP($A120,'Data Vlaue (Cr)'!$C:$FB,122)*100</f>
        <v>1.47</v>
      </c>
      <c r="R120" s="75">
        <f>VLOOKUP($A120,'Data Vlaue (Cr)'!$C:$FB,125)</f>
        <v>0.75</v>
      </c>
      <c r="S120" s="75">
        <f>VLOOKUP($A120,'Data Vlaue (Cr)'!$C:$FB,128)*100</f>
        <v>31.580000000000002</v>
      </c>
    </row>
    <row r="121" spans="1:19" x14ac:dyDescent="0.25">
      <c r="A121" s="96" t="str">
        <f>'Data Vlaue (Cr)'!C112</f>
        <v>IRB</v>
      </c>
      <c r="B121" s="75">
        <f>VLOOKUP($A121,'Data Vlaue (Cr)'!$C:$FB,2)</f>
        <v>11675</v>
      </c>
      <c r="C121" s="75">
        <f>VLOOKUP($A121,'Data Vlaue (Cr)'!$C:$FB,8)</f>
        <v>48.36</v>
      </c>
      <c r="D121" s="75">
        <f>VLOOKUP($A121,'Data Vlaue (Cr)'!$C:$FB,4)</f>
        <v>48.37</v>
      </c>
      <c r="E121" s="75">
        <f>VLOOKUP($A121,'Data Vlaue (Cr)'!$C:$FB,5)</f>
        <v>48.54</v>
      </c>
      <c r="F121" s="75">
        <f t="shared" si="6"/>
        <v>9.9999999999980105E-3</v>
      </c>
      <c r="G121" s="75">
        <f t="shared" si="7"/>
        <v>-0.35145751498863287</v>
      </c>
      <c r="H121" s="75">
        <f>VLOOKUP($A121,'Data Vlaue (Cr)'!$C:$FB,99)</f>
        <v>710</v>
      </c>
      <c r="I121" s="75">
        <f>VLOOKUP($A121,'Data Vlaue (Cr)'!$C:$FB,100)</f>
        <v>731</v>
      </c>
      <c r="J121" s="75">
        <f t="shared" si="8"/>
        <v>-21</v>
      </c>
      <c r="K121" s="75">
        <f t="shared" si="9"/>
        <v>-2.9577464788732395</v>
      </c>
      <c r="L121" s="75">
        <f>VLOOKUP($A121,'Data Vlaue (Cr)'!$C:$FB,67)</f>
        <v>162</v>
      </c>
      <c r="M121" s="75">
        <f>VLOOKUP($A121,'Data Vlaue (Cr)'!$C:$FB,68)</f>
        <v>151</v>
      </c>
      <c r="N121" s="75">
        <f t="shared" si="10"/>
        <v>11</v>
      </c>
      <c r="O121" s="75">
        <f t="shared" si="11"/>
        <v>6.7901234567901234</v>
      </c>
      <c r="P121" s="75">
        <f>VLOOKUP($A121,'Data Vlaue (Cr)'!$C:$FB,119)</f>
        <v>0.43</v>
      </c>
      <c r="Q121" s="75">
        <f>VLOOKUP($A121,'Data Vlaue (Cr)'!$C:$FB,122)*100</f>
        <v>16.220000000000002</v>
      </c>
      <c r="R121" s="75">
        <f>VLOOKUP($A121,'Data Vlaue (Cr)'!$C:$FB,125)</f>
        <v>0.1</v>
      </c>
      <c r="S121" s="75">
        <f>VLOOKUP($A121,'Data Vlaue (Cr)'!$C:$FB,128)*100</f>
        <v>-58.330000000000005</v>
      </c>
    </row>
    <row r="122" spans="1:19" x14ac:dyDescent="0.25">
      <c r="A122" s="96" t="str">
        <f>'Data Vlaue (Cr)'!C113</f>
        <v>IRCTC</v>
      </c>
      <c r="B122" s="75">
        <f>VLOOKUP($A122,'Data Vlaue (Cr)'!$C:$FB,2)</f>
        <v>875</v>
      </c>
      <c r="C122" s="75">
        <f>VLOOKUP($A122,'Data Vlaue (Cr)'!$C:$FB,8)</f>
        <v>760.6</v>
      </c>
      <c r="D122" s="75">
        <f>VLOOKUP($A122,'Data Vlaue (Cr)'!$C:$FB,4)</f>
        <v>760.8</v>
      </c>
      <c r="E122" s="75">
        <f>VLOOKUP($A122,'Data Vlaue (Cr)'!$C:$FB,5)</f>
        <v>772</v>
      </c>
      <c r="F122" s="75">
        <f t="shared" si="6"/>
        <v>0.19999999999993179</v>
      </c>
      <c r="G122" s="75">
        <f t="shared" si="7"/>
        <v>-1.4721345951629925</v>
      </c>
      <c r="H122" s="75">
        <f>VLOOKUP($A122,'Data Vlaue (Cr)'!$C:$FB,99)</f>
        <v>2191</v>
      </c>
      <c r="I122" s="75">
        <f>VLOOKUP($A122,'Data Vlaue (Cr)'!$C:$FB,100)</f>
        <v>2125</v>
      </c>
      <c r="J122" s="75">
        <f t="shared" si="8"/>
        <v>66</v>
      </c>
      <c r="K122" s="75">
        <f t="shared" si="9"/>
        <v>3.0123231401186676</v>
      </c>
      <c r="L122" s="75">
        <f>VLOOKUP($A122,'Data Vlaue (Cr)'!$C:$FB,67)</f>
        <v>659</v>
      </c>
      <c r="M122" s="75">
        <f>VLOOKUP($A122,'Data Vlaue (Cr)'!$C:$FB,68)</f>
        <v>687</v>
      </c>
      <c r="N122" s="75">
        <f t="shared" si="10"/>
        <v>-28</v>
      </c>
      <c r="O122" s="75">
        <f t="shared" si="11"/>
        <v>-4.2488619119878601</v>
      </c>
      <c r="P122" s="75">
        <f>VLOOKUP($A122,'Data Vlaue (Cr)'!$C:$FB,119)</f>
        <v>0.7</v>
      </c>
      <c r="Q122" s="75">
        <f>VLOOKUP($A122,'Data Vlaue (Cr)'!$C:$FB,122)*100</f>
        <v>2.94</v>
      </c>
      <c r="R122" s="75">
        <f>VLOOKUP($A122,'Data Vlaue (Cr)'!$C:$FB,125)</f>
        <v>0.46</v>
      </c>
      <c r="S122" s="75">
        <f>VLOOKUP($A122,'Data Vlaue (Cr)'!$C:$FB,128)*100</f>
        <v>-23.330000000000002</v>
      </c>
    </row>
    <row r="123" spans="1:19" x14ac:dyDescent="0.25">
      <c r="A123" s="96" t="str">
        <f>'Data Vlaue (Cr)'!C114</f>
        <v>IREDA</v>
      </c>
      <c r="B123" s="75">
        <f>VLOOKUP($A123,'Data Vlaue (Cr)'!$C:$FB,2)</f>
        <v>3450</v>
      </c>
      <c r="C123" s="75">
        <f>VLOOKUP($A123,'Data Vlaue (Cr)'!$C:$FB,8)</f>
        <v>156.22</v>
      </c>
      <c r="D123" s="75">
        <f>VLOOKUP($A123,'Data Vlaue (Cr)'!$C:$FB,4)</f>
        <v>156.28</v>
      </c>
      <c r="E123" s="75">
        <f>VLOOKUP($A123,'Data Vlaue (Cr)'!$C:$FB,5)</f>
        <v>157.79</v>
      </c>
      <c r="F123" s="75">
        <f t="shared" si="6"/>
        <v>6.0000000000002274E-2</v>
      </c>
      <c r="G123" s="75">
        <f t="shared" si="7"/>
        <v>-0.96621448681852506</v>
      </c>
      <c r="H123" s="75">
        <f>VLOOKUP($A123,'Data Vlaue (Cr)'!$C:$FB,99)</f>
        <v>1600</v>
      </c>
      <c r="I123" s="75">
        <f>VLOOKUP($A123,'Data Vlaue (Cr)'!$C:$FB,100)</f>
        <v>1586</v>
      </c>
      <c r="J123" s="75">
        <f t="shared" si="8"/>
        <v>14</v>
      </c>
      <c r="K123" s="75">
        <f t="shared" si="9"/>
        <v>0.87500000000000011</v>
      </c>
      <c r="L123" s="75">
        <f>VLOOKUP($A123,'Data Vlaue (Cr)'!$C:$FB,67)</f>
        <v>460</v>
      </c>
      <c r="M123" s="75">
        <f>VLOOKUP($A123,'Data Vlaue (Cr)'!$C:$FB,68)</f>
        <v>463</v>
      </c>
      <c r="N123" s="75">
        <f t="shared" si="10"/>
        <v>-3</v>
      </c>
      <c r="O123" s="75">
        <f t="shared" si="11"/>
        <v>-0.65217391304347827</v>
      </c>
      <c r="P123" s="75">
        <f>VLOOKUP($A123,'Data Vlaue (Cr)'!$C:$FB,119)</f>
        <v>0.48</v>
      </c>
      <c r="Q123" s="75">
        <f>VLOOKUP($A123,'Data Vlaue (Cr)'!$C:$FB,122)*100</f>
        <v>2.13</v>
      </c>
      <c r="R123" s="75">
        <f>VLOOKUP($A123,'Data Vlaue (Cr)'!$C:$FB,125)</f>
        <v>0.21</v>
      </c>
      <c r="S123" s="75">
        <f>VLOOKUP($A123,'Data Vlaue (Cr)'!$C:$FB,128)*100</f>
        <v>-19.23</v>
      </c>
    </row>
    <row r="124" spans="1:19" x14ac:dyDescent="0.25">
      <c r="A124" s="96" t="str">
        <f>'Data Vlaue (Cr)'!C115</f>
        <v>IRFC</v>
      </c>
      <c r="B124" s="75">
        <f>VLOOKUP($A124,'Data Vlaue (Cr)'!$C:$FB,2)</f>
        <v>4250</v>
      </c>
      <c r="C124" s="75">
        <f>VLOOKUP($A124,'Data Vlaue (Cr)'!$C:$FB,8)</f>
        <v>130.77000000000001</v>
      </c>
      <c r="D124" s="75">
        <f>VLOOKUP($A124,'Data Vlaue (Cr)'!$C:$FB,4)</f>
        <v>130.13999999999999</v>
      </c>
      <c r="E124" s="75">
        <f>VLOOKUP($A124,'Data Vlaue (Cr)'!$C:$FB,5)</f>
        <v>134.79</v>
      </c>
      <c r="F124" s="75">
        <f t="shared" si="6"/>
        <v>-0.63000000000002387</v>
      </c>
      <c r="G124" s="75">
        <f t="shared" si="7"/>
        <v>-3.5730751498386399</v>
      </c>
      <c r="H124" s="75">
        <f>VLOOKUP($A124,'Data Vlaue (Cr)'!$C:$FB,99)</f>
        <v>1614</v>
      </c>
      <c r="I124" s="75">
        <f>VLOOKUP($A124,'Data Vlaue (Cr)'!$C:$FB,100)</f>
        <v>1314</v>
      </c>
      <c r="J124" s="75">
        <f t="shared" si="8"/>
        <v>300</v>
      </c>
      <c r="K124" s="75">
        <f t="shared" si="9"/>
        <v>18.587360594795538</v>
      </c>
      <c r="L124" s="75">
        <f>VLOOKUP($A124,'Data Vlaue (Cr)'!$C:$FB,67)</f>
        <v>1476</v>
      </c>
      <c r="M124" s="75">
        <f>VLOOKUP($A124,'Data Vlaue (Cr)'!$C:$FB,68)</f>
        <v>587</v>
      </c>
      <c r="N124" s="75">
        <f t="shared" si="10"/>
        <v>889</v>
      </c>
      <c r="O124" s="75">
        <f t="shared" si="11"/>
        <v>60.230352303523041</v>
      </c>
      <c r="P124" s="75">
        <f>VLOOKUP($A124,'Data Vlaue (Cr)'!$C:$FB,119)</f>
        <v>0.44</v>
      </c>
      <c r="Q124" s="75">
        <f>VLOOKUP($A124,'Data Vlaue (Cr)'!$C:$FB,122)*100</f>
        <v>2.33</v>
      </c>
      <c r="R124" s="75">
        <f>VLOOKUP($A124,'Data Vlaue (Cr)'!$C:$FB,125)</f>
        <v>0.53</v>
      </c>
      <c r="S124" s="75">
        <f>VLOOKUP($A124,'Data Vlaue (Cr)'!$C:$FB,128)*100</f>
        <v>17.78</v>
      </c>
    </row>
    <row r="125" spans="1:19" x14ac:dyDescent="0.25">
      <c r="A125" s="96" t="str">
        <f>'Data Vlaue (Cr)'!C116</f>
        <v>ITC</v>
      </c>
      <c r="B125" s="75">
        <f>VLOOKUP($A125,'Data Vlaue (Cr)'!$C:$FB,2)</f>
        <v>1600</v>
      </c>
      <c r="C125" s="75">
        <f>VLOOKUP($A125,'Data Vlaue (Cr)'!$C:$FB,8)</f>
        <v>416</v>
      </c>
      <c r="D125" s="75">
        <f>VLOOKUP($A125,'Data Vlaue (Cr)'!$C:$FB,4)</f>
        <v>417.2</v>
      </c>
      <c r="E125" s="75">
        <f>VLOOKUP($A125,'Data Vlaue (Cr)'!$C:$FB,5)</f>
        <v>420.65</v>
      </c>
      <c r="F125" s="75">
        <f t="shared" si="6"/>
        <v>1.1999999999999886</v>
      </c>
      <c r="G125" s="75">
        <f t="shared" si="7"/>
        <v>-0.82694151486097511</v>
      </c>
      <c r="H125" s="75">
        <f>VLOOKUP($A125,'Data Vlaue (Cr)'!$C:$FB,99)</f>
        <v>8235</v>
      </c>
      <c r="I125" s="75">
        <f>VLOOKUP($A125,'Data Vlaue (Cr)'!$C:$FB,100)</f>
        <v>8142</v>
      </c>
      <c r="J125" s="75">
        <f t="shared" si="8"/>
        <v>93</v>
      </c>
      <c r="K125" s="75">
        <f t="shared" si="9"/>
        <v>1.1293260473588342</v>
      </c>
      <c r="L125" s="75">
        <f>VLOOKUP($A125,'Data Vlaue (Cr)'!$C:$FB,67)</f>
        <v>3373</v>
      </c>
      <c r="M125" s="75">
        <f>VLOOKUP($A125,'Data Vlaue (Cr)'!$C:$FB,68)</f>
        <v>2845</v>
      </c>
      <c r="N125" s="75">
        <f t="shared" si="10"/>
        <v>528</v>
      </c>
      <c r="O125" s="75">
        <f t="shared" si="11"/>
        <v>15.65372072339164</v>
      </c>
      <c r="P125" s="75">
        <f>VLOOKUP($A125,'Data Vlaue (Cr)'!$C:$FB,119)</f>
        <v>0.57999999999999996</v>
      </c>
      <c r="Q125" s="75">
        <f>VLOOKUP($A125,'Data Vlaue (Cr)'!$C:$FB,122)*100</f>
        <v>1.7500000000000002</v>
      </c>
      <c r="R125" s="75">
        <f>VLOOKUP($A125,'Data Vlaue (Cr)'!$C:$FB,125)</f>
        <v>0.55000000000000004</v>
      </c>
      <c r="S125" s="75">
        <f>VLOOKUP($A125,'Data Vlaue (Cr)'!$C:$FB,128)*100</f>
        <v>27.91</v>
      </c>
    </row>
    <row r="126" spans="1:19" x14ac:dyDescent="0.25">
      <c r="A126" s="96" t="str">
        <f>'Data Vlaue (Cr)'!C117</f>
        <v>JINDALSTEL</v>
      </c>
      <c r="B126" s="75">
        <f>VLOOKUP($A126,'Data Vlaue (Cr)'!$C:$FB,2)</f>
        <v>625</v>
      </c>
      <c r="C126" s="75">
        <f>VLOOKUP($A126,'Data Vlaue (Cr)'!$C:$FB,8)</f>
        <v>965</v>
      </c>
      <c r="D126" s="75">
        <f>VLOOKUP($A126,'Data Vlaue (Cr)'!$C:$FB,4)</f>
        <v>965.25</v>
      </c>
      <c r="E126" s="75">
        <f>VLOOKUP($A126,'Data Vlaue (Cr)'!$C:$FB,5)</f>
        <v>963.55</v>
      </c>
      <c r="F126" s="75">
        <f t="shared" si="6"/>
        <v>0.25</v>
      </c>
      <c r="G126" s="75">
        <f t="shared" si="7"/>
        <v>0.17612017612018083</v>
      </c>
      <c r="H126" s="75">
        <f>VLOOKUP($A126,'Data Vlaue (Cr)'!$C:$FB,99)</f>
        <v>2523</v>
      </c>
      <c r="I126" s="75">
        <f>VLOOKUP($A126,'Data Vlaue (Cr)'!$C:$FB,100)</f>
        <v>2556</v>
      </c>
      <c r="J126" s="75">
        <f t="shared" si="8"/>
        <v>-33</v>
      </c>
      <c r="K126" s="75">
        <f t="shared" si="9"/>
        <v>-1.3079667063020213</v>
      </c>
      <c r="L126" s="75">
        <f>VLOOKUP($A126,'Data Vlaue (Cr)'!$C:$FB,67)</f>
        <v>1069</v>
      </c>
      <c r="M126" s="75">
        <f>VLOOKUP($A126,'Data Vlaue (Cr)'!$C:$FB,68)</f>
        <v>1027</v>
      </c>
      <c r="N126" s="75">
        <f t="shared" si="10"/>
        <v>42</v>
      </c>
      <c r="O126" s="75">
        <f t="shared" si="11"/>
        <v>3.9289055191768005</v>
      </c>
      <c r="P126" s="75">
        <f>VLOOKUP($A126,'Data Vlaue (Cr)'!$C:$FB,119)</f>
        <v>0.83</v>
      </c>
      <c r="Q126" s="75">
        <f>VLOOKUP($A126,'Data Vlaue (Cr)'!$C:$FB,122)*100</f>
        <v>2.4699999999999998</v>
      </c>
      <c r="R126" s="75">
        <f>VLOOKUP($A126,'Data Vlaue (Cr)'!$C:$FB,125)</f>
        <v>0.64</v>
      </c>
      <c r="S126" s="75">
        <f>VLOOKUP($A126,'Data Vlaue (Cr)'!$C:$FB,128)*100</f>
        <v>12.280000000000001</v>
      </c>
    </row>
    <row r="127" spans="1:19" x14ac:dyDescent="0.25">
      <c r="A127" s="96" t="str">
        <f>'Data Vlaue (Cr)'!C118</f>
        <v>JIOFIN</v>
      </c>
      <c r="B127" s="75">
        <f>VLOOKUP($A127,'Data Vlaue (Cr)'!$C:$FB,2)</f>
        <v>2350</v>
      </c>
      <c r="C127" s="75">
        <f>VLOOKUP($A127,'Data Vlaue (Cr)'!$C:$FB,8)</f>
        <v>310.8</v>
      </c>
      <c r="D127" s="75">
        <f>VLOOKUP($A127,'Data Vlaue (Cr)'!$C:$FB,4)</f>
        <v>311.45</v>
      </c>
      <c r="E127" s="75">
        <f>VLOOKUP($A127,'Data Vlaue (Cr)'!$C:$FB,5)</f>
        <v>318.35000000000002</v>
      </c>
      <c r="F127" s="75">
        <f t="shared" si="6"/>
        <v>0.64999999999997726</v>
      </c>
      <c r="G127" s="75">
        <f t="shared" si="7"/>
        <v>-2.2154438914753682</v>
      </c>
      <c r="H127" s="75">
        <f>VLOOKUP($A127,'Data Vlaue (Cr)'!$C:$FB,99)</f>
        <v>8285</v>
      </c>
      <c r="I127" s="75">
        <f>VLOOKUP($A127,'Data Vlaue (Cr)'!$C:$FB,100)</f>
        <v>7980</v>
      </c>
      <c r="J127" s="75">
        <f t="shared" si="8"/>
        <v>305</v>
      </c>
      <c r="K127" s="75">
        <f t="shared" si="9"/>
        <v>3.6813518406759207</v>
      </c>
      <c r="L127" s="75">
        <f>VLOOKUP($A127,'Data Vlaue (Cr)'!$C:$FB,67)</f>
        <v>5871</v>
      </c>
      <c r="M127" s="75">
        <f>VLOOKUP($A127,'Data Vlaue (Cr)'!$C:$FB,68)</f>
        <v>5164</v>
      </c>
      <c r="N127" s="75">
        <f t="shared" si="10"/>
        <v>707</v>
      </c>
      <c r="O127" s="75">
        <f t="shared" si="11"/>
        <v>12.042241526145462</v>
      </c>
      <c r="P127" s="75">
        <f>VLOOKUP($A127,'Data Vlaue (Cr)'!$C:$FB,119)</f>
        <v>0.51</v>
      </c>
      <c r="Q127" s="75">
        <f>VLOOKUP($A127,'Data Vlaue (Cr)'!$C:$FB,122)*100</f>
        <v>-3.7699999999999996</v>
      </c>
      <c r="R127" s="75">
        <f>VLOOKUP($A127,'Data Vlaue (Cr)'!$C:$FB,125)</f>
        <v>0.44</v>
      </c>
      <c r="S127" s="75">
        <f>VLOOKUP($A127,'Data Vlaue (Cr)'!$C:$FB,128)*100</f>
        <v>-4.3499999999999996</v>
      </c>
    </row>
    <row r="128" spans="1:19" x14ac:dyDescent="0.25">
      <c r="A128" s="96" t="str">
        <f>'Data Vlaue (Cr)'!C119</f>
        <v>JSL</v>
      </c>
      <c r="B128" s="75">
        <f>VLOOKUP($A128,'Data Vlaue (Cr)'!$C:$FB,2)</f>
        <v>850</v>
      </c>
      <c r="C128" s="75">
        <f>VLOOKUP($A128,'Data Vlaue (Cr)'!$C:$FB,8)</f>
        <v>688.9</v>
      </c>
      <c r="D128" s="75">
        <f>VLOOKUP($A128,'Data Vlaue (Cr)'!$C:$FB,4)</f>
        <v>690.45</v>
      </c>
      <c r="E128" s="75">
        <f>VLOOKUP($A128,'Data Vlaue (Cr)'!$C:$FB,5)</f>
        <v>700.35</v>
      </c>
      <c r="F128" s="75">
        <f t="shared" si="6"/>
        <v>1.5500000000000682</v>
      </c>
      <c r="G128" s="75">
        <f t="shared" si="7"/>
        <v>-1.4338474907668879</v>
      </c>
      <c r="H128" s="75">
        <f>VLOOKUP($A128,'Data Vlaue (Cr)'!$C:$FB,99)</f>
        <v>716</v>
      </c>
      <c r="I128" s="75">
        <f>VLOOKUP($A128,'Data Vlaue (Cr)'!$C:$FB,100)</f>
        <v>720</v>
      </c>
      <c r="J128" s="75">
        <f t="shared" si="8"/>
        <v>-4</v>
      </c>
      <c r="K128" s="75">
        <f t="shared" si="9"/>
        <v>-0.55865921787709494</v>
      </c>
      <c r="L128" s="75">
        <f>VLOOKUP($A128,'Data Vlaue (Cr)'!$C:$FB,67)</f>
        <v>269</v>
      </c>
      <c r="M128" s="75">
        <f>VLOOKUP($A128,'Data Vlaue (Cr)'!$C:$FB,68)</f>
        <v>899</v>
      </c>
      <c r="N128" s="75">
        <f t="shared" si="10"/>
        <v>-630</v>
      </c>
      <c r="O128" s="75">
        <f t="shared" si="11"/>
        <v>-234.20074349442382</v>
      </c>
      <c r="P128" s="75">
        <f>VLOOKUP($A128,'Data Vlaue (Cr)'!$C:$FB,119)</f>
        <v>0.57999999999999996</v>
      </c>
      <c r="Q128" s="75">
        <f>VLOOKUP($A128,'Data Vlaue (Cr)'!$C:$FB,122)*100</f>
        <v>-4.92</v>
      </c>
      <c r="R128" s="75">
        <f>VLOOKUP($A128,'Data Vlaue (Cr)'!$C:$FB,125)</f>
        <v>0.83</v>
      </c>
      <c r="S128" s="75">
        <f>VLOOKUP($A128,'Data Vlaue (Cr)'!$C:$FB,128)*100</f>
        <v>260.87</v>
      </c>
    </row>
    <row r="129" spans="1:19" x14ac:dyDescent="0.25">
      <c r="A129" s="96" t="str">
        <f>'Data Vlaue (Cr)'!C120</f>
        <v>JSWENERGY</v>
      </c>
      <c r="B129" s="75">
        <f>VLOOKUP($A129,'Data Vlaue (Cr)'!$C:$FB,2)</f>
        <v>1000</v>
      </c>
      <c r="C129" s="75">
        <f>VLOOKUP($A129,'Data Vlaue (Cr)'!$C:$FB,8)</f>
        <v>531.54999999999995</v>
      </c>
      <c r="D129" s="75">
        <f>VLOOKUP($A129,'Data Vlaue (Cr)'!$C:$FB,4)</f>
        <v>531.9</v>
      </c>
      <c r="E129" s="75">
        <f>VLOOKUP($A129,'Data Vlaue (Cr)'!$C:$FB,5)</f>
        <v>533.54999999999995</v>
      </c>
      <c r="F129" s="75">
        <f t="shared" si="6"/>
        <v>0.35000000000002274</v>
      </c>
      <c r="G129" s="75">
        <f t="shared" si="7"/>
        <v>-0.31020868584319933</v>
      </c>
      <c r="H129" s="75">
        <f>VLOOKUP($A129,'Data Vlaue (Cr)'!$C:$FB,99)</f>
        <v>3387</v>
      </c>
      <c r="I129" s="75">
        <f>VLOOKUP($A129,'Data Vlaue (Cr)'!$C:$FB,100)</f>
        <v>3368</v>
      </c>
      <c r="J129" s="75">
        <f t="shared" si="8"/>
        <v>19</v>
      </c>
      <c r="K129" s="75">
        <f t="shared" si="9"/>
        <v>0.56096840862119879</v>
      </c>
      <c r="L129" s="75">
        <f>VLOOKUP($A129,'Data Vlaue (Cr)'!$C:$FB,67)</f>
        <v>639</v>
      </c>
      <c r="M129" s="75">
        <f>VLOOKUP($A129,'Data Vlaue (Cr)'!$C:$FB,68)</f>
        <v>981</v>
      </c>
      <c r="N129" s="75">
        <f t="shared" si="10"/>
        <v>-342</v>
      </c>
      <c r="O129" s="75">
        <f t="shared" si="11"/>
        <v>-53.521126760563376</v>
      </c>
      <c r="P129" s="75">
        <f>VLOOKUP($A129,'Data Vlaue (Cr)'!$C:$FB,119)</f>
        <v>0.51</v>
      </c>
      <c r="Q129" s="75">
        <f>VLOOKUP($A129,'Data Vlaue (Cr)'!$C:$FB,122)*100</f>
        <v>-1.92</v>
      </c>
      <c r="R129" s="75">
        <f>VLOOKUP($A129,'Data Vlaue (Cr)'!$C:$FB,125)</f>
        <v>0.28000000000000003</v>
      </c>
      <c r="S129" s="75">
        <f>VLOOKUP($A129,'Data Vlaue (Cr)'!$C:$FB,128)*100</f>
        <v>0</v>
      </c>
    </row>
    <row r="130" spans="1:19" x14ac:dyDescent="0.25">
      <c r="A130" s="96" t="str">
        <f>'Data Vlaue (Cr)'!C121</f>
        <v>JSWSTEEL</v>
      </c>
      <c r="B130" s="75">
        <f>VLOOKUP($A130,'Data Vlaue (Cr)'!$C:$FB,2)</f>
        <v>675</v>
      </c>
      <c r="C130" s="75">
        <f>VLOOKUP($A130,'Data Vlaue (Cr)'!$C:$FB,8)</f>
        <v>1030.7</v>
      </c>
      <c r="D130" s="75">
        <f>VLOOKUP($A130,'Data Vlaue (Cr)'!$C:$FB,4)</f>
        <v>1033.4000000000001</v>
      </c>
      <c r="E130" s="75">
        <f>VLOOKUP($A130,'Data Vlaue (Cr)'!$C:$FB,5)</f>
        <v>1035.5</v>
      </c>
      <c r="F130" s="75">
        <f t="shared" si="6"/>
        <v>2.7000000000000455</v>
      </c>
      <c r="G130" s="75">
        <f t="shared" si="7"/>
        <v>-0.20321269595509084</v>
      </c>
      <c r="H130" s="75">
        <f>VLOOKUP($A130,'Data Vlaue (Cr)'!$C:$FB,99)</f>
        <v>5617</v>
      </c>
      <c r="I130" s="75">
        <f>VLOOKUP($A130,'Data Vlaue (Cr)'!$C:$FB,100)</f>
        <v>5794</v>
      </c>
      <c r="J130" s="75">
        <f t="shared" si="8"/>
        <v>-177</v>
      </c>
      <c r="K130" s="75">
        <f t="shared" si="9"/>
        <v>-3.1511482998041656</v>
      </c>
      <c r="L130" s="75">
        <f>VLOOKUP($A130,'Data Vlaue (Cr)'!$C:$FB,67)</f>
        <v>1887</v>
      </c>
      <c r="M130" s="75">
        <f>VLOOKUP($A130,'Data Vlaue (Cr)'!$C:$FB,68)</f>
        <v>4914</v>
      </c>
      <c r="N130" s="75">
        <f t="shared" si="10"/>
        <v>-3027</v>
      </c>
      <c r="O130" s="75">
        <f t="shared" si="11"/>
        <v>-160.41335453100157</v>
      </c>
      <c r="P130" s="75">
        <f>VLOOKUP($A130,'Data Vlaue (Cr)'!$C:$FB,119)</f>
        <v>0.64</v>
      </c>
      <c r="Q130" s="75">
        <f>VLOOKUP($A130,'Data Vlaue (Cr)'!$C:$FB,122)*100</f>
        <v>3.2300000000000004</v>
      </c>
      <c r="R130" s="75">
        <f>VLOOKUP($A130,'Data Vlaue (Cr)'!$C:$FB,125)</f>
        <v>0.42</v>
      </c>
      <c r="S130" s="75">
        <f>VLOOKUP($A130,'Data Vlaue (Cr)'!$C:$FB,128)*100</f>
        <v>27.27</v>
      </c>
    </row>
    <row r="131" spans="1:19" x14ac:dyDescent="0.25">
      <c r="A131" s="96" t="str">
        <f>'Data Vlaue (Cr)'!C122</f>
        <v>JUBLFOOD</v>
      </c>
      <c r="B131" s="75">
        <f>VLOOKUP($A131,'Data Vlaue (Cr)'!$C:$FB,2)</f>
        <v>1250</v>
      </c>
      <c r="C131" s="75">
        <f>VLOOKUP($A131,'Data Vlaue (Cr)'!$C:$FB,8)</f>
        <v>662.1</v>
      </c>
      <c r="D131" s="75">
        <f>VLOOKUP($A131,'Data Vlaue (Cr)'!$C:$FB,4)</f>
        <v>662.9</v>
      </c>
      <c r="E131" s="75">
        <f>VLOOKUP($A131,'Data Vlaue (Cr)'!$C:$FB,5)</f>
        <v>680.55</v>
      </c>
      <c r="F131" s="75">
        <f t="shared" si="6"/>
        <v>0.79999999999995453</v>
      </c>
      <c r="G131" s="75">
        <f t="shared" si="7"/>
        <v>-2.6625433700407268</v>
      </c>
      <c r="H131" s="75">
        <f>VLOOKUP($A131,'Data Vlaue (Cr)'!$C:$FB,99)</f>
        <v>2262</v>
      </c>
      <c r="I131" s="75">
        <f>VLOOKUP($A131,'Data Vlaue (Cr)'!$C:$FB,100)</f>
        <v>2234</v>
      </c>
      <c r="J131" s="75">
        <f t="shared" si="8"/>
        <v>28</v>
      </c>
      <c r="K131" s="75">
        <f t="shared" si="9"/>
        <v>1.237842617152962</v>
      </c>
      <c r="L131" s="75">
        <f>VLOOKUP($A131,'Data Vlaue (Cr)'!$C:$FB,67)</f>
        <v>986</v>
      </c>
      <c r="M131" s="75">
        <f>VLOOKUP($A131,'Data Vlaue (Cr)'!$C:$FB,68)</f>
        <v>497</v>
      </c>
      <c r="N131" s="75">
        <f t="shared" si="10"/>
        <v>489</v>
      </c>
      <c r="O131" s="75">
        <f t="shared" si="11"/>
        <v>49.594320486815413</v>
      </c>
      <c r="P131" s="75">
        <f>VLOOKUP($A131,'Data Vlaue (Cr)'!$C:$FB,119)</f>
        <v>0.41</v>
      </c>
      <c r="Q131" s="75">
        <f>VLOOKUP($A131,'Data Vlaue (Cr)'!$C:$FB,122)*100</f>
        <v>-2.3800000000000003</v>
      </c>
      <c r="R131" s="75">
        <f>VLOOKUP($A131,'Data Vlaue (Cr)'!$C:$FB,125)</f>
        <v>0.44</v>
      </c>
      <c r="S131" s="75">
        <f>VLOOKUP($A131,'Data Vlaue (Cr)'!$C:$FB,128)*100</f>
        <v>10</v>
      </c>
    </row>
    <row r="132" spans="1:19" x14ac:dyDescent="0.25">
      <c r="A132" s="96" t="str">
        <f>'Data Vlaue (Cr)'!C123</f>
        <v>KALYANKJIL</v>
      </c>
      <c r="B132" s="75">
        <f>VLOOKUP($A132,'Data Vlaue (Cr)'!$C:$FB,2)</f>
        <v>1175</v>
      </c>
      <c r="C132" s="75">
        <f>VLOOKUP($A132,'Data Vlaue (Cr)'!$C:$FB,8)</f>
        <v>593.04999999999995</v>
      </c>
      <c r="D132" s="75">
        <f>VLOOKUP($A132,'Data Vlaue (Cr)'!$C:$FB,4)</f>
        <v>595.1</v>
      </c>
      <c r="E132" s="75">
        <f>VLOOKUP($A132,'Data Vlaue (Cr)'!$C:$FB,5)</f>
        <v>592.65</v>
      </c>
      <c r="F132" s="75">
        <f t="shared" si="6"/>
        <v>2.0500000000000682</v>
      </c>
      <c r="G132" s="75">
        <f t="shared" si="7"/>
        <v>0.41169551335910692</v>
      </c>
      <c r="H132" s="75">
        <f>VLOOKUP($A132,'Data Vlaue (Cr)'!$C:$FB,99)</f>
        <v>1905</v>
      </c>
      <c r="I132" s="75">
        <f>VLOOKUP($A132,'Data Vlaue (Cr)'!$C:$FB,100)</f>
        <v>1942</v>
      </c>
      <c r="J132" s="75">
        <f t="shared" si="8"/>
        <v>-37</v>
      </c>
      <c r="K132" s="75">
        <f t="shared" si="9"/>
        <v>-1.9422572178477691</v>
      </c>
      <c r="L132" s="75">
        <f>VLOOKUP($A132,'Data Vlaue (Cr)'!$C:$FB,67)</f>
        <v>600</v>
      </c>
      <c r="M132" s="75">
        <f>VLOOKUP($A132,'Data Vlaue (Cr)'!$C:$FB,68)</f>
        <v>901</v>
      </c>
      <c r="N132" s="75">
        <f t="shared" si="10"/>
        <v>-301</v>
      </c>
      <c r="O132" s="75">
        <f t="shared" si="11"/>
        <v>-50.166666666666671</v>
      </c>
      <c r="P132" s="75">
        <f>VLOOKUP($A132,'Data Vlaue (Cr)'!$C:$FB,119)</f>
        <v>0.67</v>
      </c>
      <c r="Q132" s="75">
        <f>VLOOKUP($A132,'Data Vlaue (Cr)'!$C:$FB,122)*100</f>
        <v>3.08</v>
      </c>
      <c r="R132" s="75">
        <f>VLOOKUP($A132,'Data Vlaue (Cr)'!$C:$FB,125)</f>
        <v>0.38</v>
      </c>
      <c r="S132" s="75">
        <f>VLOOKUP($A132,'Data Vlaue (Cr)'!$C:$FB,128)*100</f>
        <v>-2.56</v>
      </c>
    </row>
    <row r="133" spans="1:19" x14ac:dyDescent="0.25">
      <c r="A133" s="96" t="str">
        <f>'Data Vlaue (Cr)'!C124</f>
        <v>KAYNES</v>
      </c>
      <c r="B133" s="75">
        <f>VLOOKUP($A133,'Data Vlaue (Cr)'!$C:$FB,2)</f>
        <v>100</v>
      </c>
      <c r="C133" s="75">
        <f>VLOOKUP($A133,'Data Vlaue (Cr)'!$C:$FB,8)</f>
        <v>5783</v>
      </c>
      <c r="D133" s="75">
        <f>VLOOKUP($A133,'Data Vlaue (Cr)'!$C:$FB,4)</f>
        <v>5797</v>
      </c>
      <c r="E133" s="75">
        <f>VLOOKUP($A133,'Data Vlaue (Cr)'!$C:$FB,5)</f>
        <v>5919.5</v>
      </c>
      <c r="F133" s="75">
        <f t="shared" si="6"/>
        <v>14</v>
      </c>
      <c r="G133" s="75">
        <f t="shared" si="7"/>
        <v>-2.113161980334656</v>
      </c>
      <c r="H133" s="75">
        <f>VLOOKUP($A133,'Data Vlaue (Cr)'!$C:$FB,99)</f>
        <v>852</v>
      </c>
      <c r="I133" s="75">
        <f>VLOOKUP($A133,'Data Vlaue (Cr)'!$C:$FB,100)</f>
        <v>844</v>
      </c>
      <c r="J133" s="75">
        <f t="shared" si="8"/>
        <v>8</v>
      </c>
      <c r="K133" s="75">
        <f t="shared" si="9"/>
        <v>0.93896713615023475</v>
      </c>
      <c r="L133" s="75">
        <f>VLOOKUP($A133,'Data Vlaue (Cr)'!$C:$FB,67)</f>
        <v>355</v>
      </c>
      <c r="M133" s="75">
        <f>VLOOKUP($A133,'Data Vlaue (Cr)'!$C:$FB,68)</f>
        <v>442</v>
      </c>
      <c r="N133" s="75">
        <f t="shared" si="10"/>
        <v>-87</v>
      </c>
      <c r="O133" s="75">
        <f t="shared" si="11"/>
        <v>-24.507042253521128</v>
      </c>
      <c r="P133" s="75">
        <f>VLOOKUP($A133,'Data Vlaue (Cr)'!$C:$FB,119)</f>
        <v>0.42</v>
      </c>
      <c r="Q133" s="75">
        <f>VLOOKUP($A133,'Data Vlaue (Cr)'!$C:$FB,122)*100</f>
        <v>0</v>
      </c>
      <c r="R133" s="75">
        <f>VLOOKUP($A133,'Data Vlaue (Cr)'!$C:$FB,125)</f>
        <v>0.21</v>
      </c>
      <c r="S133" s="75">
        <f>VLOOKUP($A133,'Data Vlaue (Cr)'!$C:$FB,128)*100</f>
        <v>5</v>
      </c>
    </row>
    <row r="134" spans="1:19" x14ac:dyDescent="0.25">
      <c r="A134" s="96" t="str">
        <f>'Data Vlaue (Cr)'!C125</f>
        <v>KEI</v>
      </c>
      <c r="B134" s="75">
        <f>VLOOKUP($A134,'Data Vlaue (Cr)'!$C:$FB,2)</f>
        <v>175</v>
      </c>
      <c r="C134" s="75">
        <f>VLOOKUP($A134,'Data Vlaue (Cr)'!$C:$FB,8)</f>
        <v>3990.3</v>
      </c>
      <c r="D134" s="75">
        <f>VLOOKUP($A134,'Data Vlaue (Cr)'!$C:$FB,4)</f>
        <v>3992.5</v>
      </c>
      <c r="E134" s="75">
        <f>VLOOKUP($A134,'Data Vlaue (Cr)'!$C:$FB,5)</f>
        <v>3978</v>
      </c>
      <c r="F134" s="75">
        <f t="shared" si="6"/>
        <v>2.1999999999998181</v>
      </c>
      <c r="G134" s="75">
        <f t="shared" si="7"/>
        <v>0.36318096430807761</v>
      </c>
      <c r="H134" s="75">
        <f>VLOOKUP($A134,'Data Vlaue (Cr)'!$C:$FB,99)</f>
        <v>1002</v>
      </c>
      <c r="I134" s="75">
        <f>VLOOKUP($A134,'Data Vlaue (Cr)'!$C:$FB,100)</f>
        <v>873</v>
      </c>
      <c r="J134" s="75">
        <f t="shared" si="8"/>
        <v>129</v>
      </c>
      <c r="K134" s="75">
        <f t="shared" si="9"/>
        <v>12.874251497005988</v>
      </c>
      <c r="L134" s="75">
        <f>VLOOKUP($A134,'Data Vlaue (Cr)'!$C:$FB,67)</f>
        <v>1629</v>
      </c>
      <c r="M134" s="75">
        <f>VLOOKUP($A134,'Data Vlaue (Cr)'!$C:$FB,68)</f>
        <v>848</v>
      </c>
      <c r="N134" s="75">
        <f t="shared" si="10"/>
        <v>781</v>
      </c>
      <c r="O134" s="75">
        <f t="shared" si="11"/>
        <v>47.943523634131367</v>
      </c>
      <c r="P134" s="75">
        <f>VLOOKUP($A134,'Data Vlaue (Cr)'!$C:$FB,119)</f>
        <v>0.62</v>
      </c>
      <c r="Q134" s="75">
        <f>VLOOKUP($A134,'Data Vlaue (Cr)'!$C:$FB,122)*100</f>
        <v>-1.59</v>
      </c>
      <c r="R134" s="75">
        <f>VLOOKUP($A134,'Data Vlaue (Cr)'!$C:$FB,125)</f>
        <v>0.34</v>
      </c>
      <c r="S134" s="75">
        <f>VLOOKUP($A134,'Data Vlaue (Cr)'!$C:$FB,128)*100</f>
        <v>-10.530000000000001</v>
      </c>
    </row>
    <row r="135" spans="1:19" x14ac:dyDescent="0.25">
      <c r="A135" s="96" t="str">
        <f>'Data Vlaue (Cr)'!C126</f>
        <v>KFINTECH</v>
      </c>
      <c r="B135" s="75">
        <f>VLOOKUP($A135,'Data Vlaue (Cr)'!$C:$FB,2)</f>
        <v>450</v>
      </c>
      <c r="C135" s="75">
        <f>VLOOKUP($A135,'Data Vlaue (Cr)'!$C:$FB,8)</f>
        <v>1282.4000000000001</v>
      </c>
      <c r="D135" s="75">
        <f>VLOOKUP($A135,'Data Vlaue (Cr)'!$C:$FB,4)</f>
        <v>1283.0999999999999</v>
      </c>
      <c r="E135" s="75">
        <f>VLOOKUP($A135,'Data Vlaue (Cr)'!$C:$FB,5)</f>
        <v>1276.5</v>
      </c>
      <c r="F135" s="75">
        <f t="shared" si="6"/>
        <v>0.6999999999998181</v>
      </c>
      <c r="G135" s="75">
        <f t="shared" si="7"/>
        <v>0.51437923778348604</v>
      </c>
      <c r="H135" s="75">
        <f>VLOOKUP($A135,'Data Vlaue (Cr)'!$C:$FB,99)</f>
        <v>287</v>
      </c>
      <c r="I135" s="75">
        <f>VLOOKUP($A135,'Data Vlaue (Cr)'!$C:$FB,100)</f>
        <v>300</v>
      </c>
      <c r="J135" s="75">
        <f t="shared" si="8"/>
        <v>-13</v>
      </c>
      <c r="K135" s="75">
        <f t="shared" si="9"/>
        <v>-4.529616724738676</v>
      </c>
      <c r="L135" s="75">
        <f>VLOOKUP($A135,'Data Vlaue (Cr)'!$C:$FB,67)</f>
        <v>150</v>
      </c>
      <c r="M135" s="75">
        <f>VLOOKUP($A135,'Data Vlaue (Cr)'!$C:$FB,68)</f>
        <v>129</v>
      </c>
      <c r="N135" s="75">
        <f t="shared" si="10"/>
        <v>21</v>
      </c>
      <c r="O135" s="75">
        <f t="shared" si="11"/>
        <v>14.000000000000002</v>
      </c>
      <c r="P135" s="75">
        <f>VLOOKUP($A135,'Data Vlaue (Cr)'!$C:$FB,119)</f>
        <v>0.34</v>
      </c>
      <c r="Q135" s="75">
        <f>VLOOKUP($A135,'Data Vlaue (Cr)'!$C:$FB,122)*100</f>
        <v>-8.1100000000000012</v>
      </c>
      <c r="R135" s="75">
        <f>VLOOKUP($A135,'Data Vlaue (Cr)'!$C:$FB,125)</f>
        <v>0.18</v>
      </c>
      <c r="S135" s="75">
        <f>VLOOKUP($A135,'Data Vlaue (Cr)'!$C:$FB,128)*100</f>
        <v>-21.740000000000002</v>
      </c>
    </row>
    <row r="136" spans="1:19" x14ac:dyDescent="0.25">
      <c r="A136" s="96" t="str">
        <f>'Data Vlaue (Cr)'!C127</f>
        <v>KOTAKBANK</v>
      </c>
      <c r="B136" s="75">
        <f>VLOOKUP($A136,'Data Vlaue (Cr)'!$C:$FB,2)</f>
        <v>400</v>
      </c>
      <c r="C136" s="75">
        <f>VLOOKUP($A136,'Data Vlaue (Cr)'!$C:$FB,8)</f>
        <v>2160.1999999999998</v>
      </c>
      <c r="D136" s="75">
        <f>VLOOKUP($A136,'Data Vlaue (Cr)'!$C:$FB,4)</f>
        <v>2161.8000000000002</v>
      </c>
      <c r="E136" s="75">
        <f>VLOOKUP($A136,'Data Vlaue (Cr)'!$C:$FB,5)</f>
        <v>2166.8000000000002</v>
      </c>
      <c r="F136" s="75">
        <f t="shared" si="6"/>
        <v>1.6000000000003638</v>
      </c>
      <c r="G136" s="75">
        <f t="shared" si="7"/>
        <v>-0.23128874086409471</v>
      </c>
      <c r="H136" s="75">
        <f>VLOOKUP($A136,'Data Vlaue (Cr)'!$C:$FB,99)</f>
        <v>10541</v>
      </c>
      <c r="I136" s="75">
        <f>VLOOKUP($A136,'Data Vlaue (Cr)'!$C:$FB,100)</f>
        <v>10437</v>
      </c>
      <c r="J136" s="75">
        <f t="shared" si="8"/>
        <v>104</v>
      </c>
      <c r="K136" s="75">
        <f t="shared" si="9"/>
        <v>0.98662365999430801</v>
      </c>
      <c r="L136" s="75">
        <f>VLOOKUP($A136,'Data Vlaue (Cr)'!$C:$FB,67)</f>
        <v>2765</v>
      </c>
      <c r="M136" s="75">
        <f>VLOOKUP($A136,'Data Vlaue (Cr)'!$C:$FB,68)</f>
        <v>4106</v>
      </c>
      <c r="N136" s="75">
        <f t="shared" si="10"/>
        <v>-1341</v>
      </c>
      <c r="O136" s="75">
        <f t="shared" si="11"/>
        <v>-48.499095840867994</v>
      </c>
      <c r="P136" s="75">
        <f>VLOOKUP($A136,'Data Vlaue (Cr)'!$C:$FB,119)</f>
        <v>0.82</v>
      </c>
      <c r="Q136" s="75">
        <f>VLOOKUP($A136,'Data Vlaue (Cr)'!$C:$FB,122)*100</f>
        <v>-1.2</v>
      </c>
      <c r="R136" s="75">
        <f>VLOOKUP($A136,'Data Vlaue (Cr)'!$C:$FB,125)</f>
        <v>0.61</v>
      </c>
      <c r="S136" s="75">
        <f>VLOOKUP($A136,'Data Vlaue (Cr)'!$C:$FB,128)*100</f>
        <v>8.93</v>
      </c>
    </row>
    <row r="137" spans="1:19" x14ac:dyDescent="0.25">
      <c r="A137" s="96" t="str">
        <f>'Data Vlaue (Cr)'!C128</f>
        <v>KPITTECH</v>
      </c>
      <c r="B137" s="75">
        <f>VLOOKUP($A137,'Data Vlaue (Cr)'!$C:$FB,2)</f>
        <v>400</v>
      </c>
      <c r="C137" s="75">
        <f>VLOOKUP($A137,'Data Vlaue (Cr)'!$C:$FB,8)</f>
        <v>1256</v>
      </c>
      <c r="D137" s="75">
        <f>VLOOKUP($A137,'Data Vlaue (Cr)'!$C:$FB,4)</f>
        <v>1252.5999999999999</v>
      </c>
      <c r="E137" s="75">
        <f>VLOOKUP($A137,'Data Vlaue (Cr)'!$C:$FB,5)</f>
        <v>1263.9000000000001</v>
      </c>
      <c r="F137" s="75">
        <f t="shared" si="6"/>
        <v>-3.4000000000000909</v>
      </c>
      <c r="G137" s="75">
        <f t="shared" si="7"/>
        <v>-0.90212358294748385</v>
      </c>
      <c r="H137" s="75">
        <f>VLOOKUP($A137,'Data Vlaue (Cr)'!$C:$FB,99)</f>
        <v>1335</v>
      </c>
      <c r="I137" s="75">
        <f>VLOOKUP($A137,'Data Vlaue (Cr)'!$C:$FB,100)</f>
        <v>1309</v>
      </c>
      <c r="J137" s="75">
        <f t="shared" si="8"/>
        <v>26</v>
      </c>
      <c r="K137" s="75">
        <f t="shared" si="9"/>
        <v>1.9475655430711609</v>
      </c>
      <c r="L137" s="75">
        <f>VLOOKUP($A137,'Data Vlaue (Cr)'!$C:$FB,67)</f>
        <v>242</v>
      </c>
      <c r="M137" s="75">
        <f>VLOOKUP($A137,'Data Vlaue (Cr)'!$C:$FB,68)</f>
        <v>289</v>
      </c>
      <c r="N137" s="75">
        <f t="shared" si="10"/>
        <v>-47</v>
      </c>
      <c r="O137" s="75">
        <f t="shared" si="11"/>
        <v>-19.421487603305785</v>
      </c>
      <c r="P137" s="75">
        <f>VLOOKUP($A137,'Data Vlaue (Cr)'!$C:$FB,119)</f>
        <v>0.67</v>
      </c>
      <c r="Q137" s="75">
        <f>VLOOKUP($A137,'Data Vlaue (Cr)'!$C:$FB,122)*100</f>
        <v>4.6899999999999995</v>
      </c>
      <c r="R137" s="75">
        <f>VLOOKUP($A137,'Data Vlaue (Cr)'!$C:$FB,125)</f>
        <v>0.47</v>
      </c>
      <c r="S137" s="75">
        <f>VLOOKUP($A137,'Data Vlaue (Cr)'!$C:$FB,128)*100</f>
        <v>62.07</v>
      </c>
    </row>
    <row r="138" spans="1:19" x14ac:dyDescent="0.25">
      <c r="A138" s="96" t="str">
        <f>'Data Vlaue (Cr)'!C129</f>
        <v>LAURUSLABS</v>
      </c>
      <c r="B138" s="75">
        <f>VLOOKUP($A138,'Data Vlaue (Cr)'!$C:$FB,2)</f>
        <v>1700</v>
      </c>
      <c r="C138" s="75">
        <f>VLOOKUP($A138,'Data Vlaue (Cr)'!$C:$FB,8)</f>
        <v>823.35</v>
      </c>
      <c r="D138" s="75">
        <f>VLOOKUP($A138,'Data Vlaue (Cr)'!$C:$FB,4)</f>
        <v>824.75</v>
      </c>
      <c r="E138" s="75">
        <f>VLOOKUP($A138,'Data Vlaue (Cr)'!$C:$FB,5)</f>
        <v>830.25</v>
      </c>
      <c r="F138" s="75">
        <f t="shared" si="6"/>
        <v>1.3999999999999773</v>
      </c>
      <c r="G138" s="75">
        <f t="shared" si="7"/>
        <v>-0.66686874810548646</v>
      </c>
      <c r="H138" s="75">
        <f>VLOOKUP($A138,'Data Vlaue (Cr)'!$C:$FB,99)</f>
        <v>4740</v>
      </c>
      <c r="I138" s="75">
        <f>VLOOKUP($A138,'Data Vlaue (Cr)'!$C:$FB,100)</f>
        <v>4763</v>
      </c>
      <c r="J138" s="75">
        <f t="shared" si="8"/>
        <v>-23</v>
      </c>
      <c r="K138" s="75">
        <f t="shared" si="9"/>
        <v>-0.48523206751054859</v>
      </c>
      <c r="L138" s="75">
        <f>VLOOKUP($A138,'Data Vlaue (Cr)'!$C:$FB,67)</f>
        <v>1454</v>
      </c>
      <c r="M138" s="75">
        <f>VLOOKUP($A138,'Data Vlaue (Cr)'!$C:$FB,68)</f>
        <v>1496</v>
      </c>
      <c r="N138" s="75">
        <f t="shared" si="10"/>
        <v>-42</v>
      </c>
      <c r="O138" s="75">
        <f t="shared" si="11"/>
        <v>-2.8885832187070153</v>
      </c>
      <c r="P138" s="75">
        <f>VLOOKUP($A138,'Data Vlaue (Cr)'!$C:$FB,119)</f>
        <v>1.1599999999999999</v>
      </c>
      <c r="Q138" s="75">
        <f>VLOOKUP($A138,'Data Vlaue (Cr)'!$C:$FB,122)*100</f>
        <v>0</v>
      </c>
      <c r="R138" s="75">
        <f>VLOOKUP($A138,'Data Vlaue (Cr)'!$C:$FB,125)</f>
        <v>0.79</v>
      </c>
      <c r="S138" s="75">
        <f>VLOOKUP($A138,'Data Vlaue (Cr)'!$C:$FB,128)*100</f>
        <v>-5.9499999999999993</v>
      </c>
    </row>
    <row r="139" spans="1:19" x14ac:dyDescent="0.25">
      <c r="A139" s="96" t="str">
        <f>'Data Vlaue (Cr)'!C130</f>
        <v>LICHSGFIN</v>
      </c>
      <c r="B139" s="75">
        <f>VLOOKUP($A139,'Data Vlaue (Cr)'!$C:$FB,2)</f>
        <v>1000</v>
      </c>
      <c r="C139" s="75">
        <f>VLOOKUP($A139,'Data Vlaue (Cr)'!$C:$FB,8)</f>
        <v>620.20000000000005</v>
      </c>
      <c r="D139" s="75">
        <f>VLOOKUP($A139,'Data Vlaue (Cr)'!$C:$FB,4)</f>
        <v>621.9</v>
      </c>
      <c r="E139" s="75">
        <f>VLOOKUP($A139,'Data Vlaue (Cr)'!$C:$FB,5)</f>
        <v>625.79999999999995</v>
      </c>
      <c r="F139" s="75">
        <f t="shared" si="6"/>
        <v>1.6999999999999318</v>
      </c>
      <c r="G139" s="75">
        <f t="shared" si="7"/>
        <v>-0.62711046792088398</v>
      </c>
      <c r="H139" s="75">
        <f>VLOOKUP($A139,'Data Vlaue (Cr)'!$C:$FB,99)</f>
        <v>2724</v>
      </c>
      <c r="I139" s="75">
        <f>VLOOKUP($A139,'Data Vlaue (Cr)'!$C:$FB,100)</f>
        <v>2683</v>
      </c>
      <c r="J139" s="75">
        <f t="shared" si="8"/>
        <v>41</v>
      </c>
      <c r="K139" s="75">
        <f t="shared" si="9"/>
        <v>1.5051395007342145</v>
      </c>
      <c r="L139" s="75">
        <f>VLOOKUP($A139,'Data Vlaue (Cr)'!$C:$FB,67)</f>
        <v>1046</v>
      </c>
      <c r="M139" s="75">
        <f>VLOOKUP($A139,'Data Vlaue (Cr)'!$C:$FB,68)</f>
        <v>1063</v>
      </c>
      <c r="N139" s="75">
        <f t="shared" si="10"/>
        <v>-17</v>
      </c>
      <c r="O139" s="75">
        <f t="shared" si="11"/>
        <v>-1.6252390057361379</v>
      </c>
      <c r="P139" s="75">
        <f>VLOOKUP($A139,'Data Vlaue (Cr)'!$C:$FB,119)</f>
        <v>0.85</v>
      </c>
      <c r="Q139" s="75">
        <f>VLOOKUP($A139,'Data Vlaue (Cr)'!$C:$FB,122)*100</f>
        <v>-3.4099999999999997</v>
      </c>
      <c r="R139" s="75">
        <f>VLOOKUP($A139,'Data Vlaue (Cr)'!$C:$FB,125)</f>
        <v>0.32</v>
      </c>
      <c r="S139" s="75">
        <f>VLOOKUP($A139,'Data Vlaue (Cr)'!$C:$FB,128)*100</f>
        <v>-5.88</v>
      </c>
    </row>
    <row r="140" spans="1:19" x14ac:dyDescent="0.25">
      <c r="A140" s="96" t="str">
        <f>'Data Vlaue (Cr)'!C131</f>
        <v>LICI</v>
      </c>
      <c r="B140" s="75">
        <f>VLOOKUP($A140,'Data Vlaue (Cr)'!$C:$FB,2)</f>
        <v>700</v>
      </c>
      <c r="C140" s="75">
        <f>VLOOKUP($A140,'Data Vlaue (Cr)'!$C:$FB,8)</f>
        <v>919.05</v>
      </c>
      <c r="D140" s="75">
        <f>VLOOKUP($A140,'Data Vlaue (Cr)'!$C:$FB,4)</f>
        <v>908.2</v>
      </c>
      <c r="E140" s="75">
        <f>VLOOKUP($A140,'Data Vlaue (Cr)'!$C:$FB,5)</f>
        <v>916.8</v>
      </c>
      <c r="F140" s="75">
        <f t="shared" ref="F140:F176" si="12">D140-C140</f>
        <v>-10.849999999999909</v>
      </c>
      <c r="G140" s="75">
        <f t="shared" ref="G140:G176" si="13">(D140-E140)/D140*100</f>
        <v>-0.94692798942963097</v>
      </c>
      <c r="H140" s="75">
        <f>VLOOKUP($A140,'Data Vlaue (Cr)'!$C:$FB,99)</f>
        <v>1485</v>
      </c>
      <c r="I140" s="75">
        <f>VLOOKUP($A140,'Data Vlaue (Cr)'!$C:$FB,100)</f>
        <v>1474</v>
      </c>
      <c r="J140" s="75">
        <f t="shared" ref="J140:J176" si="14">H140-I140</f>
        <v>11</v>
      </c>
      <c r="K140" s="75">
        <f t="shared" ref="K140:K176" si="15">J140/H140*100</f>
        <v>0.74074074074074081</v>
      </c>
      <c r="L140" s="75">
        <f>VLOOKUP($A140,'Data Vlaue (Cr)'!$C:$FB,67)</f>
        <v>394</v>
      </c>
      <c r="M140" s="75">
        <f>VLOOKUP($A140,'Data Vlaue (Cr)'!$C:$FB,68)</f>
        <v>339</v>
      </c>
      <c r="N140" s="75">
        <f t="shared" ref="N140:N176" si="16">L140-M140</f>
        <v>55</v>
      </c>
      <c r="O140" s="75">
        <f t="shared" ref="O140:O176" si="17">N140/L140*100</f>
        <v>13.959390862944163</v>
      </c>
      <c r="P140" s="75">
        <f>VLOOKUP($A140,'Data Vlaue (Cr)'!$C:$FB,119)</f>
        <v>0.46</v>
      </c>
      <c r="Q140" s="75">
        <f>VLOOKUP($A140,'Data Vlaue (Cr)'!$C:$FB,122)*100</f>
        <v>2.2200000000000002</v>
      </c>
      <c r="R140" s="75">
        <f>VLOOKUP($A140,'Data Vlaue (Cr)'!$C:$FB,125)</f>
        <v>0.28000000000000003</v>
      </c>
      <c r="S140" s="75">
        <f>VLOOKUP($A140,'Data Vlaue (Cr)'!$C:$FB,128)*100</f>
        <v>-6.67</v>
      </c>
    </row>
    <row r="141" spans="1:19" x14ac:dyDescent="0.25">
      <c r="A141" s="96" t="str">
        <f>'Data Vlaue (Cr)'!C132</f>
        <v>LODHA</v>
      </c>
      <c r="B141" s="75">
        <f>VLOOKUP($A141,'Data Vlaue (Cr)'!$C:$FB,2)</f>
        <v>450</v>
      </c>
      <c r="C141" s="75">
        <f>VLOOKUP($A141,'Data Vlaue (Cr)'!$C:$FB,8)</f>
        <v>1442.3</v>
      </c>
      <c r="D141" s="75">
        <f>VLOOKUP($A141,'Data Vlaue (Cr)'!$C:$FB,4)</f>
        <v>1443</v>
      </c>
      <c r="E141" s="75">
        <f>VLOOKUP($A141,'Data Vlaue (Cr)'!$C:$FB,5)</f>
        <v>1452.5</v>
      </c>
      <c r="F141" s="75">
        <f t="shared" si="12"/>
        <v>0.70000000000004547</v>
      </c>
      <c r="G141" s="75">
        <f t="shared" si="13"/>
        <v>-0.65835065835065831</v>
      </c>
      <c r="H141" s="75">
        <f>VLOOKUP($A141,'Data Vlaue (Cr)'!$C:$FB,99)</f>
        <v>1158</v>
      </c>
      <c r="I141" s="75">
        <f>VLOOKUP($A141,'Data Vlaue (Cr)'!$C:$FB,100)</f>
        <v>1145</v>
      </c>
      <c r="J141" s="75">
        <f t="shared" si="14"/>
        <v>13</v>
      </c>
      <c r="K141" s="75">
        <f t="shared" si="15"/>
        <v>1.1226252158894647</v>
      </c>
      <c r="L141" s="75">
        <f>VLOOKUP($A141,'Data Vlaue (Cr)'!$C:$FB,67)</f>
        <v>331</v>
      </c>
      <c r="M141" s="75">
        <f>VLOOKUP($A141,'Data Vlaue (Cr)'!$C:$FB,68)</f>
        <v>274</v>
      </c>
      <c r="N141" s="75">
        <f t="shared" si="16"/>
        <v>57</v>
      </c>
      <c r="O141" s="75">
        <f t="shared" si="17"/>
        <v>17.220543806646525</v>
      </c>
      <c r="P141" s="75">
        <f>VLOOKUP($A141,'Data Vlaue (Cr)'!$C:$FB,119)</f>
        <v>0.67</v>
      </c>
      <c r="Q141" s="75">
        <f>VLOOKUP($A141,'Data Vlaue (Cr)'!$C:$FB,122)*100</f>
        <v>-8.2199999999999989</v>
      </c>
      <c r="R141" s="75">
        <f>VLOOKUP($A141,'Data Vlaue (Cr)'!$C:$FB,125)</f>
        <v>0.4</v>
      </c>
      <c r="S141" s="75">
        <f>VLOOKUP($A141,'Data Vlaue (Cr)'!$C:$FB,128)*100</f>
        <v>-25.929999999999996</v>
      </c>
    </row>
    <row r="142" spans="1:19" x14ac:dyDescent="0.25">
      <c r="A142" s="96" t="str">
        <f>'Data Vlaue (Cr)'!C133</f>
        <v>LT</v>
      </c>
      <c r="B142" s="75">
        <f>VLOOKUP($A142,'Data Vlaue (Cr)'!$C:$FB,2)</f>
        <v>175</v>
      </c>
      <c r="C142" s="75">
        <f>VLOOKUP($A142,'Data Vlaue (Cr)'!$C:$FB,8)</f>
        <v>3464.6</v>
      </c>
      <c r="D142" s="75">
        <f>VLOOKUP($A142,'Data Vlaue (Cr)'!$C:$FB,4)</f>
        <v>3475.2</v>
      </c>
      <c r="E142" s="75">
        <f>VLOOKUP($A142,'Data Vlaue (Cr)'!$C:$FB,5)</f>
        <v>3510</v>
      </c>
      <c r="F142" s="75">
        <f t="shared" si="12"/>
        <v>10.599999999999909</v>
      </c>
      <c r="G142" s="75">
        <f t="shared" si="13"/>
        <v>-1.0013812154696184</v>
      </c>
      <c r="H142" s="75">
        <f>VLOOKUP($A142,'Data Vlaue (Cr)'!$C:$FB,99)</f>
        <v>10663</v>
      </c>
      <c r="I142" s="75">
        <f>VLOOKUP($A142,'Data Vlaue (Cr)'!$C:$FB,100)</f>
        <v>10455</v>
      </c>
      <c r="J142" s="75">
        <f t="shared" si="14"/>
        <v>208</v>
      </c>
      <c r="K142" s="75">
        <f t="shared" si="15"/>
        <v>1.950670542999156</v>
      </c>
      <c r="L142" s="75">
        <f>VLOOKUP($A142,'Data Vlaue (Cr)'!$C:$FB,67)</f>
        <v>3280</v>
      </c>
      <c r="M142" s="75">
        <f>VLOOKUP($A142,'Data Vlaue (Cr)'!$C:$FB,68)</f>
        <v>3790</v>
      </c>
      <c r="N142" s="75">
        <f t="shared" si="16"/>
        <v>-510</v>
      </c>
      <c r="O142" s="75">
        <f t="shared" si="17"/>
        <v>-15.548780487804878</v>
      </c>
      <c r="P142" s="75">
        <f>VLOOKUP($A142,'Data Vlaue (Cr)'!$C:$FB,119)</f>
        <v>0.39</v>
      </c>
      <c r="Q142" s="75">
        <f>VLOOKUP($A142,'Data Vlaue (Cr)'!$C:$FB,122)*100</f>
        <v>2.63</v>
      </c>
      <c r="R142" s="75">
        <f>VLOOKUP($A142,'Data Vlaue (Cr)'!$C:$FB,125)</f>
        <v>0.27</v>
      </c>
      <c r="S142" s="75">
        <f>VLOOKUP($A142,'Data Vlaue (Cr)'!$C:$FB,128)*100</f>
        <v>-18.18</v>
      </c>
    </row>
    <row r="143" spans="1:19" x14ac:dyDescent="0.25">
      <c r="A143" s="96" t="str">
        <f>'Data Vlaue (Cr)'!C134</f>
        <v>LTF</v>
      </c>
      <c r="B143" s="75">
        <f>VLOOKUP($A143,'Data Vlaue (Cr)'!$C:$FB,2)</f>
        <v>4462</v>
      </c>
      <c r="C143" s="75">
        <f>VLOOKUP($A143,'Data Vlaue (Cr)'!$C:$FB,8)</f>
        <v>209.21</v>
      </c>
      <c r="D143" s="75">
        <f>VLOOKUP($A143,'Data Vlaue (Cr)'!$C:$FB,4)</f>
        <v>209.42</v>
      </c>
      <c r="E143" s="75">
        <f>VLOOKUP($A143,'Data Vlaue (Cr)'!$C:$FB,5)</f>
        <v>211.4</v>
      </c>
      <c r="F143" s="75">
        <f t="shared" si="12"/>
        <v>0.20999999999997954</v>
      </c>
      <c r="G143" s="75">
        <f t="shared" si="13"/>
        <v>-0.94546843663452318</v>
      </c>
      <c r="H143" s="75">
        <f>VLOOKUP($A143,'Data Vlaue (Cr)'!$C:$FB,99)</f>
        <v>2765</v>
      </c>
      <c r="I143" s="75">
        <f>VLOOKUP($A143,'Data Vlaue (Cr)'!$C:$FB,100)</f>
        <v>2833</v>
      </c>
      <c r="J143" s="75">
        <f t="shared" si="14"/>
        <v>-68</v>
      </c>
      <c r="K143" s="75"/>
      <c r="L143" s="75">
        <f>VLOOKUP($A143,'Data Vlaue (Cr)'!$C:$FB,67)</f>
        <v>3135</v>
      </c>
      <c r="M143" s="75">
        <f>VLOOKUP($A143,'Data Vlaue (Cr)'!$C:$FB,68)</f>
        <v>7971</v>
      </c>
      <c r="N143" s="75">
        <f t="shared" si="16"/>
        <v>-4836</v>
      </c>
      <c r="O143" s="75">
        <f t="shared" si="17"/>
        <v>-154.25837320574163</v>
      </c>
      <c r="P143" s="75">
        <f>VLOOKUP($A143,'Data Vlaue (Cr)'!$C:$FB,119)</f>
        <v>0.69</v>
      </c>
      <c r="Q143" s="75">
        <f>VLOOKUP($A143,'Data Vlaue (Cr)'!$C:$FB,122)*100</f>
        <v>-13.750000000000002</v>
      </c>
      <c r="R143" s="75">
        <f>VLOOKUP($A143,'Data Vlaue (Cr)'!$C:$FB,125)</f>
        <v>0.52</v>
      </c>
      <c r="S143" s="75">
        <f>VLOOKUP($A143,'Data Vlaue (Cr)'!$C:$FB,128)*100</f>
        <v>-8.77</v>
      </c>
    </row>
    <row r="144" spans="1:19" x14ac:dyDescent="0.25">
      <c r="A144" s="96" t="str">
        <f>'Data Vlaue (Cr)'!C135</f>
        <v>LTIM</v>
      </c>
      <c r="B144" s="75">
        <f>VLOOKUP($A144,'Data Vlaue (Cr)'!$C:$FB,2)</f>
        <v>150</v>
      </c>
      <c r="C144" s="75">
        <f>VLOOKUP($A144,'Data Vlaue (Cr)'!$C:$FB,8)</f>
        <v>5175.5</v>
      </c>
      <c r="D144" s="75">
        <f>VLOOKUP($A144,'Data Vlaue (Cr)'!$C:$FB,4)</f>
        <v>5179</v>
      </c>
      <c r="E144" s="75">
        <f>VLOOKUP($A144,'Data Vlaue (Cr)'!$C:$FB,5)</f>
        <v>5149.5</v>
      </c>
      <c r="F144" s="75">
        <f t="shared" si="12"/>
        <v>3.5</v>
      </c>
      <c r="G144" s="75">
        <f t="shared" si="13"/>
        <v>0.56960803243869473</v>
      </c>
      <c r="H144" s="75">
        <f>VLOOKUP($A144,'Data Vlaue (Cr)'!$C:$FB,99)</f>
        <v>2479</v>
      </c>
      <c r="I144" s="75">
        <f>VLOOKUP($A144,'Data Vlaue (Cr)'!$C:$FB,100)</f>
        <v>2658</v>
      </c>
      <c r="J144" s="75">
        <f t="shared" si="14"/>
        <v>-179</v>
      </c>
      <c r="K144" s="75">
        <f t="shared" si="15"/>
        <v>-7.2206534893102052</v>
      </c>
      <c r="L144" s="75">
        <f>VLOOKUP($A144,'Data Vlaue (Cr)'!$C:$FB,67)</f>
        <v>1214</v>
      </c>
      <c r="M144" s="75">
        <f>VLOOKUP($A144,'Data Vlaue (Cr)'!$C:$FB,68)</f>
        <v>1554</v>
      </c>
      <c r="N144" s="75">
        <f t="shared" si="16"/>
        <v>-340</v>
      </c>
      <c r="O144" s="75">
        <f t="shared" si="17"/>
        <v>-28.006589785831959</v>
      </c>
      <c r="P144" s="75">
        <f>VLOOKUP($A144,'Data Vlaue (Cr)'!$C:$FB,119)</f>
        <v>0.61</v>
      </c>
      <c r="Q144" s="75">
        <f>VLOOKUP($A144,'Data Vlaue (Cr)'!$C:$FB,122)*100</f>
        <v>1.67</v>
      </c>
      <c r="R144" s="75">
        <f>VLOOKUP($A144,'Data Vlaue (Cr)'!$C:$FB,125)</f>
        <v>0.52</v>
      </c>
      <c r="S144" s="75">
        <f>VLOOKUP($A144,'Data Vlaue (Cr)'!$C:$FB,128)*100</f>
        <v>13.04</v>
      </c>
    </row>
    <row r="145" spans="1:19" x14ac:dyDescent="0.25">
      <c r="A145" s="96" t="str">
        <f>'Data Vlaue (Cr)'!C136</f>
        <v>LUPIN</v>
      </c>
      <c r="B145" s="75">
        <f>VLOOKUP($A145,'Data Vlaue (Cr)'!$C:$FB,2)</f>
        <v>425</v>
      </c>
      <c r="C145" s="75">
        <f>VLOOKUP($A145,'Data Vlaue (Cr)'!$C:$FB,8)</f>
        <v>1903.2</v>
      </c>
      <c r="D145" s="75">
        <f>VLOOKUP($A145,'Data Vlaue (Cr)'!$C:$FB,4)</f>
        <v>1895.6</v>
      </c>
      <c r="E145" s="75">
        <f>VLOOKUP($A145,'Data Vlaue (Cr)'!$C:$FB,5)</f>
        <v>1915.3</v>
      </c>
      <c r="F145" s="75">
        <f t="shared" si="12"/>
        <v>-7.6000000000001364</v>
      </c>
      <c r="G145" s="75">
        <f t="shared" si="13"/>
        <v>-1.0392487866638556</v>
      </c>
      <c r="H145" s="75">
        <f>VLOOKUP($A145,'Data Vlaue (Cr)'!$C:$FB,99)</f>
        <v>3543</v>
      </c>
      <c r="I145" s="75">
        <f>VLOOKUP($A145,'Data Vlaue (Cr)'!$C:$FB,100)</f>
        <v>3455</v>
      </c>
      <c r="J145" s="75">
        <f t="shared" si="14"/>
        <v>88</v>
      </c>
      <c r="K145" s="75">
        <f t="shared" si="15"/>
        <v>2.4837708156929157</v>
      </c>
      <c r="L145" s="75">
        <f>VLOOKUP($A145,'Data Vlaue (Cr)'!$C:$FB,67)</f>
        <v>2237</v>
      </c>
      <c r="M145" s="75">
        <f>VLOOKUP($A145,'Data Vlaue (Cr)'!$C:$FB,68)</f>
        <v>572</v>
      </c>
      <c r="N145" s="75">
        <f t="shared" si="16"/>
        <v>1665</v>
      </c>
      <c r="O145" s="75">
        <f t="shared" si="17"/>
        <v>74.430040232454175</v>
      </c>
      <c r="P145" s="75">
        <f>VLOOKUP($A145,'Data Vlaue (Cr)'!$C:$FB,119)</f>
        <v>0.64</v>
      </c>
      <c r="Q145" s="75">
        <f>VLOOKUP($A145,'Data Vlaue (Cr)'!$C:$FB,122)*100</f>
        <v>3.2300000000000004</v>
      </c>
      <c r="R145" s="75">
        <f>VLOOKUP($A145,'Data Vlaue (Cr)'!$C:$FB,125)</f>
        <v>0.6</v>
      </c>
      <c r="S145" s="75">
        <f>VLOOKUP($A145,'Data Vlaue (Cr)'!$C:$FB,128)*100</f>
        <v>76.47</v>
      </c>
    </row>
    <row r="146" spans="1:19" x14ac:dyDescent="0.25">
      <c r="A146" s="96" t="str">
        <f>'Data Vlaue (Cr)'!C137</f>
        <v>M&amp;M</v>
      </c>
      <c r="B146" s="75">
        <f>VLOOKUP($A146,'Data Vlaue (Cr)'!$C:$FB,2)</f>
        <v>200</v>
      </c>
      <c r="C146" s="75">
        <f>VLOOKUP($A146,'Data Vlaue (Cr)'!$C:$FB,8)</f>
        <v>3257.2</v>
      </c>
      <c r="D146" s="75">
        <f>VLOOKUP($A146,'Data Vlaue (Cr)'!$C:$FB,4)</f>
        <v>3261.9</v>
      </c>
      <c r="E146" s="75">
        <f>VLOOKUP($A146,'Data Vlaue (Cr)'!$C:$FB,5)</f>
        <v>3251.1</v>
      </c>
      <c r="F146" s="75">
        <f t="shared" si="12"/>
        <v>4.7000000000002728</v>
      </c>
      <c r="G146" s="75">
        <f t="shared" si="13"/>
        <v>0.33109537386186522</v>
      </c>
      <c r="H146" s="75">
        <f>VLOOKUP($A146,'Data Vlaue (Cr)'!$C:$FB,99)</f>
        <v>10842</v>
      </c>
      <c r="I146" s="75">
        <f>VLOOKUP($A146,'Data Vlaue (Cr)'!$C:$FB,100)</f>
        <v>10846</v>
      </c>
      <c r="J146" s="75">
        <f t="shared" si="14"/>
        <v>-4</v>
      </c>
      <c r="K146" s="75">
        <f t="shared" si="15"/>
        <v>-3.6893562073418186E-2</v>
      </c>
      <c r="L146" s="75">
        <f>VLOOKUP($A146,'Data Vlaue (Cr)'!$C:$FB,67)</f>
        <v>7776</v>
      </c>
      <c r="M146" s="75">
        <f>VLOOKUP($A146,'Data Vlaue (Cr)'!$C:$FB,68)</f>
        <v>7536</v>
      </c>
      <c r="N146" s="75">
        <f t="shared" si="16"/>
        <v>240</v>
      </c>
      <c r="O146" s="75">
        <f t="shared" si="17"/>
        <v>3.0864197530864197</v>
      </c>
      <c r="P146" s="75">
        <f>VLOOKUP($A146,'Data Vlaue (Cr)'!$C:$FB,119)</f>
        <v>0.6</v>
      </c>
      <c r="Q146" s="75">
        <f>VLOOKUP($A146,'Data Vlaue (Cr)'!$C:$FB,122)*100</f>
        <v>0</v>
      </c>
      <c r="R146" s="75">
        <f>VLOOKUP($A146,'Data Vlaue (Cr)'!$C:$FB,125)</f>
        <v>0.43</v>
      </c>
      <c r="S146" s="75">
        <f>VLOOKUP($A146,'Data Vlaue (Cr)'!$C:$FB,128)*100</f>
        <v>-10.42</v>
      </c>
    </row>
    <row r="147" spans="1:19" x14ac:dyDescent="0.25">
      <c r="A147" s="96" t="str">
        <f>'Data Vlaue (Cr)'!C138</f>
        <v>M&amp;MFIN</v>
      </c>
      <c r="B147" s="75">
        <f>VLOOKUP($A147,'Data Vlaue (Cr)'!$C:$FB,2)</f>
        <v>2056</v>
      </c>
      <c r="C147" s="75">
        <f>VLOOKUP($A147,'Data Vlaue (Cr)'!$C:$FB,8)</f>
        <v>265.55</v>
      </c>
      <c r="D147" s="75">
        <f>VLOOKUP($A147,'Data Vlaue (Cr)'!$C:$FB,4)</f>
        <v>265.7</v>
      </c>
      <c r="E147" s="75">
        <f>VLOOKUP($A147,'Data Vlaue (Cr)'!$C:$FB,5)</f>
        <v>263.2</v>
      </c>
      <c r="F147" s="75">
        <f t="shared" si="12"/>
        <v>0.14999999999997726</v>
      </c>
      <c r="G147" s="75">
        <f t="shared" si="13"/>
        <v>0.94091080165600305</v>
      </c>
      <c r="H147" s="75">
        <f>VLOOKUP($A147,'Data Vlaue (Cr)'!$C:$FB,99)</f>
        <v>1059</v>
      </c>
      <c r="I147" s="75">
        <f>VLOOKUP($A147,'Data Vlaue (Cr)'!$C:$FB,100)</f>
        <v>983</v>
      </c>
      <c r="J147" s="75">
        <f t="shared" si="14"/>
        <v>76</v>
      </c>
      <c r="K147" s="75">
        <f t="shared" si="15"/>
        <v>7.1765816808309717</v>
      </c>
      <c r="L147" s="75">
        <f>VLOOKUP($A147,'Data Vlaue (Cr)'!$C:$FB,67)</f>
        <v>1492</v>
      </c>
      <c r="M147" s="75">
        <f>VLOOKUP($A147,'Data Vlaue (Cr)'!$C:$FB,68)</f>
        <v>266</v>
      </c>
      <c r="N147" s="75">
        <f t="shared" si="16"/>
        <v>1226</v>
      </c>
      <c r="O147" s="75">
        <f t="shared" si="17"/>
        <v>82.171581769436997</v>
      </c>
      <c r="P147" s="75">
        <f>VLOOKUP($A147,'Data Vlaue (Cr)'!$C:$FB,119)</f>
        <v>0.55000000000000004</v>
      </c>
      <c r="Q147" s="75">
        <f>VLOOKUP($A147,'Data Vlaue (Cr)'!$C:$FB,122)*100</f>
        <v>-17.91</v>
      </c>
      <c r="R147" s="75">
        <f>VLOOKUP($A147,'Data Vlaue (Cr)'!$C:$FB,125)</f>
        <v>0.4</v>
      </c>
      <c r="S147" s="75">
        <f>VLOOKUP($A147,'Data Vlaue (Cr)'!$C:$FB,128)*100</f>
        <v>-16.669999999999998</v>
      </c>
    </row>
    <row r="148" spans="1:19" x14ac:dyDescent="0.25">
      <c r="A148" s="96" t="str">
        <f>'Data Vlaue (Cr)'!C139</f>
        <v>MANAPPURAM</v>
      </c>
      <c r="B148" s="75">
        <f>VLOOKUP($A148,'Data Vlaue (Cr)'!$C:$FB,2)</f>
        <v>3000</v>
      </c>
      <c r="C148" s="75">
        <f>VLOOKUP($A148,'Data Vlaue (Cr)'!$C:$FB,8)</f>
        <v>272.05</v>
      </c>
      <c r="D148" s="75">
        <f>VLOOKUP($A148,'Data Vlaue (Cr)'!$C:$FB,4)</f>
        <v>272</v>
      </c>
      <c r="E148" s="75">
        <f>VLOOKUP($A148,'Data Vlaue (Cr)'!$C:$FB,5)</f>
        <v>270.64999999999998</v>
      </c>
      <c r="F148" s="75">
        <f t="shared" si="12"/>
        <v>-5.0000000000011369E-2</v>
      </c>
      <c r="G148" s="75">
        <f t="shared" si="13"/>
        <v>0.4963235294117731</v>
      </c>
      <c r="H148" s="75">
        <f>VLOOKUP($A148,'Data Vlaue (Cr)'!$C:$FB,99)</f>
        <v>1361</v>
      </c>
      <c r="I148" s="75">
        <f>VLOOKUP($A148,'Data Vlaue (Cr)'!$C:$FB,100)</f>
        <v>1414</v>
      </c>
      <c r="J148" s="75">
        <f t="shared" si="14"/>
        <v>-53</v>
      </c>
      <c r="K148" s="75">
        <f t="shared" si="15"/>
        <v>-3.8941954445260838</v>
      </c>
      <c r="L148" s="75">
        <f>VLOOKUP($A148,'Data Vlaue (Cr)'!$C:$FB,67)</f>
        <v>376</v>
      </c>
      <c r="M148" s="75">
        <f>VLOOKUP($A148,'Data Vlaue (Cr)'!$C:$FB,68)</f>
        <v>581</v>
      </c>
      <c r="N148" s="75">
        <f t="shared" si="16"/>
        <v>-205</v>
      </c>
      <c r="O148" s="75">
        <f t="shared" si="17"/>
        <v>-54.521276595744681</v>
      </c>
      <c r="P148" s="75">
        <f>VLOOKUP($A148,'Data Vlaue (Cr)'!$C:$FB,119)</f>
        <v>0.65</v>
      </c>
      <c r="Q148" s="75">
        <f>VLOOKUP($A148,'Data Vlaue (Cr)'!$C:$FB,122)*100</f>
        <v>3.17</v>
      </c>
      <c r="R148" s="75">
        <f>VLOOKUP($A148,'Data Vlaue (Cr)'!$C:$FB,125)</f>
        <v>0.39</v>
      </c>
      <c r="S148" s="75">
        <f>VLOOKUP($A148,'Data Vlaue (Cr)'!$C:$FB,128)*100</f>
        <v>-25</v>
      </c>
    </row>
    <row r="149" spans="1:19" x14ac:dyDescent="0.25">
      <c r="A149" s="96" t="str">
        <f>'Data Vlaue (Cr)'!C140</f>
        <v>MANKIND</v>
      </c>
      <c r="B149" s="75">
        <f>VLOOKUP($A149,'Data Vlaue (Cr)'!$C:$FB,2)</f>
        <v>225</v>
      </c>
      <c r="C149" s="75">
        <f>VLOOKUP($A149,'Data Vlaue (Cr)'!$C:$FB,8)</f>
        <v>2670.5</v>
      </c>
      <c r="D149" s="75">
        <f>VLOOKUP($A149,'Data Vlaue (Cr)'!$C:$FB,4)</f>
        <v>2671.9</v>
      </c>
      <c r="E149" s="75">
        <f>VLOOKUP($A149,'Data Vlaue (Cr)'!$C:$FB,5)</f>
        <v>2653.1</v>
      </c>
      <c r="F149" s="75">
        <f t="shared" si="12"/>
        <v>1.4000000000000909</v>
      </c>
      <c r="G149" s="75">
        <f t="shared" si="13"/>
        <v>0.70361914742318876</v>
      </c>
      <c r="H149" s="75">
        <f>VLOOKUP($A149,'Data Vlaue (Cr)'!$C:$FB,99)</f>
        <v>768</v>
      </c>
      <c r="I149" s="75">
        <f>VLOOKUP($A149,'Data Vlaue (Cr)'!$C:$FB,100)</f>
        <v>822</v>
      </c>
      <c r="J149" s="75">
        <f t="shared" si="14"/>
        <v>-54</v>
      </c>
      <c r="K149" s="75">
        <f t="shared" si="15"/>
        <v>-7.03125</v>
      </c>
      <c r="L149" s="75">
        <f>VLOOKUP($A149,'Data Vlaue (Cr)'!$C:$FB,67)</f>
        <v>727</v>
      </c>
      <c r="M149" s="75">
        <f>VLOOKUP($A149,'Data Vlaue (Cr)'!$C:$FB,68)</f>
        <v>708</v>
      </c>
      <c r="N149" s="75">
        <f t="shared" si="16"/>
        <v>19</v>
      </c>
      <c r="O149" s="75">
        <f t="shared" si="17"/>
        <v>2.613480055020633</v>
      </c>
      <c r="P149" s="75">
        <f>VLOOKUP($A149,'Data Vlaue (Cr)'!$C:$FB,119)</f>
        <v>0.55000000000000004</v>
      </c>
      <c r="Q149" s="75">
        <f>VLOOKUP($A149,'Data Vlaue (Cr)'!$C:$FB,122)*100</f>
        <v>1.8499999999999999</v>
      </c>
      <c r="R149" s="75">
        <f>VLOOKUP($A149,'Data Vlaue (Cr)'!$C:$FB,125)</f>
        <v>0.22</v>
      </c>
      <c r="S149" s="75">
        <f>VLOOKUP($A149,'Data Vlaue (Cr)'!$C:$FB,128)*100</f>
        <v>-21.43</v>
      </c>
    </row>
    <row r="150" spans="1:19" x14ac:dyDescent="0.25">
      <c r="A150" s="96" t="str">
        <f>'Data Vlaue (Cr)'!C141</f>
        <v>MARICO</v>
      </c>
      <c r="B150" s="75">
        <f>VLOOKUP($A150,'Data Vlaue (Cr)'!$C:$FB,2)</f>
        <v>1200</v>
      </c>
      <c r="C150" s="75">
        <f>VLOOKUP($A150,'Data Vlaue (Cr)'!$C:$FB,8)</f>
        <v>716.35</v>
      </c>
      <c r="D150" s="75">
        <f>VLOOKUP($A150,'Data Vlaue (Cr)'!$C:$FB,4)</f>
        <v>716.9</v>
      </c>
      <c r="E150" s="75">
        <f>VLOOKUP($A150,'Data Vlaue (Cr)'!$C:$FB,5)</f>
        <v>719</v>
      </c>
      <c r="F150" s="75">
        <f t="shared" si="12"/>
        <v>0.54999999999995453</v>
      </c>
      <c r="G150" s="75">
        <f t="shared" si="13"/>
        <v>-0.29292788394476532</v>
      </c>
      <c r="H150" s="75">
        <f>VLOOKUP($A150,'Data Vlaue (Cr)'!$C:$FB,99)</f>
        <v>2282</v>
      </c>
      <c r="I150" s="75">
        <f>VLOOKUP($A150,'Data Vlaue (Cr)'!$C:$FB,100)</f>
        <v>2314</v>
      </c>
      <c r="J150" s="75">
        <f t="shared" si="14"/>
        <v>-32</v>
      </c>
      <c r="K150" s="75">
        <f t="shared" si="15"/>
        <v>-1.4022787028921999</v>
      </c>
      <c r="L150" s="75">
        <f>VLOOKUP($A150,'Data Vlaue (Cr)'!$C:$FB,67)</f>
        <v>545</v>
      </c>
      <c r="M150" s="75">
        <f>VLOOKUP($A150,'Data Vlaue (Cr)'!$C:$FB,68)</f>
        <v>752</v>
      </c>
      <c r="N150" s="75">
        <f t="shared" si="16"/>
        <v>-207</v>
      </c>
      <c r="O150" s="75">
        <f t="shared" si="17"/>
        <v>-37.981651376146793</v>
      </c>
      <c r="P150" s="75">
        <f>VLOOKUP($A150,'Data Vlaue (Cr)'!$C:$FB,119)</f>
        <v>0.55000000000000004</v>
      </c>
      <c r="Q150" s="75">
        <f>VLOOKUP($A150,'Data Vlaue (Cr)'!$C:$FB,122)*100</f>
        <v>0</v>
      </c>
      <c r="R150" s="75">
        <f>VLOOKUP($A150,'Data Vlaue (Cr)'!$C:$FB,125)</f>
        <v>0.43</v>
      </c>
      <c r="S150" s="75">
        <f>VLOOKUP($A150,'Data Vlaue (Cr)'!$C:$FB,128)*100</f>
        <v>4.88</v>
      </c>
    </row>
    <row r="151" spans="1:19" x14ac:dyDescent="0.25">
      <c r="A151" s="96" t="str">
        <f>'Data Vlaue (Cr)'!C142</f>
        <v>MARUTI</v>
      </c>
      <c r="B151" s="75">
        <f>VLOOKUP($A151,'Data Vlaue (Cr)'!$C:$FB,2)</f>
        <v>50</v>
      </c>
      <c r="C151" s="75">
        <f>VLOOKUP($A151,'Data Vlaue (Cr)'!$C:$FB,8)</f>
        <v>12492</v>
      </c>
      <c r="D151" s="75">
        <f>VLOOKUP($A151,'Data Vlaue (Cr)'!$C:$FB,4)</f>
        <v>12514</v>
      </c>
      <c r="E151" s="75">
        <f>VLOOKUP($A151,'Data Vlaue (Cr)'!$C:$FB,5)</f>
        <v>12436</v>
      </c>
      <c r="F151" s="75">
        <f t="shared" si="12"/>
        <v>22</v>
      </c>
      <c r="G151" s="75">
        <f t="shared" si="13"/>
        <v>0.62330190186990575</v>
      </c>
      <c r="H151" s="75">
        <f>VLOOKUP($A151,'Data Vlaue (Cr)'!$C:$FB,99)</f>
        <v>9052</v>
      </c>
      <c r="I151" s="75">
        <f>VLOOKUP($A151,'Data Vlaue (Cr)'!$C:$FB,100)</f>
        <v>9084</v>
      </c>
      <c r="J151" s="75">
        <f t="shared" si="14"/>
        <v>-32</v>
      </c>
      <c r="K151" s="75">
        <f t="shared" si="15"/>
        <v>-0.35351303579319487</v>
      </c>
      <c r="L151" s="75">
        <f>VLOOKUP($A151,'Data Vlaue (Cr)'!$C:$FB,67)</f>
        <v>5368</v>
      </c>
      <c r="M151" s="75">
        <f>VLOOKUP($A151,'Data Vlaue (Cr)'!$C:$FB,68)</f>
        <v>4737</v>
      </c>
      <c r="N151" s="75">
        <f t="shared" si="16"/>
        <v>631</v>
      </c>
      <c r="O151" s="75">
        <f t="shared" si="17"/>
        <v>11.7548435171386</v>
      </c>
      <c r="P151" s="75">
        <f>VLOOKUP($A151,'Data Vlaue (Cr)'!$C:$FB,119)</f>
        <v>0.31</v>
      </c>
      <c r="Q151" s="75">
        <f>VLOOKUP($A151,'Data Vlaue (Cr)'!$C:$FB,122)*100</f>
        <v>3.3300000000000005</v>
      </c>
      <c r="R151" s="75">
        <f>VLOOKUP($A151,'Data Vlaue (Cr)'!$C:$FB,125)</f>
        <v>0.5</v>
      </c>
      <c r="S151" s="75">
        <f>VLOOKUP($A151,'Data Vlaue (Cr)'!$C:$FB,128)*100</f>
        <v>13.639999999999999</v>
      </c>
    </row>
    <row r="152" spans="1:19" x14ac:dyDescent="0.25">
      <c r="A152" s="96" t="str">
        <f>'Data Vlaue (Cr)'!C143</f>
        <v>MAXHEALTH</v>
      </c>
      <c r="B152" s="75">
        <f>VLOOKUP($A152,'Data Vlaue (Cr)'!$C:$FB,2)</f>
        <v>525</v>
      </c>
      <c r="C152" s="75">
        <f>VLOOKUP($A152,'Data Vlaue (Cr)'!$C:$FB,8)</f>
        <v>1218.8</v>
      </c>
      <c r="D152" s="75">
        <f>VLOOKUP($A152,'Data Vlaue (Cr)'!$C:$FB,4)</f>
        <v>1219.4000000000001</v>
      </c>
      <c r="E152" s="75">
        <f>VLOOKUP($A152,'Data Vlaue (Cr)'!$C:$FB,5)</f>
        <v>1219.5999999999999</v>
      </c>
      <c r="F152" s="75">
        <f t="shared" si="12"/>
        <v>0.60000000000013642</v>
      </c>
      <c r="G152" s="75">
        <f t="shared" si="13"/>
        <v>-1.6401508938807454E-2</v>
      </c>
      <c r="H152" s="75">
        <f>VLOOKUP($A152,'Data Vlaue (Cr)'!$C:$FB,99)</f>
        <v>1997</v>
      </c>
      <c r="I152" s="75">
        <f>VLOOKUP($A152,'Data Vlaue (Cr)'!$C:$FB,100)</f>
        <v>2015</v>
      </c>
      <c r="J152" s="75">
        <f t="shared" si="14"/>
        <v>-18</v>
      </c>
      <c r="K152" s="75">
        <f t="shared" si="15"/>
        <v>-0.90135202804206316</v>
      </c>
      <c r="L152" s="75">
        <f>VLOOKUP($A152,'Data Vlaue (Cr)'!$C:$FB,67)</f>
        <v>518</v>
      </c>
      <c r="M152" s="75">
        <f>VLOOKUP($A152,'Data Vlaue (Cr)'!$C:$FB,68)</f>
        <v>897</v>
      </c>
      <c r="N152" s="75">
        <f t="shared" si="16"/>
        <v>-379</v>
      </c>
      <c r="O152" s="75">
        <f t="shared" si="17"/>
        <v>-73.166023166023166</v>
      </c>
      <c r="P152" s="75">
        <f>VLOOKUP($A152,'Data Vlaue (Cr)'!$C:$FB,119)</f>
        <v>0.37</v>
      </c>
      <c r="Q152" s="75">
        <f>VLOOKUP($A152,'Data Vlaue (Cr)'!$C:$FB,122)*100</f>
        <v>2.78</v>
      </c>
      <c r="R152" s="75">
        <f>VLOOKUP($A152,'Data Vlaue (Cr)'!$C:$FB,125)</f>
        <v>0.28999999999999998</v>
      </c>
      <c r="S152" s="75">
        <f>VLOOKUP($A152,'Data Vlaue (Cr)'!$C:$FB,128)*100</f>
        <v>-32.56</v>
      </c>
    </row>
    <row r="153" spans="1:19" x14ac:dyDescent="0.25">
      <c r="A153" s="96" t="str">
        <f>'Data Vlaue (Cr)'!C144</f>
        <v>MAZDOCK</v>
      </c>
      <c r="B153" s="75">
        <f>VLOOKUP($A153,'Data Vlaue (Cr)'!$C:$FB,2)</f>
        <v>175</v>
      </c>
      <c r="C153" s="75">
        <f>VLOOKUP($A153,'Data Vlaue (Cr)'!$C:$FB,8)</f>
        <v>2921.8</v>
      </c>
      <c r="D153" s="75">
        <f>VLOOKUP($A153,'Data Vlaue (Cr)'!$C:$FB,4)</f>
        <v>2931.6</v>
      </c>
      <c r="E153" s="75">
        <f>VLOOKUP($A153,'Data Vlaue (Cr)'!$C:$FB,5)</f>
        <v>2963.2</v>
      </c>
      <c r="F153" s="75">
        <f t="shared" si="12"/>
        <v>9.7999999999997272</v>
      </c>
      <c r="G153" s="75">
        <f t="shared" si="13"/>
        <v>-1.0779096738982095</v>
      </c>
      <c r="H153" s="75">
        <f>VLOOKUP($A153,'Data Vlaue (Cr)'!$C:$FB,99)</f>
        <v>2319</v>
      </c>
      <c r="I153" s="75">
        <f>VLOOKUP($A153,'Data Vlaue (Cr)'!$C:$FB,100)</f>
        <v>2205</v>
      </c>
      <c r="J153" s="75">
        <f t="shared" si="14"/>
        <v>114</v>
      </c>
      <c r="K153" s="75">
        <f t="shared" si="15"/>
        <v>4.9159120310478661</v>
      </c>
      <c r="L153" s="75">
        <f>VLOOKUP($A153,'Data Vlaue (Cr)'!$C:$FB,67)</f>
        <v>1709</v>
      </c>
      <c r="M153" s="75">
        <f>VLOOKUP($A153,'Data Vlaue (Cr)'!$C:$FB,68)</f>
        <v>1458</v>
      </c>
      <c r="N153" s="75">
        <f t="shared" si="16"/>
        <v>251</v>
      </c>
      <c r="O153" s="75">
        <f t="shared" si="17"/>
        <v>14.686951433586891</v>
      </c>
      <c r="P153" s="75">
        <f>VLOOKUP($A153,'Data Vlaue (Cr)'!$C:$FB,119)</f>
        <v>0.42</v>
      </c>
      <c r="Q153" s="75">
        <f>VLOOKUP($A153,'Data Vlaue (Cr)'!$C:$FB,122)*100</f>
        <v>-6.67</v>
      </c>
      <c r="R153" s="75">
        <f>VLOOKUP($A153,'Data Vlaue (Cr)'!$C:$FB,125)</f>
        <v>0.22</v>
      </c>
      <c r="S153" s="75">
        <f>VLOOKUP($A153,'Data Vlaue (Cr)'!$C:$FB,128)*100</f>
        <v>-12</v>
      </c>
    </row>
    <row r="154" spans="1:19" x14ac:dyDescent="0.25">
      <c r="A154" s="96" t="str">
        <f>'Data Vlaue (Cr)'!C145</f>
        <v>MCX</v>
      </c>
      <c r="B154" s="75">
        <f>VLOOKUP($A154,'Data Vlaue (Cr)'!$C:$FB,2)</f>
        <v>125</v>
      </c>
      <c r="C154" s="75">
        <f>VLOOKUP($A154,'Data Vlaue (Cr)'!$C:$FB,8)</f>
        <v>8153.5</v>
      </c>
      <c r="D154" s="75">
        <f>VLOOKUP($A154,'Data Vlaue (Cr)'!$C:$FB,4)</f>
        <v>8180</v>
      </c>
      <c r="E154" s="75">
        <f>VLOOKUP($A154,'Data Vlaue (Cr)'!$C:$FB,5)</f>
        <v>8284.5</v>
      </c>
      <c r="F154" s="75">
        <f t="shared" si="12"/>
        <v>26.5</v>
      </c>
      <c r="G154" s="75">
        <f t="shared" si="13"/>
        <v>-1.2775061124694378</v>
      </c>
      <c r="H154" s="75">
        <f>VLOOKUP($A154,'Data Vlaue (Cr)'!$C:$FB,99)</f>
        <v>6650</v>
      </c>
      <c r="I154" s="75">
        <f>VLOOKUP($A154,'Data Vlaue (Cr)'!$C:$FB,100)</f>
        <v>6324</v>
      </c>
      <c r="J154" s="75">
        <f t="shared" si="14"/>
        <v>326</v>
      </c>
      <c r="K154" s="75">
        <f t="shared" si="15"/>
        <v>4.9022556390977448</v>
      </c>
      <c r="L154" s="75">
        <f>VLOOKUP($A154,'Data Vlaue (Cr)'!$C:$FB,67)</f>
        <v>4924</v>
      </c>
      <c r="M154" s="75">
        <f>VLOOKUP($A154,'Data Vlaue (Cr)'!$C:$FB,68)</f>
        <v>5028</v>
      </c>
      <c r="N154" s="75">
        <f t="shared" si="16"/>
        <v>-104</v>
      </c>
      <c r="O154" s="75">
        <f t="shared" si="17"/>
        <v>-2.1121039805036554</v>
      </c>
      <c r="P154" s="75">
        <f>VLOOKUP($A154,'Data Vlaue (Cr)'!$C:$FB,119)</f>
        <v>0.54</v>
      </c>
      <c r="Q154" s="75">
        <f>VLOOKUP($A154,'Data Vlaue (Cr)'!$C:$FB,122)*100</f>
        <v>-6.9</v>
      </c>
      <c r="R154" s="75">
        <f>VLOOKUP($A154,'Data Vlaue (Cr)'!$C:$FB,125)</f>
        <v>0.39</v>
      </c>
      <c r="S154" s="75">
        <f>VLOOKUP($A154,'Data Vlaue (Cr)'!$C:$FB,128)*100</f>
        <v>-13.33</v>
      </c>
    </row>
    <row r="155" spans="1:19" x14ac:dyDescent="0.25">
      <c r="A155" s="96" t="str">
        <f>'Data Vlaue (Cr)'!C146</f>
        <v>MFSL</v>
      </c>
      <c r="B155" s="75">
        <f>VLOOKUP($A155,'Data Vlaue (Cr)'!$C:$FB,2)</f>
        <v>800</v>
      </c>
      <c r="C155" s="75">
        <f>VLOOKUP($A155,'Data Vlaue (Cr)'!$C:$FB,8)</f>
        <v>1562.4</v>
      </c>
      <c r="D155" s="75">
        <f>VLOOKUP($A155,'Data Vlaue (Cr)'!$C:$FB,4)</f>
        <v>1566.3</v>
      </c>
      <c r="E155" s="75">
        <f>VLOOKUP($A155,'Data Vlaue (Cr)'!$C:$FB,5)</f>
        <v>1548.1</v>
      </c>
      <c r="F155" s="75">
        <f t="shared" si="12"/>
        <v>3.8999999999998636</v>
      </c>
      <c r="G155" s="75">
        <f t="shared" si="13"/>
        <v>1.1619740790397781</v>
      </c>
      <c r="H155" s="75">
        <f>VLOOKUP($A155,'Data Vlaue (Cr)'!$C:$FB,99)</f>
        <v>1434</v>
      </c>
      <c r="I155" s="75">
        <f>VLOOKUP($A155,'Data Vlaue (Cr)'!$C:$FB,100)</f>
        <v>1413</v>
      </c>
      <c r="J155" s="75">
        <f t="shared" si="14"/>
        <v>21</v>
      </c>
      <c r="K155" s="75">
        <f t="shared" si="15"/>
        <v>1.4644351464435146</v>
      </c>
      <c r="L155" s="75">
        <f>VLOOKUP($A155,'Data Vlaue (Cr)'!$C:$FB,67)</f>
        <v>1348</v>
      </c>
      <c r="M155" s="75">
        <f>VLOOKUP($A155,'Data Vlaue (Cr)'!$C:$FB,68)</f>
        <v>395</v>
      </c>
      <c r="N155" s="75">
        <f t="shared" si="16"/>
        <v>953</v>
      </c>
      <c r="O155" s="75">
        <f t="shared" si="17"/>
        <v>70.697329376854597</v>
      </c>
      <c r="P155" s="75">
        <f>VLOOKUP($A155,'Data Vlaue (Cr)'!$C:$FB,119)</f>
        <v>0.82</v>
      </c>
      <c r="Q155" s="75">
        <f>VLOOKUP($A155,'Data Vlaue (Cr)'!$C:$FB,122)*100</f>
        <v>1.23</v>
      </c>
      <c r="R155" s="75">
        <f>VLOOKUP($A155,'Data Vlaue (Cr)'!$C:$FB,125)</f>
        <v>0.39</v>
      </c>
      <c r="S155" s="75">
        <f>VLOOKUP($A155,'Data Vlaue (Cr)'!$C:$FB,128)*100</f>
        <v>-7.1400000000000006</v>
      </c>
    </row>
    <row r="156" spans="1:19" x14ac:dyDescent="0.25">
      <c r="A156" s="96" t="str">
        <f>'Data Vlaue (Cr)'!C147</f>
        <v>MGL</v>
      </c>
      <c r="B156" s="75">
        <f>VLOOKUP($A156,'Data Vlaue (Cr)'!$C:$FB,2)</f>
        <v>400</v>
      </c>
      <c r="C156" s="75">
        <f>VLOOKUP($A156,'Data Vlaue (Cr)'!$C:$FB,8)</f>
        <v>1486.3</v>
      </c>
      <c r="D156" s="75">
        <f>VLOOKUP($A156,'Data Vlaue (Cr)'!$C:$FB,4)</f>
        <v>1487.7</v>
      </c>
      <c r="E156" s="75">
        <f>VLOOKUP($A156,'Data Vlaue (Cr)'!$C:$FB,5)</f>
        <v>1513.1</v>
      </c>
      <c r="F156" s="75">
        <f t="shared" si="12"/>
        <v>1.4000000000000909</v>
      </c>
      <c r="G156" s="75">
        <f t="shared" si="13"/>
        <v>-1.7073334677690302</v>
      </c>
      <c r="H156" s="75">
        <f>VLOOKUP($A156,'Data Vlaue (Cr)'!$C:$FB,99)</f>
        <v>1066</v>
      </c>
      <c r="I156" s="75">
        <f>VLOOKUP($A156,'Data Vlaue (Cr)'!$C:$FB,100)</f>
        <v>748</v>
      </c>
      <c r="J156" s="75">
        <f t="shared" si="14"/>
        <v>318</v>
      </c>
      <c r="K156" s="75">
        <f t="shared" si="15"/>
        <v>29.831144465290805</v>
      </c>
      <c r="L156" s="75">
        <f>VLOOKUP($A156,'Data Vlaue (Cr)'!$C:$FB,67)</f>
        <v>5384</v>
      </c>
      <c r="M156" s="75">
        <f>VLOOKUP($A156,'Data Vlaue (Cr)'!$C:$FB,68)</f>
        <v>212</v>
      </c>
      <c r="N156" s="75">
        <f t="shared" si="16"/>
        <v>5172</v>
      </c>
      <c r="O156" s="75">
        <f t="shared" si="17"/>
        <v>96.062407132243692</v>
      </c>
      <c r="P156" s="75">
        <f>VLOOKUP($A156,'Data Vlaue (Cr)'!$C:$FB,119)</f>
        <v>0.47</v>
      </c>
      <c r="Q156" s="75">
        <f>VLOOKUP($A156,'Data Vlaue (Cr)'!$C:$FB,122)*100</f>
        <v>-38.159999999999997</v>
      </c>
      <c r="R156" s="75">
        <f>VLOOKUP($A156,'Data Vlaue (Cr)'!$C:$FB,125)</f>
        <v>0.43</v>
      </c>
      <c r="S156" s="75">
        <f>VLOOKUP($A156,'Data Vlaue (Cr)'!$C:$FB,128)*100</f>
        <v>-33.85</v>
      </c>
    </row>
    <row r="157" spans="1:19" x14ac:dyDescent="0.25">
      <c r="A157" s="96" t="str">
        <f>'Data Vlaue (Cr)'!C148</f>
        <v>MIDCPNIFTY</v>
      </c>
      <c r="B157" s="75">
        <f>VLOOKUP($A157,'Data Vlaue (Cr)'!$C:$FB,2)</f>
        <v>140</v>
      </c>
      <c r="C157" s="75">
        <f>VLOOKUP($A157,'Data Vlaue (Cr)'!$C:$FB,8)</f>
        <v>13206.6</v>
      </c>
      <c r="D157" s="75">
        <f>VLOOKUP($A157,'Data Vlaue (Cr)'!$C:$FB,4)</f>
        <v>13220.05</v>
      </c>
      <c r="E157" s="75">
        <f>VLOOKUP($A157,'Data Vlaue (Cr)'!$C:$FB,5)</f>
        <v>13336.35</v>
      </c>
      <c r="F157" s="75">
        <f t="shared" si="12"/>
        <v>13.449999999998909</v>
      </c>
      <c r="G157" s="75">
        <f t="shared" si="13"/>
        <v>-0.87972435807732263</v>
      </c>
      <c r="H157" s="75">
        <f>VLOOKUP($A157,'Data Vlaue (Cr)'!$C:$FB,99)</f>
        <v>31220</v>
      </c>
      <c r="I157" s="75">
        <f>VLOOKUP($A157,'Data Vlaue (Cr)'!$C:$FB,100)</f>
        <v>28437</v>
      </c>
      <c r="J157" s="75">
        <f t="shared" si="14"/>
        <v>2783</v>
      </c>
      <c r="K157" s="75">
        <f t="shared" si="15"/>
        <v>8.9141575912876352</v>
      </c>
      <c r="L157" s="75">
        <f>VLOOKUP($A157,'Data Vlaue (Cr)'!$C:$FB,67)</f>
        <v>65679</v>
      </c>
      <c r="M157" s="75">
        <f>VLOOKUP($A157,'Data Vlaue (Cr)'!$C:$FB,68)</f>
        <v>61145</v>
      </c>
      <c r="N157" s="75">
        <f t="shared" si="16"/>
        <v>4534</v>
      </c>
      <c r="O157" s="75">
        <f t="shared" si="17"/>
        <v>6.9032719742992441</v>
      </c>
      <c r="P157" s="75">
        <f>VLOOKUP($A157,'Data Vlaue (Cr)'!$C:$FB,119)</f>
        <v>0.79</v>
      </c>
      <c r="Q157" s="75">
        <f>VLOOKUP($A157,'Data Vlaue (Cr)'!$C:$FB,122)*100</f>
        <v>-11.24</v>
      </c>
      <c r="R157" s="75">
        <f>VLOOKUP($A157,'Data Vlaue (Cr)'!$C:$FB,125)</f>
        <v>0.85</v>
      </c>
      <c r="S157" s="75">
        <f>VLOOKUP($A157,'Data Vlaue (Cr)'!$C:$FB,128)*100</f>
        <v>-5.56</v>
      </c>
    </row>
    <row r="158" spans="1:19" x14ac:dyDescent="0.25">
      <c r="A158" s="96" t="str">
        <f>'Data Vlaue (Cr)'!C149</f>
        <v>MOTHERSON</v>
      </c>
      <c r="B158" s="75">
        <f>VLOOKUP($A158,'Data Vlaue (Cr)'!$C:$FB,2)</f>
        <v>6150</v>
      </c>
      <c r="C158" s="75">
        <f>VLOOKUP($A158,'Data Vlaue (Cr)'!$C:$FB,8)</f>
        <v>97.24</v>
      </c>
      <c r="D158" s="75">
        <f>VLOOKUP($A158,'Data Vlaue (Cr)'!$C:$FB,4)</f>
        <v>97.36</v>
      </c>
      <c r="E158" s="75">
        <f>VLOOKUP($A158,'Data Vlaue (Cr)'!$C:$FB,5)</f>
        <v>100.95</v>
      </c>
      <c r="F158" s="75">
        <f t="shared" si="12"/>
        <v>0.12000000000000455</v>
      </c>
      <c r="G158" s="75">
        <f t="shared" si="13"/>
        <v>-3.6873459326212035</v>
      </c>
      <c r="H158" s="75">
        <f>VLOOKUP($A158,'Data Vlaue (Cr)'!$C:$FB,99)</f>
        <v>2143</v>
      </c>
      <c r="I158" s="75">
        <f>VLOOKUP($A158,'Data Vlaue (Cr)'!$C:$FB,100)</f>
        <v>2072</v>
      </c>
      <c r="J158" s="75">
        <f t="shared" si="14"/>
        <v>71</v>
      </c>
      <c r="K158" s="75">
        <f t="shared" si="15"/>
        <v>3.3131124591693886</v>
      </c>
      <c r="L158" s="75">
        <f>VLOOKUP($A158,'Data Vlaue (Cr)'!$C:$FB,67)</f>
        <v>986</v>
      </c>
      <c r="M158" s="75">
        <f>VLOOKUP($A158,'Data Vlaue (Cr)'!$C:$FB,68)</f>
        <v>583</v>
      </c>
      <c r="N158" s="75">
        <f t="shared" si="16"/>
        <v>403</v>
      </c>
      <c r="O158" s="75">
        <f t="shared" si="17"/>
        <v>40.872210953346851</v>
      </c>
      <c r="P158" s="75">
        <f>VLOOKUP($A158,'Data Vlaue (Cr)'!$C:$FB,119)</f>
        <v>0.53</v>
      </c>
      <c r="Q158" s="75">
        <f>VLOOKUP($A158,'Data Vlaue (Cr)'!$C:$FB,122)*100</f>
        <v>-5.36</v>
      </c>
      <c r="R158" s="75">
        <f>VLOOKUP($A158,'Data Vlaue (Cr)'!$C:$FB,125)</f>
        <v>0.53</v>
      </c>
      <c r="S158" s="75">
        <f>VLOOKUP($A158,'Data Vlaue (Cr)'!$C:$FB,128)*100</f>
        <v>35.9</v>
      </c>
    </row>
    <row r="159" spans="1:19" x14ac:dyDescent="0.25">
      <c r="A159" s="96" t="str">
        <f>'Data Vlaue (Cr)'!C150</f>
        <v>MPHASIS</v>
      </c>
      <c r="B159" s="75">
        <f>VLOOKUP($A159,'Data Vlaue (Cr)'!$C:$FB,2)</f>
        <v>275</v>
      </c>
      <c r="C159" s="75">
        <f>VLOOKUP($A159,'Data Vlaue (Cr)'!$C:$FB,8)</f>
        <v>2777.2</v>
      </c>
      <c r="D159" s="75">
        <f>VLOOKUP($A159,'Data Vlaue (Cr)'!$C:$FB,4)</f>
        <v>2784.3</v>
      </c>
      <c r="E159" s="75">
        <f>VLOOKUP($A159,'Data Vlaue (Cr)'!$C:$FB,5)</f>
        <v>2806.6</v>
      </c>
      <c r="F159" s="75">
        <f t="shared" si="12"/>
        <v>7.1000000000003638</v>
      </c>
      <c r="G159" s="75">
        <f t="shared" si="13"/>
        <v>-0.80091944115216496</v>
      </c>
      <c r="H159" s="75">
        <f>VLOOKUP($A159,'Data Vlaue (Cr)'!$C:$FB,99)</f>
        <v>1798</v>
      </c>
      <c r="I159" s="75">
        <f>VLOOKUP($A159,'Data Vlaue (Cr)'!$C:$FB,100)</f>
        <v>1865</v>
      </c>
      <c r="J159" s="75">
        <f t="shared" si="14"/>
        <v>-67</v>
      </c>
      <c r="K159" s="75">
        <f t="shared" si="15"/>
        <v>-3.7263626251390431</v>
      </c>
      <c r="L159" s="75">
        <f>VLOOKUP($A159,'Data Vlaue (Cr)'!$C:$FB,67)</f>
        <v>390</v>
      </c>
      <c r="M159" s="75">
        <f>VLOOKUP($A159,'Data Vlaue (Cr)'!$C:$FB,68)</f>
        <v>594</v>
      </c>
      <c r="N159" s="75">
        <f t="shared" si="16"/>
        <v>-204</v>
      </c>
      <c r="O159" s="75">
        <f t="shared" si="17"/>
        <v>-52.307692307692314</v>
      </c>
      <c r="P159" s="75">
        <f>VLOOKUP($A159,'Data Vlaue (Cr)'!$C:$FB,119)</f>
        <v>0.96</v>
      </c>
      <c r="Q159" s="75">
        <f>VLOOKUP($A159,'Data Vlaue (Cr)'!$C:$FB,122)*100</f>
        <v>1.05</v>
      </c>
      <c r="R159" s="75">
        <f>VLOOKUP($A159,'Data Vlaue (Cr)'!$C:$FB,125)</f>
        <v>0.66</v>
      </c>
      <c r="S159" s="75">
        <f>VLOOKUP($A159,'Data Vlaue (Cr)'!$C:$FB,128)*100</f>
        <v>17.86</v>
      </c>
    </row>
    <row r="160" spans="1:19" x14ac:dyDescent="0.25">
      <c r="A160" s="96" t="str">
        <f>'Data Vlaue (Cr)'!C151</f>
        <v>MUTHOOTFIN</v>
      </c>
      <c r="B160" s="75">
        <f>VLOOKUP($A160,'Data Vlaue (Cr)'!$C:$FB,2)</f>
        <v>275</v>
      </c>
      <c r="C160" s="75">
        <f>VLOOKUP($A160,'Data Vlaue (Cr)'!$C:$FB,8)</f>
        <v>2674.3</v>
      </c>
      <c r="D160" s="75">
        <f>VLOOKUP($A160,'Data Vlaue (Cr)'!$C:$FB,4)</f>
        <v>2668.1</v>
      </c>
      <c r="E160" s="75">
        <f>VLOOKUP($A160,'Data Vlaue (Cr)'!$C:$FB,5)</f>
        <v>2678.2</v>
      </c>
      <c r="F160" s="75">
        <f t="shared" si="12"/>
        <v>-6.2000000000002728</v>
      </c>
      <c r="G160" s="75">
        <f t="shared" si="13"/>
        <v>-0.37854653123945536</v>
      </c>
      <c r="H160" s="75">
        <f>VLOOKUP($A160,'Data Vlaue (Cr)'!$C:$FB,99)</f>
        <v>2321</v>
      </c>
      <c r="I160" s="75">
        <f>VLOOKUP($A160,'Data Vlaue (Cr)'!$C:$FB,100)</f>
        <v>2312</v>
      </c>
      <c r="J160" s="75">
        <f t="shared" si="14"/>
        <v>9</v>
      </c>
      <c r="K160" s="75">
        <f t="shared" si="15"/>
        <v>0.38776389487289958</v>
      </c>
      <c r="L160" s="75">
        <f>VLOOKUP($A160,'Data Vlaue (Cr)'!$C:$FB,67)</f>
        <v>808</v>
      </c>
      <c r="M160" s="75">
        <f>VLOOKUP($A160,'Data Vlaue (Cr)'!$C:$FB,68)</f>
        <v>1967</v>
      </c>
      <c r="N160" s="75">
        <f t="shared" si="16"/>
        <v>-1159</v>
      </c>
      <c r="O160" s="75">
        <f t="shared" si="17"/>
        <v>-143.44059405940595</v>
      </c>
      <c r="P160" s="75">
        <f>VLOOKUP($A160,'Data Vlaue (Cr)'!$C:$FB,119)</f>
        <v>0.4</v>
      </c>
      <c r="Q160" s="75">
        <f>VLOOKUP($A160,'Data Vlaue (Cr)'!$C:$FB,122)*100</f>
        <v>0</v>
      </c>
      <c r="R160" s="75">
        <f>VLOOKUP($A160,'Data Vlaue (Cr)'!$C:$FB,125)</f>
        <v>0.42</v>
      </c>
      <c r="S160" s="75">
        <f>VLOOKUP($A160,'Data Vlaue (Cr)'!$C:$FB,128)*100</f>
        <v>68</v>
      </c>
    </row>
    <row r="161" spans="1:19" x14ac:dyDescent="0.25">
      <c r="A161" s="96" t="str">
        <f>'Data Vlaue (Cr)'!C152</f>
        <v>NATIONALUM</v>
      </c>
      <c r="B161" s="75">
        <f>VLOOKUP($A161,'Data Vlaue (Cr)'!$C:$FB,2)</f>
        <v>3750</v>
      </c>
      <c r="C161" s="75">
        <f>VLOOKUP($A161,'Data Vlaue (Cr)'!$C:$FB,8)</f>
        <v>196.69</v>
      </c>
      <c r="D161" s="75">
        <f>VLOOKUP($A161,'Data Vlaue (Cr)'!$C:$FB,4)</f>
        <v>197.06</v>
      </c>
      <c r="E161" s="75">
        <f>VLOOKUP($A161,'Data Vlaue (Cr)'!$C:$FB,5)</f>
        <v>195.66</v>
      </c>
      <c r="F161" s="75">
        <f t="shared" si="12"/>
        <v>0.37000000000000455</v>
      </c>
      <c r="G161" s="75">
        <f t="shared" si="13"/>
        <v>0.71044351974018349</v>
      </c>
      <c r="H161" s="75">
        <f>VLOOKUP($A161,'Data Vlaue (Cr)'!$C:$FB,99)</f>
        <v>2276</v>
      </c>
      <c r="I161" s="75">
        <f>VLOOKUP($A161,'Data Vlaue (Cr)'!$C:$FB,100)</f>
        <v>2276</v>
      </c>
      <c r="J161" s="75">
        <f t="shared" si="14"/>
        <v>0</v>
      </c>
      <c r="K161" s="75">
        <f t="shared" si="15"/>
        <v>0</v>
      </c>
      <c r="L161" s="75">
        <f>VLOOKUP($A161,'Data Vlaue (Cr)'!$C:$FB,67)</f>
        <v>1516</v>
      </c>
      <c r="M161" s="75">
        <f>VLOOKUP($A161,'Data Vlaue (Cr)'!$C:$FB,68)</f>
        <v>3320</v>
      </c>
      <c r="N161" s="75">
        <f t="shared" si="16"/>
        <v>-1804</v>
      </c>
      <c r="O161" s="75">
        <f t="shared" si="17"/>
        <v>-118.99736147757255</v>
      </c>
      <c r="P161" s="75">
        <f>VLOOKUP($A161,'Data Vlaue (Cr)'!$C:$FB,119)</f>
        <v>0.71</v>
      </c>
      <c r="Q161" s="75">
        <f>VLOOKUP($A161,'Data Vlaue (Cr)'!$C:$FB,122)*100</f>
        <v>5.9700000000000006</v>
      </c>
      <c r="R161" s="75">
        <f>VLOOKUP($A161,'Data Vlaue (Cr)'!$C:$FB,125)</f>
        <v>0.48</v>
      </c>
      <c r="S161" s="75">
        <f>VLOOKUP($A161,'Data Vlaue (Cr)'!$C:$FB,128)*100</f>
        <v>4.3499999999999996</v>
      </c>
    </row>
    <row r="162" spans="1:19" x14ac:dyDescent="0.25">
      <c r="A162" s="96" t="str">
        <f>'Data Vlaue (Cr)'!C153</f>
        <v>NAUKRI</v>
      </c>
      <c r="B162" s="75">
        <f>VLOOKUP($A162,'Data Vlaue (Cr)'!$C:$FB,2)</f>
        <v>375</v>
      </c>
      <c r="C162" s="75">
        <f>VLOOKUP($A162,'Data Vlaue (Cr)'!$C:$FB,8)</f>
        <v>1458.8</v>
      </c>
      <c r="D162" s="75">
        <f>VLOOKUP($A162,'Data Vlaue (Cr)'!$C:$FB,4)</f>
        <v>1455.8</v>
      </c>
      <c r="E162" s="75">
        <f>VLOOKUP($A162,'Data Vlaue (Cr)'!$C:$FB,5)</f>
        <v>1403.7</v>
      </c>
      <c r="F162" s="75">
        <f t="shared" si="12"/>
        <v>-3</v>
      </c>
      <c r="G162" s="75">
        <f t="shared" si="13"/>
        <v>3.5787882950954737</v>
      </c>
      <c r="H162" s="75">
        <f>VLOOKUP($A162,'Data Vlaue (Cr)'!$C:$FB,99)</f>
        <v>2419</v>
      </c>
      <c r="I162" s="75">
        <f>VLOOKUP($A162,'Data Vlaue (Cr)'!$C:$FB,100)</f>
        <v>2449</v>
      </c>
      <c r="J162" s="75">
        <f t="shared" si="14"/>
        <v>-30</v>
      </c>
      <c r="K162" s="75">
        <f t="shared" si="15"/>
        <v>-1.2401818933443571</v>
      </c>
      <c r="L162" s="75">
        <f>VLOOKUP($A162,'Data Vlaue (Cr)'!$C:$FB,67)</f>
        <v>4323</v>
      </c>
      <c r="M162" s="75">
        <f>VLOOKUP($A162,'Data Vlaue (Cr)'!$C:$FB,68)</f>
        <v>738</v>
      </c>
      <c r="N162" s="75">
        <f t="shared" si="16"/>
        <v>3585</v>
      </c>
      <c r="O162" s="75">
        <f t="shared" si="17"/>
        <v>82.928521859819568</v>
      </c>
      <c r="P162" s="75">
        <f>VLOOKUP($A162,'Data Vlaue (Cr)'!$C:$FB,119)</f>
        <v>0.51</v>
      </c>
      <c r="Q162" s="75">
        <f>VLOOKUP($A162,'Data Vlaue (Cr)'!$C:$FB,122)*100</f>
        <v>10.870000000000001</v>
      </c>
      <c r="R162" s="75">
        <f>VLOOKUP($A162,'Data Vlaue (Cr)'!$C:$FB,125)</f>
        <v>0.3</v>
      </c>
      <c r="S162" s="75">
        <f>VLOOKUP($A162,'Data Vlaue (Cr)'!$C:$FB,128)*100</f>
        <v>7.1400000000000006</v>
      </c>
    </row>
    <row r="163" spans="1:19" x14ac:dyDescent="0.25">
      <c r="A163" s="96" t="str">
        <f>'Data Vlaue (Cr)'!C154</f>
        <v>NBCC</v>
      </c>
      <c r="B163" s="75">
        <f>VLOOKUP($A163,'Data Vlaue (Cr)'!$C:$FB,2)</f>
        <v>6500</v>
      </c>
      <c r="C163" s="75">
        <f>VLOOKUP($A163,'Data Vlaue (Cr)'!$C:$FB,8)</f>
        <v>114.58</v>
      </c>
      <c r="D163" s="75">
        <f>VLOOKUP($A163,'Data Vlaue (Cr)'!$C:$FB,4)</f>
        <v>114.88</v>
      </c>
      <c r="E163" s="75">
        <f>VLOOKUP($A163,'Data Vlaue (Cr)'!$C:$FB,5)</f>
        <v>115.55</v>
      </c>
      <c r="F163" s="75">
        <f t="shared" si="12"/>
        <v>0.29999999999999716</v>
      </c>
      <c r="G163" s="75">
        <f t="shared" si="13"/>
        <v>-0.58321727019498759</v>
      </c>
      <c r="H163" s="75">
        <f>VLOOKUP($A163,'Data Vlaue (Cr)'!$C:$FB,99)</f>
        <v>1203</v>
      </c>
      <c r="I163" s="75">
        <f>VLOOKUP($A163,'Data Vlaue (Cr)'!$C:$FB,100)</f>
        <v>1215</v>
      </c>
      <c r="J163" s="75">
        <f t="shared" si="14"/>
        <v>-12</v>
      </c>
      <c r="K163" s="75">
        <f t="shared" si="15"/>
        <v>-0.99750623441396502</v>
      </c>
      <c r="L163" s="75">
        <f>VLOOKUP($A163,'Data Vlaue (Cr)'!$C:$FB,67)</f>
        <v>269</v>
      </c>
      <c r="M163" s="75">
        <f>VLOOKUP($A163,'Data Vlaue (Cr)'!$C:$FB,68)</f>
        <v>307</v>
      </c>
      <c r="N163" s="75">
        <f t="shared" si="16"/>
        <v>-38</v>
      </c>
      <c r="O163" s="75">
        <f t="shared" si="17"/>
        <v>-14.12639405204461</v>
      </c>
      <c r="P163" s="75">
        <f>VLOOKUP($A163,'Data Vlaue (Cr)'!$C:$FB,119)</f>
        <v>0.49</v>
      </c>
      <c r="Q163" s="75">
        <f>VLOOKUP($A163,'Data Vlaue (Cr)'!$C:$FB,122)*100</f>
        <v>-2</v>
      </c>
      <c r="R163" s="75">
        <f>VLOOKUP($A163,'Data Vlaue (Cr)'!$C:$FB,125)</f>
        <v>0.38</v>
      </c>
      <c r="S163" s="75">
        <f>VLOOKUP($A163,'Data Vlaue (Cr)'!$C:$FB,128)*100</f>
        <v>22.58</v>
      </c>
    </row>
    <row r="164" spans="1:19" x14ac:dyDescent="0.25">
      <c r="A164" s="96" t="str">
        <f>'Data Vlaue (Cr)'!C155</f>
        <v>NCC</v>
      </c>
      <c r="B164" s="75">
        <f>VLOOKUP($A164,'Data Vlaue (Cr)'!$C:$FB,2)</f>
        <v>2700</v>
      </c>
      <c r="C164" s="75">
        <f>VLOOKUP($A164,'Data Vlaue (Cr)'!$C:$FB,8)</f>
        <v>227.42</v>
      </c>
      <c r="D164" s="75">
        <f>VLOOKUP($A164,'Data Vlaue (Cr)'!$C:$FB,4)</f>
        <v>227.31</v>
      </c>
      <c r="E164" s="75">
        <f>VLOOKUP($A164,'Data Vlaue (Cr)'!$C:$FB,5)</f>
        <v>228.7</v>
      </c>
      <c r="F164" s="75">
        <f t="shared" si="12"/>
        <v>-0.10999999999998522</v>
      </c>
      <c r="G164" s="75">
        <f t="shared" si="13"/>
        <v>-0.6114997140468903</v>
      </c>
      <c r="H164" s="75">
        <f>VLOOKUP($A164,'Data Vlaue (Cr)'!$C:$FB,99)</f>
        <v>736</v>
      </c>
      <c r="I164" s="75">
        <f>VLOOKUP($A164,'Data Vlaue (Cr)'!$C:$FB,100)</f>
        <v>713</v>
      </c>
      <c r="J164" s="75">
        <f t="shared" si="14"/>
        <v>23</v>
      </c>
      <c r="K164" s="75">
        <f t="shared" si="15"/>
        <v>3.125</v>
      </c>
      <c r="L164" s="75">
        <f>VLOOKUP($A164,'Data Vlaue (Cr)'!$C:$FB,67)</f>
        <v>246</v>
      </c>
      <c r="M164" s="75">
        <f>VLOOKUP($A164,'Data Vlaue (Cr)'!$C:$FB,68)</f>
        <v>266</v>
      </c>
      <c r="N164" s="75">
        <f t="shared" si="16"/>
        <v>-20</v>
      </c>
      <c r="O164" s="75">
        <f t="shared" si="17"/>
        <v>-8.1300813008130071</v>
      </c>
      <c r="P164" s="75">
        <f>VLOOKUP($A164,'Data Vlaue (Cr)'!$C:$FB,119)</f>
        <v>0.42</v>
      </c>
      <c r="Q164" s="75">
        <f>VLOOKUP($A164,'Data Vlaue (Cr)'!$C:$FB,122)*100</f>
        <v>-2.33</v>
      </c>
      <c r="R164" s="75">
        <f>VLOOKUP($A164,'Data Vlaue (Cr)'!$C:$FB,125)</f>
        <v>0.28000000000000003</v>
      </c>
      <c r="S164" s="75">
        <f>VLOOKUP($A164,'Data Vlaue (Cr)'!$C:$FB,128)*100</f>
        <v>47.370000000000005</v>
      </c>
    </row>
    <row r="165" spans="1:19" x14ac:dyDescent="0.25">
      <c r="A165" s="96" t="str">
        <f>'Data Vlaue (Cr)'!C156</f>
        <v>NESTLEIND</v>
      </c>
      <c r="B165" s="75">
        <f>VLOOKUP($A165,'Data Vlaue (Cr)'!$C:$FB,2)</f>
        <v>250</v>
      </c>
      <c r="C165" s="75">
        <f>VLOOKUP($A165,'Data Vlaue (Cr)'!$C:$FB,8)</f>
        <v>2443.5</v>
      </c>
      <c r="D165" s="75">
        <f>VLOOKUP($A165,'Data Vlaue (Cr)'!$C:$FB,4)</f>
        <v>2445.6</v>
      </c>
      <c r="E165" s="75">
        <f>VLOOKUP($A165,'Data Vlaue (Cr)'!$C:$FB,5)</f>
        <v>2475</v>
      </c>
      <c r="F165" s="75">
        <f t="shared" si="12"/>
        <v>2.0999999999999091</v>
      </c>
      <c r="G165" s="75">
        <f t="shared" si="13"/>
        <v>-1.2021589793915641</v>
      </c>
      <c r="H165" s="75">
        <f>VLOOKUP($A165,'Data Vlaue (Cr)'!$C:$FB,99)</f>
        <v>3526</v>
      </c>
      <c r="I165" s="75">
        <f>VLOOKUP($A165,'Data Vlaue (Cr)'!$C:$FB,100)</f>
        <v>3471</v>
      </c>
      <c r="J165" s="75">
        <f t="shared" si="14"/>
        <v>55</v>
      </c>
      <c r="K165" s="75">
        <f t="shared" si="15"/>
        <v>1.559841179807147</v>
      </c>
      <c r="L165" s="75">
        <f>VLOOKUP($A165,'Data Vlaue (Cr)'!$C:$FB,67)</f>
        <v>821</v>
      </c>
      <c r="M165" s="75">
        <f>VLOOKUP($A165,'Data Vlaue (Cr)'!$C:$FB,68)</f>
        <v>987</v>
      </c>
      <c r="N165" s="75">
        <f t="shared" si="16"/>
        <v>-166</v>
      </c>
      <c r="O165" s="75">
        <f t="shared" si="17"/>
        <v>-20.219244823386116</v>
      </c>
      <c r="P165" s="75">
        <f>VLOOKUP($A165,'Data Vlaue (Cr)'!$C:$FB,119)</f>
        <v>1</v>
      </c>
      <c r="Q165" s="75">
        <f>VLOOKUP($A165,'Data Vlaue (Cr)'!$C:$FB,122)*100</f>
        <v>3.09</v>
      </c>
      <c r="R165" s="75">
        <f>VLOOKUP($A165,'Data Vlaue (Cr)'!$C:$FB,125)</f>
        <v>0.79</v>
      </c>
      <c r="S165" s="75">
        <f>VLOOKUP($A165,'Data Vlaue (Cr)'!$C:$FB,128)*100</f>
        <v>-1.25</v>
      </c>
    </row>
    <row r="166" spans="1:19" x14ac:dyDescent="0.25">
      <c r="A166" s="96" t="str">
        <f>'Data Vlaue (Cr)'!C157</f>
        <v>NHPC</v>
      </c>
      <c r="B166" s="75">
        <f>VLOOKUP($A166,'Data Vlaue (Cr)'!$C:$FB,2)</f>
        <v>6400</v>
      </c>
      <c r="C166" s="75">
        <f>VLOOKUP($A166,'Data Vlaue (Cr)'!$C:$FB,8)</f>
        <v>86.33</v>
      </c>
      <c r="D166" s="75">
        <f>VLOOKUP($A166,'Data Vlaue (Cr)'!$C:$FB,4)</f>
        <v>86.58</v>
      </c>
      <c r="E166" s="75">
        <f>VLOOKUP($A166,'Data Vlaue (Cr)'!$C:$FB,5)</f>
        <v>87.75</v>
      </c>
      <c r="F166" s="75">
        <f t="shared" si="12"/>
        <v>0.25</v>
      </c>
      <c r="G166" s="75">
        <f t="shared" si="13"/>
        <v>-1.3513513513513533</v>
      </c>
      <c r="H166" s="75">
        <f>VLOOKUP($A166,'Data Vlaue (Cr)'!$C:$FB,99)</f>
        <v>912</v>
      </c>
      <c r="I166" s="75">
        <f>VLOOKUP($A166,'Data Vlaue (Cr)'!$C:$FB,100)</f>
        <v>913</v>
      </c>
      <c r="J166" s="75">
        <f t="shared" si="14"/>
        <v>-1</v>
      </c>
      <c r="K166" s="75">
        <f t="shared" si="15"/>
        <v>-0.10964912280701754</v>
      </c>
      <c r="L166" s="75">
        <f>VLOOKUP($A166,'Data Vlaue (Cr)'!$C:$FB,67)</f>
        <v>155</v>
      </c>
      <c r="M166" s="75">
        <f>VLOOKUP($A166,'Data Vlaue (Cr)'!$C:$FB,68)</f>
        <v>138</v>
      </c>
      <c r="N166" s="75">
        <f t="shared" si="16"/>
        <v>17</v>
      </c>
      <c r="O166" s="75">
        <f t="shared" si="17"/>
        <v>10.967741935483872</v>
      </c>
      <c r="P166" s="75">
        <f>VLOOKUP($A166,'Data Vlaue (Cr)'!$C:$FB,119)</f>
        <v>0.5</v>
      </c>
      <c r="Q166" s="75">
        <f>VLOOKUP($A166,'Data Vlaue (Cr)'!$C:$FB,122)*100</f>
        <v>-3.85</v>
      </c>
      <c r="R166" s="75">
        <f>VLOOKUP($A166,'Data Vlaue (Cr)'!$C:$FB,125)</f>
        <v>0.27</v>
      </c>
      <c r="S166" s="75">
        <f>VLOOKUP($A166,'Data Vlaue (Cr)'!$C:$FB,128)*100</f>
        <v>-51.790000000000006</v>
      </c>
    </row>
    <row r="167" spans="1:19" x14ac:dyDescent="0.25">
      <c r="A167" s="96" t="str">
        <f>'Data Vlaue (Cr)'!C158</f>
        <v>NIFTY</v>
      </c>
      <c r="B167" s="75">
        <f>VLOOKUP($A167,'Data Vlaue (Cr)'!$C:$FB,2)</f>
        <v>75</v>
      </c>
      <c r="C167" s="75">
        <f>VLOOKUP($A167,'Data Vlaue (Cr)'!$C:$FB,8)</f>
        <v>25060.9</v>
      </c>
      <c r="D167" s="75">
        <f>VLOOKUP($A167,'Data Vlaue (Cr)'!$C:$FB,4)</f>
        <v>25093.9</v>
      </c>
      <c r="E167" s="75">
        <f>VLOOKUP($A167,'Data Vlaue (Cr)'!$C:$FB,5)</f>
        <v>25127.599999999999</v>
      </c>
      <c r="F167" s="75">
        <f t="shared" si="12"/>
        <v>33</v>
      </c>
      <c r="G167" s="75">
        <f t="shared" si="13"/>
        <v>-0.13429558577979941</v>
      </c>
      <c r="H167" s="75">
        <f>VLOOKUP($A167,'Data Vlaue (Cr)'!$C:$FB,99)</f>
        <v>1267480</v>
      </c>
      <c r="I167" s="75">
        <f>VLOOKUP($A167,'Data Vlaue (Cr)'!$C:$FB,100)</f>
        <v>1133746</v>
      </c>
      <c r="J167" s="75">
        <f t="shared" si="14"/>
        <v>133734</v>
      </c>
      <c r="K167" s="75">
        <f t="shared" si="15"/>
        <v>10.551172405087259</v>
      </c>
      <c r="L167" s="75">
        <f>VLOOKUP($A167,'Data Vlaue (Cr)'!$C:$FB,67)</f>
        <v>10184576</v>
      </c>
      <c r="M167" s="75">
        <f>VLOOKUP($A167,'Data Vlaue (Cr)'!$C:$FB,68)</f>
        <v>11391098</v>
      </c>
      <c r="N167" s="75">
        <f t="shared" si="16"/>
        <v>-1206522</v>
      </c>
      <c r="O167" s="75">
        <f t="shared" si="17"/>
        <v>-11.846560917214424</v>
      </c>
      <c r="P167" s="75">
        <f>VLOOKUP($A167,'Data Vlaue (Cr)'!$C:$FB,119)</f>
        <v>0.84</v>
      </c>
      <c r="Q167" s="75">
        <f>VLOOKUP($A167,'Data Vlaue (Cr)'!$C:$FB,122)*100</f>
        <v>-12.5</v>
      </c>
      <c r="R167" s="75">
        <f>VLOOKUP($A167,'Data Vlaue (Cr)'!$C:$FB,125)</f>
        <v>0.98</v>
      </c>
      <c r="S167" s="75">
        <f>VLOOKUP($A167,'Data Vlaue (Cr)'!$C:$FB,128)*100</f>
        <v>15.290000000000001</v>
      </c>
    </row>
    <row r="168" spans="1:19" x14ac:dyDescent="0.25">
      <c r="A168" s="96" t="str">
        <f>'Data Vlaue (Cr)'!C159</f>
        <v>NIFTYNXT50</v>
      </c>
      <c r="B168" s="75">
        <f>VLOOKUP($A168,'Data Vlaue (Cr)'!$C:$FB,2)</f>
        <v>25</v>
      </c>
      <c r="C168" s="75">
        <f>VLOOKUP($A168,'Data Vlaue (Cr)'!$C:$FB,8)</f>
        <v>68253.899999999994</v>
      </c>
      <c r="D168" s="75">
        <f>VLOOKUP($A168,'Data Vlaue (Cr)'!$C:$FB,4)</f>
        <v>68212.600000000006</v>
      </c>
      <c r="E168" s="75">
        <f>VLOOKUP($A168,'Data Vlaue (Cr)'!$C:$FB,5)</f>
        <v>68591.600000000006</v>
      </c>
      <c r="F168" s="75">
        <f t="shared" si="12"/>
        <v>-41.299999999988358</v>
      </c>
      <c r="G168" s="75">
        <f t="shared" si="13"/>
        <v>-0.55561582464236803</v>
      </c>
      <c r="H168" s="75">
        <f>VLOOKUP($A168,'Data Vlaue (Cr)'!$C:$FB,99)</f>
        <v>240</v>
      </c>
      <c r="I168" s="75">
        <f>VLOOKUP($A168,'Data Vlaue (Cr)'!$C:$FB,100)</f>
        <v>256</v>
      </c>
      <c r="J168" s="75">
        <f t="shared" si="14"/>
        <v>-16</v>
      </c>
      <c r="K168" s="75">
        <f t="shared" si="15"/>
        <v>-6.666666666666667</v>
      </c>
      <c r="L168" s="75">
        <f>VLOOKUP($A168,'Data Vlaue (Cr)'!$C:$FB,67)</f>
        <v>130</v>
      </c>
      <c r="M168" s="75">
        <f>VLOOKUP($A168,'Data Vlaue (Cr)'!$C:$FB,68)</f>
        <v>146</v>
      </c>
      <c r="N168" s="75">
        <f t="shared" si="16"/>
        <v>-16</v>
      </c>
      <c r="O168" s="75">
        <f t="shared" si="17"/>
        <v>-12.307692307692308</v>
      </c>
      <c r="P168" s="75">
        <f>VLOOKUP($A168,'Data Vlaue (Cr)'!$C:$FB,119)</f>
        <v>0.35</v>
      </c>
      <c r="Q168" s="75">
        <f>VLOOKUP($A168,'Data Vlaue (Cr)'!$C:$FB,122)*100</f>
        <v>6.0600000000000005</v>
      </c>
      <c r="R168" s="75">
        <f>VLOOKUP($A168,'Data Vlaue (Cr)'!$C:$FB,125)</f>
        <v>0.37</v>
      </c>
      <c r="S168" s="75">
        <f>VLOOKUP($A168,'Data Vlaue (Cr)'!$C:$FB,128)*100</f>
        <v>-17.78</v>
      </c>
    </row>
    <row r="169" spans="1:19" x14ac:dyDescent="0.25">
      <c r="A169" s="96" t="str">
        <f>'Data Vlaue (Cr)'!C160</f>
        <v>NMDC</v>
      </c>
      <c r="B169" s="75">
        <f>VLOOKUP($A169,'Data Vlaue (Cr)'!$C:$FB,2)</f>
        <v>13500</v>
      </c>
      <c r="C169" s="75">
        <f>VLOOKUP($A169,'Data Vlaue (Cr)'!$C:$FB,8)</f>
        <v>72.14</v>
      </c>
      <c r="D169" s="75">
        <f>VLOOKUP($A169,'Data Vlaue (Cr)'!$C:$FB,4)</f>
        <v>72.38</v>
      </c>
      <c r="E169" s="75">
        <f>VLOOKUP($A169,'Data Vlaue (Cr)'!$C:$FB,5)</f>
        <v>72.17</v>
      </c>
      <c r="F169" s="75">
        <f t="shared" si="12"/>
        <v>0.23999999999999488</v>
      </c>
      <c r="G169" s="75">
        <f t="shared" si="13"/>
        <v>0.29013539651836662</v>
      </c>
      <c r="H169" s="75">
        <f>VLOOKUP($A169,'Data Vlaue (Cr)'!$C:$FB,99)</f>
        <v>3723</v>
      </c>
      <c r="I169" s="75">
        <f>VLOOKUP($A169,'Data Vlaue (Cr)'!$C:$FB,100)</f>
        <v>3693</v>
      </c>
      <c r="J169" s="75">
        <f t="shared" si="14"/>
        <v>30</v>
      </c>
      <c r="K169" s="75">
        <f t="shared" si="15"/>
        <v>0.80580177276389997</v>
      </c>
      <c r="L169" s="75">
        <f>VLOOKUP($A169,'Data Vlaue (Cr)'!$C:$FB,67)</f>
        <v>1831</v>
      </c>
      <c r="M169" s="75">
        <f>VLOOKUP($A169,'Data Vlaue (Cr)'!$C:$FB,68)</f>
        <v>1796</v>
      </c>
      <c r="N169" s="75">
        <f t="shared" si="16"/>
        <v>35</v>
      </c>
      <c r="O169" s="75">
        <f t="shared" si="17"/>
        <v>1.9115237575095576</v>
      </c>
      <c r="P169" s="75">
        <f>VLOOKUP($A169,'Data Vlaue (Cr)'!$C:$FB,119)</f>
        <v>0.74</v>
      </c>
      <c r="Q169" s="75">
        <f>VLOOKUP($A169,'Data Vlaue (Cr)'!$C:$FB,122)*100</f>
        <v>0</v>
      </c>
      <c r="R169" s="75">
        <f>VLOOKUP($A169,'Data Vlaue (Cr)'!$C:$FB,125)</f>
        <v>0.5</v>
      </c>
      <c r="S169" s="75">
        <f>VLOOKUP($A169,'Data Vlaue (Cr)'!$C:$FB,128)*100</f>
        <v>-1.96</v>
      </c>
    </row>
    <row r="170" spans="1:19" x14ac:dyDescent="0.25">
      <c r="A170" s="96" t="str">
        <f>'Data Vlaue (Cr)'!C161</f>
        <v>NTPC</v>
      </c>
      <c r="B170" s="75">
        <f>VLOOKUP($A170,'Data Vlaue (Cr)'!$C:$FB,2)</f>
        <v>1500</v>
      </c>
      <c r="C170" s="75">
        <f>VLOOKUP($A170,'Data Vlaue (Cr)'!$C:$FB,8)</f>
        <v>340.85</v>
      </c>
      <c r="D170" s="75">
        <f>VLOOKUP($A170,'Data Vlaue (Cr)'!$C:$FB,4)</f>
        <v>341.3</v>
      </c>
      <c r="E170" s="75">
        <f>VLOOKUP($A170,'Data Vlaue (Cr)'!$C:$FB,5)</f>
        <v>341.75</v>
      </c>
      <c r="F170" s="75">
        <f t="shared" si="12"/>
        <v>0.44999999999998863</v>
      </c>
      <c r="G170" s="75">
        <f t="shared" si="13"/>
        <v>-0.13184881336067641</v>
      </c>
      <c r="H170" s="75">
        <f>VLOOKUP($A170,'Data Vlaue (Cr)'!$C:$FB,99)</f>
        <v>7621</v>
      </c>
      <c r="I170" s="75">
        <f>VLOOKUP($A170,'Data Vlaue (Cr)'!$C:$FB,100)</f>
        <v>7578</v>
      </c>
      <c r="J170" s="75">
        <f t="shared" si="14"/>
        <v>43</v>
      </c>
      <c r="K170" s="75">
        <f t="shared" si="15"/>
        <v>0.56423041595591128</v>
      </c>
      <c r="L170" s="75">
        <f>VLOOKUP($A170,'Data Vlaue (Cr)'!$C:$FB,67)</f>
        <v>1621</v>
      </c>
      <c r="M170" s="75">
        <f>VLOOKUP($A170,'Data Vlaue (Cr)'!$C:$FB,68)</f>
        <v>1930</v>
      </c>
      <c r="N170" s="75">
        <f t="shared" si="16"/>
        <v>-309</v>
      </c>
      <c r="O170" s="75">
        <f t="shared" si="17"/>
        <v>-19.062307217766811</v>
      </c>
      <c r="P170" s="75">
        <f>VLOOKUP($A170,'Data Vlaue (Cr)'!$C:$FB,119)</f>
        <v>0.33</v>
      </c>
      <c r="Q170" s="75">
        <f>VLOOKUP($A170,'Data Vlaue (Cr)'!$C:$FB,122)*100</f>
        <v>3.1300000000000003</v>
      </c>
      <c r="R170" s="75">
        <f>VLOOKUP($A170,'Data Vlaue (Cr)'!$C:$FB,125)</f>
        <v>0.44</v>
      </c>
      <c r="S170" s="75">
        <f>VLOOKUP($A170,'Data Vlaue (Cr)'!$C:$FB,128)*100</f>
        <v>4.7600000000000007</v>
      </c>
    </row>
    <row r="171" spans="1:19" x14ac:dyDescent="0.25">
      <c r="A171" s="96" t="str">
        <f>'Data Vlaue (Cr)'!C162</f>
        <v>NYKAA</v>
      </c>
      <c r="B171" s="75">
        <f>VLOOKUP($A171,'Data Vlaue (Cr)'!$C:$FB,2)</f>
        <v>3125</v>
      </c>
      <c r="C171" s="75">
        <f>VLOOKUP($A171,'Data Vlaue (Cr)'!$C:$FB,8)</f>
        <v>220.03</v>
      </c>
      <c r="D171" s="75">
        <f>VLOOKUP($A171,'Data Vlaue (Cr)'!$C:$FB,4)</f>
        <v>220.1</v>
      </c>
      <c r="E171" s="75">
        <f>VLOOKUP($A171,'Data Vlaue (Cr)'!$C:$FB,5)</f>
        <v>215.49</v>
      </c>
      <c r="F171" s="75">
        <f t="shared" si="12"/>
        <v>6.9999999999993179E-2</v>
      </c>
      <c r="G171" s="75">
        <f t="shared" si="13"/>
        <v>2.0945024988641459</v>
      </c>
      <c r="H171" s="75">
        <f>VLOOKUP($A171,'Data Vlaue (Cr)'!$C:$FB,99)</f>
        <v>1866</v>
      </c>
      <c r="I171" s="75">
        <f>VLOOKUP($A171,'Data Vlaue (Cr)'!$C:$FB,100)</f>
        <v>1600</v>
      </c>
      <c r="J171" s="75">
        <f t="shared" si="14"/>
        <v>266</v>
      </c>
      <c r="K171" s="75">
        <f t="shared" si="15"/>
        <v>14.255091103965704</v>
      </c>
      <c r="L171" s="75">
        <f>VLOOKUP($A171,'Data Vlaue (Cr)'!$C:$FB,67)</f>
        <v>2265</v>
      </c>
      <c r="M171" s="75">
        <f>VLOOKUP($A171,'Data Vlaue (Cr)'!$C:$FB,68)</f>
        <v>285</v>
      </c>
      <c r="N171" s="75">
        <f t="shared" si="16"/>
        <v>1980</v>
      </c>
      <c r="O171" s="75">
        <f t="shared" si="17"/>
        <v>87.41721854304636</v>
      </c>
      <c r="P171" s="75">
        <f>VLOOKUP($A171,'Data Vlaue (Cr)'!$C:$FB,119)</f>
        <v>0.54</v>
      </c>
      <c r="Q171" s="75">
        <f>VLOOKUP($A171,'Data Vlaue (Cr)'!$C:$FB,122)*100</f>
        <v>-29.87</v>
      </c>
      <c r="R171" s="75">
        <f>VLOOKUP($A171,'Data Vlaue (Cr)'!$C:$FB,125)</f>
        <v>0.2</v>
      </c>
      <c r="S171" s="75">
        <f>VLOOKUP($A171,'Data Vlaue (Cr)'!$C:$FB,128)*100</f>
        <v>-68.25</v>
      </c>
    </row>
    <row r="172" spans="1:19" x14ac:dyDescent="0.25">
      <c r="A172" s="96" t="str">
        <f>'Data Vlaue (Cr)'!C163</f>
        <v>OBEROIRLTY</v>
      </c>
      <c r="B172" s="75">
        <f>VLOOKUP($A172,'Data Vlaue (Cr)'!$C:$FB,2)</f>
        <v>350</v>
      </c>
      <c r="C172" s="75">
        <f>VLOOKUP($A172,'Data Vlaue (Cr)'!$C:$FB,8)</f>
        <v>1826.2</v>
      </c>
      <c r="D172" s="75">
        <f>VLOOKUP($A172,'Data Vlaue (Cr)'!$C:$FB,4)</f>
        <v>1824.2</v>
      </c>
      <c r="E172" s="75">
        <f>VLOOKUP($A172,'Data Vlaue (Cr)'!$C:$FB,5)</f>
        <v>1836.5</v>
      </c>
      <c r="F172" s="75">
        <f t="shared" si="12"/>
        <v>-2</v>
      </c>
      <c r="G172" s="75">
        <f t="shared" si="13"/>
        <v>-0.67426817234952063</v>
      </c>
      <c r="H172" s="75">
        <f>VLOOKUP($A172,'Data Vlaue (Cr)'!$C:$FB,99)</f>
        <v>1674</v>
      </c>
      <c r="I172" s="75">
        <f>VLOOKUP($A172,'Data Vlaue (Cr)'!$C:$FB,100)</f>
        <v>1644</v>
      </c>
      <c r="J172" s="75">
        <f t="shared" si="14"/>
        <v>30</v>
      </c>
      <c r="K172" s="75">
        <f t="shared" si="15"/>
        <v>1.7921146953405016</v>
      </c>
      <c r="L172" s="75">
        <f>VLOOKUP($A172,'Data Vlaue (Cr)'!$C:$FB,67)</f>
        <v>2216</v>
      </c>
      <c r="M172" s="75">
        <f>VLOOKUP($A172,'Data Vlaue (Cr)'!$C:$FB,68)</f>
        <v>967</v>
      </c>
      <c r="N172" s="75">
        <f t="shared" si="16"/>
        <v>1249</v>
      </c>
      <c r="O172" s="75">
        <f t="shared" si="17"/>
        <v>56.362815884476532</v>
      </c>
      <c r="P172" s="75">
        <f>VLOOKUP($A172,'Data Vlaue (Cr)'!$C:$FB,119)</f>
        <v>0.61</v>
      </c>
      <c r="Q172" s="75">
        <f>VLOOKUP($A172,'Data Vlaue (Cr)'!$C:$FB,122)*100</f>
        <v>-3.17</v>
      </c>
      <c r="R172" s="75">
        <f>VLOOKUP($A172,'Data Vlaue (Cr)'!$C:$FB,125)</f>
        <v>0.78</v>
      </c>
      <c r="S172" s="75">
        <f>VLOOKUP($A172,'Data Vlaue (Cr)'!$C:$FB,128)*100</f>
        <v>4</v>
      </c>
    </row>
    <row r="173" spans="1:19" x14ac:dyDescent="0.25">
      <c r="A173" s="96" t="str">
        <f>'Data Vlaue (Cr)'!C164</f>
        <v>OFSS</v>
      </c>
      <c r="B173" s="75">
        <f>VLOOKUP($A173,'Data Vlaue (Cr)'!$C:$FB,2)</f>
        <v>75</v>
      </c>
      <c r="C173" s="75">
        <f>VLOOKUP($A173,'Data Vlaue (Cr)'!$C:$FB,8)</f>
        <v>8707.5</v>
      </c>
      <c r="D173" s="75">
        <f>VLOOKUP($A173,'Data Vlaue (Cr)'!$C:$FB,4)</f>
        <v>8729</v>
      </c>
      <c r="E173" s="75">
        <f>VLOOKUP($A173,'Data Vlaue (Cr)'!$C:$FB,5)</f>
        <v>8830</v>
      </c>
      <c r="F173" s="75">
        <f t="shared" si="12"/>
        <v>21.5</v>
      </c>
      <c r="G173" s="75">
        <f t="shared" si="13"/>
        <v>-1.1570626646809485</v>
      </c>
      <c r="H173" s="75">
        <f>VLOOKUP($A173,'Data Vlaue (Cr)'!$C:$FB,99)</f>
        <v>1925</v>
      </c>
      <c r="I173" s="75">
        <f>VLOOKUP($A173,'Data Vlaue (Cr)'!$C:$FB,100)</f>
        <v>1849</v>
      </c>
      <c r="J173" s="75">
        <f t="shared" si="14"/>
        <v>76</v>
      </c>
      <c r="K173" s="75">
        <f t="shared" si="15"/>
        <v>3.9480519480519485</v>
      </c>
      <c r="L173" s="75">
        <f>VLOOKUP($A173,'Data Vlaue (Cr)'!$C:$FB,67)</f>
        <v>726</v>
      </c>
      <c r="M173" s="75">
        <f>VLOOKUP($A173,'Data Vlaue (Cr)'!$C:$FB,68)</f>
        <v>749</v>
      </c>
      <c r="N173" s="75">
        <f t="shared" si="16"/>
        <v>-23</v>
      </c>
      <c r="O173" s="75">
        <f t="shared" si="17"/>
        <v>-3.1680440771349865</v>
      </c>
      <c r="P173" s="75">
        <f>VLOOKUP($A173,'Data Vlaue (Cr)'!$C:$FB,119)</f>
        <v>0.52</v>
      </c>
      <c r="Q173" s="75">
        <f>VLOOKUP($A173,'Data Vlaue (Cr)'!$C:$FB,122)*100</f>
        <v>-5.45</v>
      </c>
      <c r="R173" s="75">
        <f>VLOOKUP($A173,'Data Vlaue (Cr)'!$C:$FB,125)</f>
        <v>0.51</v>
      </c>
      <c r="S173" s="75">
        <f>VLOOKUP($A173,'Data Vlaue (Cr)'!$C:$FB,128)*100</f>
        <v>24.39</v>
      </c>
    </row>
    <row r="174" spans="1:19" x14ac:dyDescent="0.25">
      <c r="A174" s="96" t="str">
        <f>'Data Vlaue (Cr)'!C165</f>
        <v>OIL</v>
      </c>
      <c r="B174" s="75">
        <f>VLOOKUP($A174,'Data Vlaue (Cr)'!$C:$FB,2)</f>
        <v>1400</v>
      </c>
      <c r="C174" s="75">
        <f>VLOOKUP($A174,'Data Vlaue (Cr)'!$C:$FB,8)</f>
        <v>451.35</v>
      </c>
      <c r="D174" s="75">
        <f>VLOOKUP($A174,'Data Vlaue (Cr)'!$C:$FB,4)</f>
        <v>452.6</v>
      </c>
      <c r="E174" s="75">
        <f>VLOOKUP($A174,'Data Vlaue (Cr)'!$C:$FB,5)</f>
        <v>454.5</v>
      </c>
      <c r="F174" s="75">
        <f t="shared" si="12"/>
        <v>1.25</v>
      </c>
      <c r="G174" s="75">
        <f t="shared" si="13"/>
        <v>-0.41979673000441381</v>
      </c>
      <c r="H174" s="75">
        <f>VLOOKUP($A174,'Data Vlaue (Cr)'!$C:$FB,99)</f>
        <v>1269</v>
      </c>
      <c r="I174" s="75">
        <f>VLOOKUP($A174,'Data Vlaue (Cr)'!$C:$FB,100)</f>
        <v>1264</v>
      </c>
      <c r="J174" s="75">
        <f t="shared" si="14"/>
        <v>5</v>
      </c>
      <c r="K174" s="75">
        <f t="shared" si="15"/>
        <v>0.39401103230890461</v>
      </c>
      <c r="L174" s="75">
        <f>VLOOKUP($A174,'Data Vlaue (Cr)'!$C:$FB,67)</f>
        <v>438</v>
      </c>
      <c r="M174" s="75">
        <f>VLOOKUP($A174,'Data Vlaue (Cr)'!$C:$FB,68)</f>
        <v>474</v>
      </c>
      <c r="N174" s="75">
        <f t="shared" si="16"/>
        <v>-36</v>
      </c>
      <c r="O174" s="75">
        <f t="shared" si="17"/>
        <v>-8.2191780821917799</v>
      </c>
      <c r="P174" s="75">
        <f>VLOOKUP($A174,'Data Vlaue (Cr)'!$C:$FB,119)</f>
        <v>0.57999999999999996</v>
      </c>
      <c r="Q174" s="75">
        <f>VLOOKUP($A174,'Data Vlaue (Cr)'!$C:$FB,122)*100</f>
        <v>-4.92</v>
      </c>
      <c r="R174" s="75">
        <f>VLOOKUP($A174,'Data Vlaue (Cr)'!$C:$FB,125)</f>
        <v>0.32</v>
      </c>
      <c r="S174" s="75">
        <f>VLOOKUP($A174,'Data Vlaue (Cr)'!$C:$FB,128)*100</f>
        <v>-20</v>
      </c>
    </row>
    <row r="175" spans="1:19" x14ac:dyDescent="0.25">
      <c r="A175" s="96" t="str">
        <f>'Data Vlaue (Cr)'!C166</f>
        <v>ONGC</v>
      </c>
      <c r="B175" s="75">
        <f>VLOOKUP($A175,'Data Vlaue (Cr)'!$C:$FB,2)</f>
        <v>2250</v>
      </c>
      <c r="C175" s="75">
        <f>VLOOKUP($A175,'Data Vlaue (Cr)'!$C:$FB,8)</f>
        <v>246.41</v>
      </c>
      <c r="D175" s="75">
        <f>VLOOKUP($A175,'Data Vlaue (Cr)'!$C:$FB,4)</f>
        <v>246.32</v>
      </c>
      <c r="E175" s="75">
        <f>VLOOKUP($A175,'Data Vlaue (Cr)'!$C:$FB,5)</f>
        <v>245.42</v>
      </c>
      <c r="F175" s="75">
        <f t="shared" si="12"/>
        <v>-9.0000000000003411E-2</v>
      </c>
      <c r="G175" s="75">
        <f t="shared" si="13"/>
        <v>0.36537836960052195</v>
      </c>
      <c r="H175" s="75">
        <f>VLOOKUP($A175,'Data Vlaue (Cr)'!$C:$FB,99)</f>
        <v>4956</v>
      </c>
      <c r="I175" s="75">
        <f>VLOOKUP($A175,'Data Vlaue (Cr)'!$C:$FB,100)</f>
        <v>4990</v>
      </c>
      <c r="J175" s="75">
        <f t="shared" si="14"/>
        <v>-34</v>
      </c>
      <c r="K175" s="75">
        <f t="shared" si="15"/>
        <v>-0.68603712671509276</v>
      </c>
      <c r="L175" s="75">
        <f>VLOOKUP($A175,'Data Vlaue (Cr)'!$C:$FB,67)</f>
        <v>2126</v>
      </c>
      <c r="M175" s="75">
        <f>VLOOKUP($A175,'Data Vlaue (Cr)'!$C:$FB,68)</f>
        <v>1845</v>
      </c>
      <c r="N175" s="75">
        <f t="shared" si="16"/>
        <v>281</v>
      </c>
      <c r="O175" s="75">
        <f t="shared" si="17"/>
        <v>13.217309501411101</v>
      </c>
      <c r="P175" s="75">
        <f>VLOOKUP($A175,'Data Vlaue (Cr)'!$C:$FB,119)</f>
        <v>0.28000000000000003</v>
      </c>
      <c r="Q175" s="75">
        <f>VLOOKUP($A175,'Data Vlaue (Cr)'!$C:$FB,122)*100</f>
        <v>3.6999999999999997</v>
      </c>
      <c r="R175" s="75">
        <f>VLOOKUP($A175,'Data Vlaue (Cr)'!$C:$FB,125)</f>
        <v>0.43</v>
      </c>
      <c r="S175" s="75">
        <f>VLOOKUP($A175,'Data Vlaue (Cr)'!$C:$FB,128)*100</f>
        <v>43.33</v>
      </c>
    </row>
    <row r="176" spans="1:19" x14ac:dyDescent="0.25">
      <c r="A176" s="96" t="str">
        <f>'Data Vlaue (Cr)'!C167</f>
        <v>PAGEIND</v>
      </c>
      <c r="B176" s="75">
        <f>VLOOKUP($A176,'Data Vlaue (Cr)'!$C:$FB,2)</f>
        <v>15</v>
      </c>
      <c r="C176" s="75">
        <f>VLOOKUP($A176,'Data Vlaue (Cr)'!$C:$FB,8)</f>
        <v>46295</v>
      </c>
      <c r="D176" s="75">
        <f>VLOOKUP($A176,'Data Vlaue (Cr)'!$C:$FB,4)</f>
        <v>46360</v>
      </c>
      <c r="E176" s="75">
        <f>VLOOKUP($A176,'Data Vlaue (Cr)'!$C:$FB,5)</f>
        <v>46605</v>
      </c>
      <c r="F176" s="75">
        <f t="shared" si="12"/>
        <v>65</v>
      </c>
      <c r="G176" s="75">
        <f t="shared" si="13"/>
        <v>-0.52847282139775675</v>
      </c>
      <c r="H176" s="75">
        <f>VLOOKUP($A176,'Data Vlaue (Cr)'!$C:$FB,99)</f>
        <v>1875</v>
      </c>
      <c r="I176" s="75">
        <f>VLOOKUP($A176,'Data Vlaue (Cr)'!$C:$FB,100)</f>
        <v>1922</v>
      </c>
      <c r="J176" s="75">
        <f t="shared" si="14"/>
        <v>-47</v>
      </c>
      <c r="K176" s="75">
        <f t="shared" si="15"/>
        <v>-2.5066666666666668</v>
      </c>
      <c r="L176" s="75">
        <f>VLOOKUP($A176,'Data Vlaue (Cr)'!$C:$FB,67)</f>
        <v>784</v>
      </c>
      <c r="M176" s="75">
        <f>VLOOKUP($A176,'Data Vlaue (Cr)'!$C:$FB,68)</f>
        <v>648</v>
      </c>
      <c r="N176" s="75">
        <f t="shared" si="16"/>
        <v>136</v>
      </c>
      <c r="O176" s="75">
        <f t="shared" si="17"/>
        <v>17.346938775510203</v>
      </c>
      <c r="P176" s="75">
        <f>VLOOKUP($A176,'Data Vlaue (Cr)'!$C:$FB,119)</f>
        <v>0.26</v>
      </c>
      <c r="Q176" s="75">
        <f>VLOOKUP($A176,'Data Vlaue (Cr)'!$C:$FB,122)*100</f>
        <v>0</v>
      </c>
      <c r="R176" s="75">
        <f>VLOOKUP($A176,'Data Vlaue (Cr)'!$C:$FB,125)</f>
        <v>0.06</v>
      </c>
      <c r="S176" s="75">
        <f>VLOOKUP($A176,'Data Vlaue (Cr)'!$C:$FB,128)*100</f>
        <v>-33.33</v>
      </c>
    </row>
    <row r="177" spans="1:19" x14ac:dyDescent="0.25">
      <c r="A177" s="96" t="str">
        <f>'Data Vlaue (Cr)'!C168</f>
        <v>PATANJALI</v>
      </c>
      <c r="B177" s="75">
        <f>VLOOKUP($A177,'Data Vlaue (Cr)'!$C:$FB,2)</f>
        <v>300</v>
      </c>
      <c r="C177" s="75">
        <f>VLOOKUP($A177,'Data Vlaue (Cr)'!$C:$FB,8)</f>
        <v>1942</v>
      </c>
      <c r="D177" s="75">
        <f>VLOOKUP($A177,'Data Vlaue (Cr)'!$C:$FB,4)</f>
        <v>1944.2</v>
      </c>
      <c r="E177" s="75">
        <f>VLOOKUP($A177,'Data Vlaue (Cr)'!$C:$FB,5)</f>
        <v>1944.9</v>
      </c>
      <c r="F177" s="75">
        <f t="shared" ref="F177:F185" si="18">D177-C177</f>
        <v>2.2000000000000455</v>
      </c>
      <c r="G177" s="75">
        <f t="shared" ref="G177:G185" si="19">(D177-E177)/D177*100</f>
        <v>-3.6004526283306526E-2</v>
      </c>
      <c r="H177" s="75">
        <f>VLOOKUP($A177,'Data Vlaue (Cr)'!$C:$FB,99)</f>
        <v>3395</v>
      </c>
      <c r="I177" s="75">
        <f>VLOOKUP($A177,'Data Vlaue (Cr)'!$C:$FB,100)</f>
        <v>3513</v>
      </c>
      <c r="J177" s="75">
        <f t="shared" ref="J177:J185" si="20">H177-I177</f>
        <v>-118</v>
      </c>
      <c r="K177" s="75">
        <f t="shared" ref="K177:K185" si="21">J177/H177*100</f>
        <v>-3.4756995581737851</v>
      </c>
      <c r="L177" s="75">
        <f>VLOOKUP($A177,'Data Vlaue (Cr)'!$C:$FB,67)</f>
        <v>1430</v>
      </c>
      <c r="M177" s="75">
        <f>VLOOKUP($A177,'Data Vlaue (Cr)'!$C:$FB,68)</f>
        <v>2164</v>
      </c>
      <c r="N177" s="75">
        <f t="shared" ref="N177:N185" si="22">L177-M177</f>
        <v>-734</v>
      </c>
      <c r="O177" s="75">
        <f t="shared" ref="O177:O185" si="23">N177/L177*100</f>
        <v>-51.328671328671327</v>
      </c>
      <c r="P177" s="75">
        <f>VLOOKUP($A177,'Data Vlaue (Cr)'!$C:$FB,119)</f>
        <v>0.52</v>
      </c>
      <c r="Q177" s="75">
        <f>VLOOKUP($A177,'Data Vlaue (Cr)'!$C:$FB,122)*100</f>
        <v>-1.8900000000000001</v>
      </c>
      <c r="R177" s="75">
        <f>VLOOKUP($A177,'Data Vlaue (Cr)'!$C:$FB,125)</f>
        <v>0.57999999999999996</v>
      </c>
      <c r="S177" s="75">
        <f>VLOOKUP($A177,'Data Vlaue (Cr)'!$C:$FB,128)*100</f>
        <v>20.830000000000002</v>
      </c>
    </row>
    <row r="178" spans="1:19" x14ac:dyDescent="0.25">
      <c r="A178" s="96" t="str">
        <f>'Data Vlaue (Cr)'!C169</f>
        <v>PAYTM</v>
      </c>
      <c r="B178" s="75">
        <f>VLOOKUP($A178,'Data Vlaue (Cr)'!$C:$FB,2)</f>
        <v>725</v>
      </c>
      <c r="C178" s="75">
        <f>VLOOKUP($A178,'Data Vlaue (Cr)'!$C:$FB,8)</f>
        <v>1051.05</v>
      </c>
      <c r="D178" s="75">
        <f>VLOOKUP($A178,'Data Vlaue (Cr)'!$C:$FB,4)</f>
        <v>1055.2</v>
      </c>
      <c r="E178" s="75">
        <f>VLOOKUP($A178,'Data Vlaue (Cr)'!$C:$FB,5)</f>
        <v>1019.55</v>
      </c>
      <c r="F178" s="75">
        <f t="shared" si="18"/>
        <v>4.1500000000000909</v>
      </c>
      <c r="G178" s="75">
        <f t="shared" si="19"/>
        <v>3.3785064442759749</v>
      </c>
      <c r="H178" s="75">
        <f>VLOOKUP($A178,'Data Vlaue (Cr)'!$C:$FB,99)</f>
        <v>4970</v>
      </c>
      <c r="I178" s="75">
        <f>VLOOKUP($A178,'Data Vlaue (Cr)'!$C:$FB,100)</f>
        <v>4482</v>
      </c>
      <c r="J178" s="75">
        <f t="shared" si="20"/>
        <v>488</v>
      </c>
      <c r="K178" s="75">
        <f t="shared" si="21"/>
        <v>9.8189134808853122</v>
      </c>
      <c r="L178" s="75">
        <f>VLOOKUP($A178,'Data Vlaue (Cr)'!$C:$FB,67)</f>
        <v>9936</v>
      </c>
      <c r="M178" s="75">
        <f>VLOOKUP($A178,'Data Vlaue (Cr)'!$C:$FB,68)</f>
        <v>2436</v>
      </c>
      <c r="N178" s="75">
        <f t="shared" si="22"/>
        <v>7500</v>
      </c>
      <c r="O178" s="75">
        <f t="shared" si="23"/>
        <v>75.483091787439619</v>
      </c>
      <c r="P178" s="75">
        <f>VLOOKUP($A178,'Data Vlaue (Cr)'!$C:$FB,119)</f>
        <v>0.71</v>
      </c>
      <c r="Q178" s="75">
        <f>VLOOKUP($A178,'Data Vlaue (Cr)'!$C:$FB,122)*100</f>
        <v>-15.479999999999999</v>
      </c>
      <c r="R178" s="75">
        <f>VLOOKUP($A178,'Data Vlaue (Cr)'!$C:$FB,125)</f>
        <v>0.41</v>
      </c>
      <c r="S178" s="75">
        <f>VLOOKUP($A178,'Data Vlaue (Cr)'!$C:$FB,128)*100</f>
        <v>-25.45</v>
      </c>
    </row>
    <row r="179" spans="1:19" x14ac:dyDescent="0.25">
      <c r="A179" s="96" t="str">
        <f>'Data Vlaue (Cr)'!C170</f>
        <v>PEL</v>
      </c>
      <c r="B179" s="75">
        <f>VLOOKUP($A179,'Data Vlaue (Cr)'!$C:$FB,2)</f>
        <v>750</v>
      </c>
      <c r="C179" s="75">
        <f>VLOOKUP($A179,'Data Vlaue (Cr)'!$C:$FB,8)</f>
        <v>1287.4000000000001</v>
      </c>
      <c r="D179" s="75">
        <f>VLOOKUP($A179,'Data Vlaue (Cr)'!$C:$FB,4)</f>
        <v>1287.8</v>
      </c>
      <c r="E179" s="75">
        <f>VLOOKUP($A179,'Data Vlaue (Cr)'!$C:$FB,5)</f>
        <v>1305.8</v>
      </c>
      <c r="F179" s="75">
        <f t="shared" si="18"/>
        <v>0.39999999999986358</v>
      </c>
      <c r="G179" s="75">
        <f t="shared" si="19"/>
        <v>-1.397732567168815</v>
      </c>
      <c r="H179" s="75">
        <f>VLOOKUP($A179,'Data Vlaue (Cr)'!$C:$FB,99)</f>
        <v>1645</v>
      </c>
      <c r="I179" s="75">
        <f>VLOOKUP($A179,'Data Vlaue (Cr)'!$C:$FB,100)</f>
        <v>1701</v>
      </c>
      <c r="J179" s="75">
        <f t="shared" si="20"/>
        <v>-56</v>
      </c>
      <c r="K179" s="75">
        <f t="shared" si="21"/>
        <v>-3.4042553191489362</v>
      </c>
      <c r="L179" s="75">
        <f>VLOOKUP($A179,'Data Vlaue (Cr)'!$C:$FB,67)</f>
        <v>740</v>
      </c>
      <c r="M179" s="75">
        <f>VLOOKUP($A179,'Data Vlaue (Cr)'!$C:$FB,68)</f>
        <v>1313</v>
      </c>
      <c r="N179" s="75">
        <f t="shared" si="22"/>
        <v>-573</v>
      </c>
      <c r="O179" s="75">
        <f t="shared" si="23"/>
        <v>-77.432432432432435</v>
      </c>
      <c r="P179" s="75">
        <f>VLOOKUP($A179,'Data Vlaue (Cr)'!$C:$FB,119)</f>
        <v>0.71</v>
      </c>
      <c r="Q179" s="75">
        <f>VLOOKUP($A179,'Data Vlaue (Cr)'!$C:$FB,122)*100</f>
        <v>-7.79</v>
      </c>
      <c r="R179" s="75">
        <f>VLOOKUP($A179,'Data Vlaue (Cr)'!$C:$FB,125)</f>
        <v>0.75</v>
      </c>
      <c r="S179" s="75">
        <f>VLOOKUP($A179,'Data Vlaue (Cr)'!$C:$FB,128)*100</f>
        <v>-20.21</v>
      </c>
    </row>
    <row r="180" spans="1:19" x14ac:dyDescent="0.25">
      <c r="A180" s="96" t="str">
        <f>'Data Vlaue (Cr)'!C171</f>
        <v>PERSISTENT</v>
      </c>
      <c r="B180" s="75">
        <f>VLOOKUP($A180,'Data Vlaue (Cr)'!$C:$FB,2)</f>
        <v>100</v>
      </c>
      <c r="C180" s="75">
        <f>VLOOKUP($A180,'Data Vlaue (Cr)'!$C:$FB,8)</f>
        <v>5713.5</v>
      </c>
      <c r="D180" s="75">
        <f>VLOOKUP($A180,'Data Vlaue (Cr)'!$C:$FB,4)</f>
        <v>5728.5</v>
      </c>
      <c r="E180" s="75">
        <f>VLOOKUP($A180,'Data Vlaue (Cr)'!$C:$FB,5)</f>
        <v>5779</v>
      </c>
      <c r="F180" s="75">
        <f t="shared" si="18"/>
        <v>15</v>
      </c>
      <c r="G180" s="75">
        <f t="shared" si="19"/>
        <v>-0.88155712664746444</v>
      </c>
      <c r="H180" s="75">
        <f>VLOOKUP($A180,'Data Vlaue (Cr)'!$C:$FB,99)</f>
        <v>2906</v>
      </c>
      <c r="I180" s="75">
        <f>VLOOKUP($A180,'Data Vlaue (Cr)'!$C:$FB,100)</f>
        <v>2899</v>
      </c>
      <c r="J180" s="75">
        <f t="shared" si="20"/>
        <v>7</v>
      </c>
      <c r="K180" s="75">
        <f t="shared" si="21"/>
        <v>0.24088093599449414</v>
      </c>
      <c r="L180" s="75">
        <f>VLOOKUP($A180,'Data Vlaue (Cr)'!$C:$FB,67)</f>
        <v>2231</v>
      </c>
      <c r="M180" s="75">
        <f>VLOOKUP($A180,'Data Vlaue (Cr)'!$C:$FB,68)</f>
        <v>3709</v>
      </c>
      <c r="N180" s="75">
        <f t="shared" si="22"/>
        <v>-1478</v>
      </c>
      <c r="O180" s="75">
        <f t="shared" si="23"/>
        <v>-66.248319139399371</v>
      </c>
      <c r="P180" s="75">
        <f>VLOOKUP($A180,'Data Vlaue (Cr)'!$C:$FB,119)</f>
        <v>0.59</v>
      </c>
      <c r="Q180" s="75">
        <f>VLOOKUP($A180,'Data Vlaue (Cr)'!$C:$FB,122)*100</f>
        <v>-3.2800000000000002</v>
      </c>
      <c r="R180" s="75">
        <f>VLOOKUP($A180,'Data Vlaue (Cr)'!$C:$FB,125)</f>
        <v>0.41</v>
      </c>
      <c r="S180" s="75">
        <f>VLOOKUP($A180,'Data Vlaue (Cr)'!$C:$FB,128)*100</f>
        <v>2.5</v>
      </c>
    </row>
    <row r="181" spans="1:19" x14ac:dyDescent="0.25">
      <c r="A181" s="96" t="str">
        <f>'Data Vlaue (Cr)'!C172</f>
        <v>PETRONET</v>
      </c>
      <c r="B181" s="75">
        <f>VLOOKUP($A181,'Data Vlaue (Cr)'!$C:$FB,2)</f>
        <v>1800</v>
      </c>
      <c r="C181" s="75">
        <f>VLOOKUP($A181,'Data Vlaue (Cr)'!$C:$FB,8)</f>
        <v>303.25</v>
      </c>
      <c r="D181" s="75">
        <f>VLOOKUP($A181,'Data Vlaue (Cr)'!$C:$FB,4)</f>
        <v>303.55</v>
      </c>
      <c r="E181" s="75">
        <f>VLOOKUP($A181,'Data Vlaue (Cr)'!$C:$FB,5)</f>
        <v>304.35000000000002</v>
      </c>
      <c r="F181" s="75">
        <f t="shared" si="18"/>
        <v>0.30000000000001137</v>
      </c>
      <c r="G181" s="75">
        <f t="shared" si="19"/>
        <v>-0.2635480151540146</v>
      </c>
      <c r="H181" s="75">
        <f>VLOOKUP($A181,'Data Vlaue (Cr)'!$C:$FB,99)</f>
        <v>1941</v>
      </c>
      <c r="I181" s="75">
        <f>VLOOKUP($A181,'Data Vlaue (Cr)'!$C:$FB,100)</f>
        <v>1955</v>
      </c>
      <c r="J181" s="75">
        <f t="shared" si="20"/>
        <v>-14</v>
      </c>
      <c r="K181" s="75">
        <f t="shared" si="21"/>
        <v>-0.72127769191138591</v>
      </c>
      <c r="L181" s="75">
        <f>VLOOKUP($A181,'Data Vlaue (Cr)'!$C:$FB,67)</f>
        <v>303</v>
      </c>
      <c r="M181" s="75">
        <f>VLOOKUP($A181,'Data Vlaue (Cr)'!$C:$FB,68)</f>
        <v>411</v>
      </c>
      <c r="N181" s="75">
        <f t="shared" si="22"/>
        <v>-108</v>
      </c>
      <c r="O181" s="75">
        <f t="shared" si="23"/>
        <v>-35.64356435643564</v>
      </c>
      <c r="P181" s="75">
        <f>VLOOKUP($A181,'Data Vlaue (Cr)'!$C:$FB,119)</f>
        <v>0.65</v>
      </c>
      <c r="Q181" s="75">
        <f>VLOOKUP($A181,'Data Vlaue (Cr)'!$C:$FB,122)*100</f>
        <v>3.17</v>
      </c>
      <c r="R181" s="75">
        <f>VLOOKUP($A181,'Data Vlaue (Cr)'!$C:$FB,125)</f>
        <v>0.39</v>
      </c>
      <c r="S181" s="75">
        <f>VLOOKUP($A181,'Data Vlaue (Cr)'!$C:$FB,128)*100</f>
        <v>-31.580000000000002</v>
      </c>
    </row>
    <row r="182" spans="1:19" x14ac:dyDescent="0.25">
      <c r="A182" s="96" t="str">
        <f>'Data Vlaue (Cr)'!C173</f>
        <v>PFC</v>
      </c>
      <c r="B182" s="75">
        <f>VLOOKUP($A182,'Data Vlaue (Cr)'!$C:$FB,2)</f>
        <v>1300</v>
      </c>
      <c r="C182" s="75">
        <f>VLOOKUP($A182,'Data Vlaue (Cr)'!$C:$FB,8)</f>
        <v>414.7</v>
      </c>
      <c r="D182" s="75">
        <f>VLOOKUP($A182,'Data Vlaue (Cr)'!$C:$FB,4)</f>
        <v>414.95</v>
      </c>
      <c r="E182" s="75">
        <f>VLOOKUP($A182,'Data Vlaue (Cr)'!$C:$FB,5)</f>
        <v>420.35</v>
      </c>
      <c r="F182" s="75">
        <f t="shared" si="18"/>
        <v>0.25</v>
      </c>
      <c r="G182" s="75">
        <f t="shared" si="19"/>
        <v>-1.3013616098325183</v>
      </c>
      <c r="H182" s="75">
        <f>VLOOKUP($A182,'Data Vlaue (Cr)'!$C:$FB,99)</f>
        <v>4009</v>
      </c>
      <c r="I182" s="75">
        <f>VLOOKUP($A182,'Data Vlaue (Cr)'!$C:$FB,100)</f>
        <v>4040</v>
      </c>
      <c r="J182" s="75">
        <f t="shared" si="20"/>
        <v>-31</v>
      </c>
      <c r="K182" s="75">
        <f t="shared" si="21"/>
        <v>-0.77326016462958336</v>
      </c>
      <c r="L182" s="75">
        <f>VLOOKUP($A182,'Data Vlaue (Cr)'!$C:$FB,67)</f>
        <v>1713</v>
      </c>
      <c r="M182" s="75">
        <f>VLOOKUP($A182,'Data Vlaue (Cr)'!$C:$FB,68)</f>
        <v>1229</v>
      </c>
      <c r="N182" s="75">
        <f t="shared" si="22"/>
        <v>484</v>
      </c>
      <c r="O182" s="75">
        <f t="shared" si="23"/>
        <v>28.254524226503207</v>
      </c>
      <c r="P182" s="75">
        <f>VLOOKUP($A182,'Data Vlaue (Cr)'!$C:$FB,119)</f>
        <v>0.67</v>
      </c>
      <c r="Q182" s="75">
        <f>VLOOKUP($A182,'Data Vlaue (Cr)'!$C:$FB,122)*100</f>
        <v>-1.47</v>
      </c>
      <c r="R182" s="75">
        <f>VLOOKUP($A182,'Data Vlaue (Cr)'!$C:$FB,125)</f>
        <v>0.61</v>
      </c>
      <c r="S182" s="75">
        <f>VLOOKUP($A182,'Data Vlaue (Cr)'!$C:$FB,128)*100</f>
        <v>22</v>
      </c>
    </row>
    <row r="183" spans="1:19" x14ac:dyDescent="0.25">
      <c r="A183" s="96" t="str">
        <f>'Data Vlaue (Cr)'!C174</f>
        <v>PGEL</v>
      </c>
      <c r="B183" s="75">
        <f>VLOOKUP($A183,'Data Vlaue (Cr)'!$C:$FB,2)</f>
        <v>700</v>
      </c>
      <c r="C183" s="75">
        <f>VLOOKUP($A183,'Data Vlaue (Cr)'!$C:$FB,8)</f>
        <v>788.9</v>
      </c>
      <c r="D183" s="75">
        <f>VLOOKUP($A183,'Data Vlaue (Cr)'!$C:$FB,4)</f>
        <v>789.5</v>
      </c>
      <c r="E183" s="75">
        <f>VLOOKUP($A183,'Data Vlaue (Cr)'!$C:$FB,5)</f>
        <v>810.15</v>
      </c>
      <c r="F183" s="75">
        <f t="shared" si="18"/>
        <v>0.60000000000002274</v>
      </c>
      <c r="G183" s="75">
        <f t="shared" si="19"/>
        <v>-2.6155794806839743</v>
      </c>
      <c r="H183" s="75">
        <f>VLOOKUP($A183,'Data Vlaue (Cr)'!$C:$FB,99)</f>
        <v>726</v>
      </c>
      <c r="I183" s="75">
        <f>VLOOKUP($A183,'Data Vlaue (Cr)'!$C:$FB,100)</f>
        <v>711</v>
      </c>
      <c r="J183" s="75">
        <f t="shared" si="20"/>
        <v>15</v>
      </c>
      <c r="K183" s="75">
        <f t="shared" si="21"/>
        <v>2.0661157024793391</v>
      </c>
      <c r="L183" s="75">
        <f>VLOOKUP($A183,'Data Vlaue (Cr)'!$C:$FB,67)</f>
        <v>310</v>
      </c>
      <c r="M183" s="75">
        <f>VLOOKUP($A183,'Data Vlaue (Cr)'!$C:$FB,68)</f>
        <v>304</v>
      </c>
      <c r="N183" s="75">
        <f t="shared" si="22"/>
        <v>6</v>
      </c>
      <c r="O183" s="75">
        <f t="shared" si="23"/>
        <v>1.935483870967742</v>
      </c>
      <c r="P183" s="75">
        <f>VLOOKUP($A183,'Data Vlaue (Cr)'!$C:$FB,119)</f>
        <v>0.48</v>
      </c>
      <c r="Q183" s="75">
        <f>VLOOKUP($A183,'Data Vlaue (Cr)'!$C:$FB,122)*100</f>
        <v>-12.73</v>
      </c>
      <c r="R183" s="75">
        <f>VLOOKUP($A183,'Data Vlaue (Cr)'!$C:$FB,125)</f>
        <v>0.39</v>
      </c>
      <c r="S183" s="75">
        <f>VLOOKUP($A183,'Data Vlaue (Cr)'!$C:$FB,128)*100</f>
        <v>8.33</v>
      </c>
    </row>
    <row r="184" spans="1:19" x14ac:dyDescent="0.25">
      <c r="A184" s="96" t="str">
        <f>'Data Vlaue (Cr)'!C175</f>
        <v>PHOENIXLTD</v>
      </c>
      <c r="B184" s="75">
        <f>VLOOKUP($A184,'Data Vlaue (Cr)'!$C:$FB,2)</f>
        <v>350</v>
      </c>
      <c r="C184" s="75">
        <f>VLOOKUP($A184,'Data Vlaue (Cr)'!$C:$FB,8)</f>
        <v>1473.6</v>
      </c>
      <c r="D184" s="75">
        <f>VLOOKUP($A184,'Data Vlaue (Cr)'!$C:$FB,4)</f>
        <v>1476.1</v>
      </c>
      <c r="E184" s="75">
        <f>VLOOKUP($A184,'Data Vlaue (Cr)'!$C:$FB,5)</f>
        <v>1498.5</v>
      </c>
      <c r="F184" s="75">
        <f t="shared" si="18"/>
        <v>2.5</v>
      </c>
      <c r="G184" s="75">
        <f t="shared" si="19"/>
        <v>-1.5175123636610048</v>
      </c>
      <c r="H184" s="75">
        <f>VLOOKUP($A184,'Data Vlaue (Cr)'!$C:$FB,99)</f>
        <v>978</v>
      </c>
      <c r="I184" s="75">
        <f>VLOOKUP($A184,'Data Vlaue (Cr)'!$C:$FB,100)</f>
        <v>976</v>
      </c>
      <c r="J184" s="75">
        <f t="shared" si="20"/>
        <v>2</v>
      </c>
      <c r="K184" s="75">
        <f t="shared" si="21"/>
        <v>0.20449897750511251</v>
      </c>
      <c r="L184" s="75">
        <f>VLOOKUP($A184,'Data Vlaue (Cr)'!$C:$FB,67)</f>
        <v>180</v>
      </c>
      <c r="M184" s="75">
        <f>VLOOKUP($A184,'Data Vlaue (Cr)'!$C:$FB,68)</f>
        <v>190</v>
      </c>
      <c r="N184" s="75">
        <f t="shared" si="22"/>
        <v>-10</v>
      </c>
      <c r="O184" s="75">
        <f t="shared" si="23"/>
        <v>-5.5555555555555554</v>
      </c>
      <c r="P184" s="75">
        <f>VLOOKUP($A184,'Data Vlaue (Cr)'!$C:$FB,119)</f>
        <v>0.61</v>
      </c>
      <c r="Q184" s="75">
        <f>VLOOKUP($A184,'Data Vlaue (Cr)'!$C:$FB,122)*100</f>
        <v>3.39</v>
      </c>
      <c r="R184" s="75">
        <f>VLOOKUP($A184,'Data Vlaue (Cr)'!$C:$FB,125)</f>
        <v>0.48</v>
      </c>
      <c r="S184" s="75">
        <f>VLOOKUP($A184,'Data Vlaue (Cr)'!$C:$FB,128)*100</f>
        <v>92</v>
      </c>
    </row>
    <row r="185" spans="1:19" x14ac:dyDescent="0.25">
      <c r="A185" s="96" t="str">
        <f>'Data Vlaue (Cr)'!C176</f>
        <v>PIDILITIND</v>
      </c>
      <c r="B185" s="75">
        <f>VLOOKUP($A185,'Data Vlaue (Cr)'!$C:$FB,2)</f>
        <v>250</v>
      </c>
      <c r="C185" s="75">
        <f>VLOOKUP($A185,'Data Vlaue (Cr)'!$C:$FB,8)</f>
        <v>2934.3</v>
      </c>
      <c r="D185" s="75">
        <f>VLOOKUP($A185,'Data Vlaue (Cr)'!$C:$FB,4)</f>
        <v>2920.9</v>
      </c>
      <c r="E185" s="75">
        <f>VLOOKUP($A185,'Data Vlaue (Cr)'!$C:$FB,5)</f>
        <v>2952.7</v>
      </c>
      <c r="F185" s="75">
        <f t="shared" si="18"/>
        <v>-13.400000000000091</v>
      </c>
      <c r="G185" s="75">
        <f t="shared" si="19"/>
        <v>-1.0887055359649329</v>
      </c>
      <c r="H185" s="75">
        <f>VLOOKUP($A185,'Data Vlaue (Cr)'!$C:$FB,99)</f>
        <v>1504</v>
      </c>
      <c r="I185" s="75">
        <f>VLOOKUP($A185,'Data Vlaue (Cr)'!$C:$FB,100)</f>
        <v>1439</v>
      </c>
      <c r="J185" s="75">
        <f t="shared" si="20"/>
        <v>65</v>
      </c>
      <c r="K185" s="75">
        <f t="shared" si="21"/>
        <v>4.3218085106382986</v>
      </c>
      <c r="L185" s="75">
        <f>VLOOKUP($A185,'Data Vlaue (Cr)'!$C:$FB,67)</f>
        <v>316</v>
      </c>
      <c r="M185" s="75">
        <f>VLOOKUP($A185,'Data Vlaue (Cr)'!$C:$FB,68)</f>
        <v>211</v>
      </c>
      <c r="N185" s="75">
        <f t="shared" si="22"/>
        <v>105</v>
      </c>
      <c r="O185" s="75">
        <f t="shared" si="23"/>
        <v>33.22784810126582</v>
      </c>
      <c r="P185" s="75">
        <f>VLOOKUP($A185,'Data Vlaue (Cr)'!$C:$FB,119)</f>
        <v>0.48</v>
      </c>
      <c r="Q185" s="75">
        <f>VLOOKUP($A185,'Data Vlaue (Cr)'!$C:$FB,122)*100</f>
        <v>-9.43</v>
      </c>
      <c r="R185" s="75">
        <f>VLOOKUP($A185,'Data Vlaue (Cr)'!$C:$FB,125)</f>
        <v>0.35</v>
      </c>
      <c r="S185" s="75">
        <f>VLOOKUP($A185,'Data Vlaue (Cr)'!$C:$FB,128)*100</f>
        <v>34.619999999999997</v>
      </c>
    </row>
    <row r="186" spans="1:19" x14ac:dyDescent="0.25">
      <c r="A186" s="96" t="str">
        <f>'Data Vlaue (Cr)'!C177</f>
        <v>PIIND</v>
      </c>
      <c r="B186" s="75">
        <f>VLOOKUP($A186,'Data Vlaue (Cr)'!$C:$FB,2)</f>
        <v>175</v>
      </c>
      <c r="C186" s="75">
        <f>VLOOKUP($A186,'Data Vlaue (Cr)'!$C:$FB,8)</f>
        <v>4080</v>
      </c>
      <c r="D186" s="75">
        <f>VLOOKUP($A186,'Data Vlaue (Cr)'!$C:$FB,4)</f>
        <v>4080</v>
      </c>
      <c r="E186" s="75">
        <f>VLOOKUP($A186,'Data Vlaue (Cr)'!$C:$FB,5)</f>
        <v>4179.8999999999996</v>
      </c>
      <c r="F186" s="75">
        <f t="shared" ref="F186:F193" si="24">D186-C186</f>
        <v>0</v>
      </c>
      <c r="G186" s="75">
        <f t="shared" ref="G186:G193" si="25">(D186-E186)/D186*100</f>
        <v>-2.4485294117646972</v>
      </c>
      <c r="H186" s="75">
        <f>VLOOKUP($A186,'Data Vlaue (Cr)'!$C:$FB,99)</f>
        <v>956</v>
      </c>
      <c r="I186" s="75">
        <f>VLOOKUP($A186,'Data Vlaue (Cr)'!$C:$FB,100)</f>
        <v>940</v>
      </c>
      <c r="J186" s="75">
        <f t="shared" ref="J186:J193" si="26">H186-I186</f>
        <v>16</v>
      </c>
      <c r="K186" s="75">
        <f t="shared" ref="K186:K193" si="27">J186/H186*100</f>
        <v>1.6736401673640167</v>
      </c>
      <c r="L186" s="75">
        <f>VLOOKUP($A186,'Data Vlaue (Cr)'!$C:$FB,67)</f>
        <v>444</v>
      </c>
      <c r="M186" s="75">
        <f>VLOOKUP($A186,'Data Vlaue (Cr)'!$C:$FB,68)</f>
        <v>311</v>
      </c>
      <c r="N186" s="75">
        <f t="shared" ref="N186:N193" si="28">L186-M186</f>
        <v>133</v>
      </c>
      <c r="O186" s="75">
        <f t="shared" ref="O186:O193" si="29">N186/L186*100</f>
        <v>29.954954954954953</v>
      </c>
      <c r="P186" s="75">
        <f>VLOOKUP($A186,'Data Vlaue (Cr)'!$C:$FB,119)</f>
        <v>0.53</v>
      </c>
      <c r="Q186" s="75">
        <f>VLOOKUP($A186,'Data Vlaue (Cr)'!$C:$FB,122)*100</f>
        <v>-3.64</v>
      </c>
      <c r="R186" s="75">
        <f>VLOOKUP($A186,'Data Vlaue (Cr)'!$C:$FB,125)</f>
        <v>0.33</v>
      </c>
      <c r="S186" s="75">
        <f>VLOOKUP($A186,'Data Vlaue (Cr)'!$C:$FB,128)*100</f>
        <v>37.5</v>
      </c>
    </row>
    <row r="187" spans="1:19" x14ac:dyDescent="0.25">
      <c r="A187" s="96" t="str">
        <f>'Data Vlaue (Cr)'!C178</f>
        <v>PNB</v>
      </c>
      <c r="B187" s="75">
        <f>VLOOKUP($A187,'Data Vlaue (Cr)'!$C:$FB,2)</f>
        <v>8000</v>
      </c>
      <c r="C187" s="75">
        <f>VLOOKUP($A187,'Data Vlaue (Cr)'!$C:$FB,8)</f>
        <v>109.33</v>
      </c>
      <c r="D187" s="75">
        <f>VLOOKUP($A187,'Data Vlaue (Cr)'!$C:$FB,4)</f>
        <v>109.47</v>
      </c>
      <c r="E187" s="75">
        <f>VLOOKUP($A187,'Data Vlaue (Cr)'!$C:$FB,5)</f>
        <v>112.73</v>
      </c>
      <c r="F187" s="75">
        <f t="shared" si="24"/>
        <v>0.14000000000000057</v>
      </c>
      <c r="G187" s="75">
        <f t="shared" si="25"/>
        <v>-2.9779848360281402</v>
      </c>
      <c r="H187" s="75">
        <f>VLOOKUP($A187,'Data Vlaue (Cr)'!$C:$FB,99)</f>
        <v>5151</v>
      </c>
      <c r="I187" s="75">
        <f>VLOOKUP($A187,'Data Vlaue (Cr)'!$C:$FB,100)</f>
        <v>4849</v>
      </c>
      <c r="J187" s="75">
        <f t="shared" si="26"/>
        <v>302</v>
      </c>
      <c r="K187" s="75">
        <f t="shared" si="27"/>
        <v>5.8629392350999812</v>
      </c>
      <c r="L187" s="75">
        <f>VLOOKUP($A187,'Data Vlaue (Cr)'!$C:$FB,67)</f>
        <v>2952</v>
      </c>
      <c r="M187" s="75">
        <f>VLOOKUP($A187,'Data Vlaue (Cr)'!$C:$FB,68)</f>
        <v>2282</v>
      </c>
      <c r="N187" s="75">
        <f t="shared" si="28"/>
        <v>670</v>
      </c>
      <c r="O187" s="75">
        <f t="shared" si="29"/>
        <v>22.696476964769648</v>
      </c>
      <c r="P187" s="75">
        <f>VLOOKUP($A187,'Data Vlaue (Cr)'!$C:$FB,119)</f>
        <v>0.74</v>
      </c>
      <c r="Q187" s="75">
        <f>VLOOKUP($A187,'Data Vlaue (Cr)'!$C:$FB,122)*100</f>
        <v>-6.3299999999999992</v>
      </c>
      <c r="R187" s="75">
        <f>VLOOKUP($A187,'Data Vlaue (Cr)'!$C:$FB,125)</f>
        <v>0.54</v>
      </c>
      <c r="S187" s="75">
        <f>VLOOKUP($A187,'Data Vlaue (Cr)'!$C:$FB,128)*100</f>
        <v>3.85</v>
      </c>
    </row>
    <row r="188" spans="1:19" x14ac:dyDescent="0.25">
      <c r="A188" s="96" t="str">
        <f>'Data Vlaue (Cr)'!C179</f>
        <v>PNBHOUSING</v>
      </c>
      <c r="B188" s="75">
        <f>VLOOKUP($A188,'Data Vlaue (Cr)'!$C:$FB,2)</f>
        <v>650</v>
      </c>
      <c r="C188" s="75">
        <f>VLOOKUP($A188,'Data Vlaue (Cr)'!$C:$FB,8)</f>
        <v>1086.5999999999999</v>
      </c>
      <c r="D188" s="75">
        <f>VLOOKUP($A188,'Data Vlaue (Cr)'!$C:$FB,4)</f>
        <v>1087.8</v>
      </c>
      <c r="E188" s="75">
        <f>VLOOKUP($A188,'Data Vlaue (Cr)'!$C:$FB,5)</f>
        <v>1089.5</v>
      </c>
      <c r="F188" s="75">
        <f t="shared" si="24"/>
        <v>1.2000000000000455</v>
      </c>
      <c r="G188" s="75">
        <f t="shared" si="25"/>
        <v>-0.15627872770730333</v>
      </c>
      <c r="H188" s="75">
        <f>VLOOKUP($A188,'Data Vlaue (Cr)'!$C:$FB,99)</f>
        <v>1652</v>
      </c>
      <c r="I188" s="75">
        <f>VLOOKUP($A188,'Data Vlaue (Cr)'!$C:$FB,100)</f>
        <v>1598</v>
      </c>
      <c r="J188" s="75">
        <f t="shared" si="26"/>
        <v>54</v>
      </c>
      <c r="K188" s="75">
        <f t="shared" si="27"/>
        <v>3.2687651331719128</v>
      </c>
      <c r="L188" s="75">
        <f>VLOOKUP($A188,'Data Vlaue (Cr)'!$C:$FB,67)</f>
        <v>2764</v>
      </c>
      <c r="M188" s="75">
        <f>VLOOKUP($A188,'Data Vlaue (Cr)'!$C:$FB,68)</f>
        <v>1213</v>
      </c>
      <c r="N188" s="75">
        <f t="shared" si="28"/>
        <v>1551</v>
      </c>
      <c r="O188" s="75">
        <f t="shared" si="29"/>
        <v>56.114327062228654</v>
      </c>
      <c r="P188" s="75">
        <f>VLOOKUP($A188,'Data Vlaue (Cr)'!$C:$FB,119)</f>
        <v>0.54</v>
      </c>
      <c r="Q188" s="75">
        <f>VLOOKUP($A188,'Data Vlaue (Cr)'!$C:$FB,122)*100</f>
        <v>-22.86</v>
      </c>
      <c r="R188" s="75">
        <f>VLOOKUP($A188,'Data Vlaue (Cr)'!$C:$FB,125)</f>
        <v>0.36</v>
      </c>
      <c r="S188" s="75">
        <f>VLOOKUP($A188,'Data Vlaue (Cr)'!$C:$FB,128)*100</f>
        <v>-46.27</v>
      </c>
    </row>
    <row r="189" spans="1:19" x14ac:dyDescent="0.25">
      <c r="A189" s="96" t="str">
        <f>'Data Vlaue (Cr)'!C180</f>
        <v>POLICYBZR</v>
      </c>
      <c r="B189" s="75">
        <f>VLOOKUP($A189,'Data Vlaue (Cr)'!$C:$FB,2)</f>
        <v>350</v>
      </c>
      <c r="C189" s="75">
        <f>VLOOKUP($A189,'Data Vlaue (Cr)'!$C:$FB,8)</f>
        <v>1820.8</v>
      </c>
      <c r="D189" s="75">
        <f>VLOOKUP($A189,'Data Vlaue (Cr)'!$C:$FB,4)</f>
        <v>1826.6</v>
      </c>
      <c r="E189" s="75">
        <f>VLOOKUP($A189,'Data Vlaue (Cr)'!$C:$FB,5)</f>
        <v>1808.8</v>
      </c>
      <c r="F189" s="75">
        <f t="shared" si="24"/>
        <v>5.7999999999999545</v>
      </c>
      <c r="G189" s="75">
        <f t="shared" si="25"/>
        <v>0.97448812000437735</v>
      </c>
      <c r="H189" s="75">
        <f>VLOOKUP($A189,'Data Vlaue (Cr)'!$C:$FB,99)</f>
        <v>1951</v>
      </c>
      <c r="I189" s="75">
        <f>VLOOKUP($A189,'Data Vlaue (Cr)'!$C:$FB,100)</f>
        <v>1962</v>
      </c>
      <c r="J189" s="75">
        <f t="shared" si="26"/>
        <v>-11</v>
      </c>
      <c r="K189" s="75">
        <f t="shared" si="27"/>
        <v>-0.5638134290107637</v>
      </c>
      <c r="L189" s="75">
        <f>VLOOKUP($A189,'Data Vlaue (Cr)'!$C:$FB,67)</f>
        <v>794</v>
      </c>
      <c r="M189" s="75">
        <f>VLOOKUP($A189,'Data Vlaue (Cr)'!$C:$FB,68)</f>
        <v>791</v>
      </c>
      <c r="N189" s="75">
        <f t="shared" si="28"/>
        <v>3</v>
      </c>
      <c r="O189" s="75">
        <f t="shared" si="29"/>
        <v>0.37783375314861462</v>
      </c>
      <c r="P189" s="75">
        <f>VLOOKUP($A189,'Data Vlaue (Cr)'!$C:$FB,119)</f>
        <v>0.66</v>
      </c>
      <c r="Q189" s="75">
        <f>VLOOKUP($A189,'Data Vlaue (Cr)'!$C:$FB,122)*100</f>
        <v>0</v>
      </c>
      <c r="R189" s="75">
        <f>VLOOKUP($A189,'Data Vlaue (Cr)'!$C:$FB,125)</f>
        <v>0.38</v>
      </c>
      <c r="S189" s="75">
        <f>VLOOKUP($A189,'Data Vlaue (Cr)'!$C:$FB,128)*100</f>
        <v>-13.639999999999999</v>
      </c>
    </row>
    <row r="190" spans="1:19" x14ac:dyDescent="0.25">
      <c r="A190" s="96" t="str">
        <f>'Data Vlaue (Cr)'!C181</f>
        <v>POLYCAB</v>
      </c>
      <c r="B190" s="75">
        <f>VLOOKUP($A190,'Data Vlaue (Cr)'!$C:$FB,2)</f>
        <v>125</v>
      </c>
      <c r="C190" s="75">
        <f>VLOOKUP($A190,'Data Vlaue (Cr)'!$C:$FB,8)</f>
        <v>6960.5</v>
      </c>
      <c r="D190" s="75">
        <f>VLOOKUP($A190,'Data Vlaue (Cr)'!$C:$FB,4)</f>
        <v>6968.5</v>
      </c>
      <c r="E190" s="75">
        <f>VLOOKUP($A190,'Data Vlaue (Cr)'!$C:$FB,5)</f>
        <v>7056.5</v>
      </c>
      <c r="F190" s="75">
        <f t="shared" si="24"/>
        <v>8</v>
      </c>
      <c r="G190" s="75">
        <f t="shared" si="25"/>
        <v>-1.2628255722178374</v>
      </c>
      <c r="H190" s="75">
        <f>VLOOKUP($A190,'Data Vlaue (Cr)'!$C:$FB,99)</f>
        <v>3808</v>
      </c>
      <c r="I190" s="75">
        <f>VLOOKUP($A190,'Data Vlaue (Cr)'!$C:$FB,100)</f>
        <v>3997</v>
      </c>
      <c r="J190" s="75">
        <f t="shared" si="26"/>
        <v>-189</v>
      </c>
      <c r="K190" s="75">
        <f t="shared" si="27"/>
        <v>-4.9632352941176467</v>
      </c>
      <c r="L190" s="75">
        <f>VLOOKUP($A190,'Data Vlaue (Cr)'!$C:$FB,67)</f>
        <v>3016</v>
      </c>
      <c r="M190" s="75">
        <f>VLOOKUP($A190,'Data Vlaue (Cr)'!$C:$FB,68)</f>
        <v>7091</v>
      </c>
      <c r="N190" s="75">
        <f t="shared" si="28"/>
        <v>-4075</v>
      </c>
      <c r="O190" s="75">
        <f t="shared" si="29"/>
        <v>-135.11273209549071</v>
      </c>
      <c r="P190" s="75">
        <f>VLOOKUP($A190,'Data Vlaue (Cr)'!$C:$FB,119)</f>
        <v>0.59</v>
      </c>
      <c r="Q190" s="75">
        <f>VLOOKUP($A190,'Data Vlaue (Cr)'!$C:$FB,122)*100</f>
        <v>-3.2800000000000002</v>
      </c>
      <c r="R190" s="75">
        <f>VLOOKUP($A190,'Data Vlaue (Cr)'!$C:$FB,125)</f>
        <v>0.57999999999999996</v>
      </c>
      <c r="S190" s="75">
        <f>VLOOKUP($A190,'Data Vlaue (Cr)'!$C:$FB,128)*100</f>
        <v>7.41</v>
      </c>
    </row>
    <row r="191" spans="1:19" x14ac:dyDescent="0.25">
      <c r="A191" s="96" t="str">
        <f>'Data Vlaue (Cr)'!C182</f>
        <v>POONAWALLA</v>
      </c>
      <c r="B191" s="75">
        <f>VLOOKUP($A191,'Data Vlaue (Cr)'!$C:$FB,2)</f>
        <v>1700</v>
      </c>
      <c r="C191" s="75">
        <f>VLOOKUP($A191,'Data Vlaue (Cr)'!$C:$FB,8)</f>
        <v>452.4</v>
      </c>
      <c r="D191" s="75">
        <f>VLOOKUP($A191,'Data Vlaue (Cr)'!$C:$FB,4)</f>
        <v>453.05</v>
      </c>
      <c r="E191" s="75">
        <f>VLOOKUP($A191,'Data Vlaue (Cr)'!$C:$FB,5)</f>
        <v>461</v>
      </c>
      <c r="F191" s="75">
        <f t="shared" si="24"/>
        <v>0.65000000000003411</v>
      </c>
      <c r="G191" s="75">
        <f t="shared" si="25"/>
        <v>-1.754773203840633</v>
      </c>
      <c r="H191" s="75">
        <f>VLOOKUP($A191,'Data Vlaue (Cr)'!$C:$FB,99)</f>
        <v>1080</v>
      </c>
      <c r="I191" s="75">
        <f>VLOOKUP($A191,'Data Vlaue (Cr)'!$C:$FB,100)</f>
        <v>1091</v>
      </c>
      <c r="J191" s="75">
        <f t="shared" si="26"/>
        <v>-11</v>
      </c>
      <c r="K191" s="75">
        <f t="shared" si="27"/>
        <v>-1.0185185185185186</v>
      </c>
      <c r="L191" s="75">
        <f>VLOOKUP($A191,'Data Vlaue (Cr)'!$C:$FB,67)</f>
        <v>309</v>
      </c>
      <c r="M191" s="75">
        <f>VLOOKUP($A191,'Data Vlaue (Cr)'!$C:$FB,68)</f>
        <v>852</v>
      </c>
      <c r="N191" s="75">
        <f t="shared" si="28"/>
        <v>-543</v>
      </c>
      <c r="O191" s="75">
        <f t="shared" si="29"/>
        <v>-175.72815533980582</v>
      </c>
      <c r="P191" s="75">
        <f>VLOOKUP($A191,'Data Vlaue (Cr)'!$C:$FB,119)</f>
        <v>0.59</v>
      </c>
      <c r="Q191" s="75">
        <f>VLOOKUP($A191,'Data Vlaue (Cr)'!$C:$FB,122)*100</f>
        <v>3.51</v>
      </c>
      <c r="R191" s="75">
        <f>VLOOKUP($A191,'Data Vlaue (Cr)'!$C:$FB,125)</f>
        <v>0.33</v>
      </c>
      <c r="S191" s="75">
        <f>VLOOKUP($A191,'Data Vlaue (Cr)'!$C:$FB,128)*100</f>
        <v>43.480000000000004</v>
      </c>
    </row>
    <row r="192" spans="1:19" x14ac:dyDescent="0.25">
      <c r="A192" s="96" t="str">
        <f>'Data Vlaue (Cr)'!C183</f>
        <v>POWERGRID</v>
      </c>
      <c r="B192" s="75">
        <f>VLOOKUP($A192,'Data Vlaue (Cr)'!$C:$FB,2)</f>
        <v>1900</v>
      </c>
      <c r="C192" s="75">
        <f>VLOOKUP($A192,'Data Vlaue (Cr)'!$C:$FB,8)</f>
        <v>297.8</v>
      </c>
      <c r="D192" s="75">
        <f>VLOOKUP($A192,'Data Vlaue (Cr)'!$C:$FB,4)</f>
        <v>297.8</v>
      </c>
      <c r="E192" s="75">
        <f>VLOOKUP($A192,'Data Vlaue (Cr)'!$C:$FB,5)</f>
        <v>297.14999999999998</v>
      </c>
      <c r="F192" s="75">
        <f t="shared" si="24"/>
        <v>0</v>
      </c>
      <c r="G192" s="75">
        <f t="shared" si="25"/>
        <v>0.21826729348557225</v>
      </c>
      <c r="H192" s="75">
        <f>VLOOKUP($A192,'Data Vlaue (Cr)'!$C:$FB,99)</f>
        <v>3639</v>
      </c>
      <c r="I192" s="75">
        <f>VLOOKUP($A192,'Data Vlaue (Cr)'!$C:$FB,100)</f>
        <v>3733</v>
      </c>
      <c r="J192" s="75">
        <f t="shared" si="26"/>
        <v>-94</v>
      </c>
      <c r="K192" s="75">
        <f t="shared" si="27"/>
        <v>-2.5831272327562518</v>
      </c>
      <c r="L192" s="75">
        <f>VLOOKUP($A192,'Data Vlaue (Cr)'!$C:$FB,67)</f>
        <v>879</v>
      </c>
      <c r="M192" s="75">
        <f>VLOOKUP($A192,'Data Vlaue (Cr)'!$C:$FB,68)</f>
        <v>883</v>
      </c>
      <c r="N192" s="75">
        <f t="shared" si="28"/>
        <v>-4</v>
      </c>
      <c r="O192" s="75">
        <f t="shared" si="29"/>
        <v>-0.45506257110352671</v>
      </c>
      <c r="P192" s="75">
        <f>VLOOKUP($A192,'Data Vlaue (Cr)'!$C:$FB,119)</f>
        <v>0.56999999999999995</v>
      </c>
      <c r="Q192" s="75">
        <f>VLOOKUP($A192,'Data Vlaue (Cr)'!$C:$FB,122)*100</f>
        <v>7.55</v>
      </c>
      <c r="R192" s="75">
        <f>VLOOKUP($A192,'Data Vlaue (Cr)'!$C:$FB,125)</f>
        <v>0.68</v>
      </c>
      <c r="S192" s="75">
        <f>VLOOKUP($A192,'Data Vlaue (Cr)'!$C:$FB,128)*100</f>
        <v>54.55</v>
      </c>
    </row>
    <row r="193" spans="1:19" x14ac:dyDescent="0.25">
      <c r="A193" s="96" t="str">
        <f>'Data Vlaue (Cr)'!C231</f>
        <v>ZYDUSLIFE</v>
      </c>
      <c r="B193" s="75">
        <f>VLOOKUP($A193,'Data Vlaue (Cr)'!$C:$FB,2)</f>
        <v>900</v>
      </c>
      <c r="C193" s="75">
        <f>VLOOKUP($A193,'Data Vlaue (Cr)'!$C:$FB,8)</f>
        <v>956.75</v>
      </c>
      <c r="D193" s="75">
        <f>VLOOKUP($A193,'Data Vlaue (Cr)'!$C:$FB,4)</f>
        <v>948.15</v>
      </c>
      <c r="E193" s="75">
        <f>VLOOKUP($A193,'Data Vlaue (Cr)'!$C:$FB,5)</f>
        <v>962.6</v>
      </c>
      <c r="F193" s="75">
        <f t="shared" si="24"/>
        <v>-8.6000000000000227</v>
      </c>
      <c r="G193" s="75">
        <f t="shared" si="25"/>
        <v>-1.5240204608975421</v>
      </c>
      <c r="H193" s="75">
        <f>VLOOKUP($A193,'Data Vlaue (Cr)'!$C:$FB,99)</f>
        <v>1560</v>
      </c>
      <c r="I193" s="75">
        <f>VLOOKUP($A193,'Data Vlaue (Cr)'!$C:$FB,100)</f>
        <v>1556</v>
      </c>
      <c r="J193" s="75">
        <f t="shared" si="26"/>
        <v>4</v>
      </c>
      <c r="K193" s="75">
        <f t="shared" si="27"/>
        <v>0.25641025641025639</v>
      </c>
      <c r="L193" s="75">
        <f>VLOOKUP($A193,'Data Vlaue (Cr)'!$C:$FB,67)</f>
        <v>620</v>
      </c>
      <c r="M193" s="75">
        <f>VLOOKUP($A193,'Data Vlaue (Cr)'!$C:$FB,68)</f>
        <v>568</v>
      </c>
      <c r="N193" s="75">
        <f t="shared" si="28"/>
        <v>52</v>
      </c>
      <c r="O193" s="75">
        <f t="shared" si="29"/>
        <v>8.3870967741935498</v>
      </c>
      <c r="P193" s="75">
        <f>VLOOKUP($A193,'Data Vlaue (Cr)'!$C:$FB,119)</f>
        <v>0.74</v>
      </c>
      <c r="Q193" s="75">
        <f>VLOOKUP($A193,'Data Vlaue (Cr)'!$C:$FB,122)*100</f>
        <v>1.37</v>
      </c>
      <c r="R193" s="75">
        <f>VLOOKUP($A193,'Data Vlaue (Cr)'!$C:$FB,125)</f>
        <v>0.49</v>
      </c>
      <c r="S193" s="75">
        <f>VLOOKUP($A193,'Data Vlaue (Cr)'!$C:$FB,128)*100</f>
        <v>68.97</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56"/>
      <c r="B224" s="256"/>
      <c r="C224" s="256"/>
      <c r="D224" s="256"/>
      <c r="E224" s="256"/>
      <c r="F224" s="256"/>
      <c r="G224" s="15"/>
      <c r="H224" s="16"/>
      <c r="I224" s="256"/>
      <c r="J224" s="256"/>
      <c r="K224" s="256"/>
      <c r="L224" s="256"/>
      <c r="M224" s="256"/>
      <c r="N224" s="16"/>
      <c r="O224" s="16"/>
      <c r="P224" s="16"/>
      <c r="Q224" s="256"/>
      <c r="R224" s="256"/>
      <c r="S224" s="256"/>
    </row>
    <row r="225" spans="1:19" x14ac:dyDescent="0.25">
      <c r="A225" s="253" t="s">
        <v>391</v>
      </c>
      <c r="B225" s="254"/>
      <c r="C225" s="254"/>
      <c r="D225" s="254"/>
      <c r="E225" s="254"/>
      <c r="F225" s="255"/>
      <c r="G225" s="18"/>
      <c r="H225" s="18">
        <f>SUM(H11:H223)</f>
        <v>2239247</v>
      </c>
      <c r="I225" s="18">
        <f>SUM(I11:I223)</f>
        <v>2073098</v>
      </c>
      <c r="J225" s="18">
        <f>H225-I225</f>
        <v>166149</v>
      </c>
      <c r="K225" s="19">
        <f>J225/I225</f>
        <v>8.0145270508195948E-2</v>
      </c>
      <c r="L225" s="18">
        <f>SUM(L11:L223)</f>
        <v>11484100</v>
      </c>
      <c r="M225" s="18">
        <f>SUM(M11:M223)</f>
        <v>12976985</v>
      </c>
      <c r="N225" s="18">
        <f>L225-M225</f>
        <v>-1492885</v>
      </c>
      <c r="O225" s="19">
        <f>N225/M225</f>
        <v>-0.11504097446363697</v>
      </c>
      <c r="P225" s="253"/>
      <c r="Q225" s="254"/>
      <c r="R225" s="254"/>
      <c r="S225" s="255"/>
    </row>
    <row r="229" spans="1:19" x14ac:dyDescent="0.25">
      <c r="A229" s="249" t="s">
        <v>334</v>
      </c>
      <c r="B229" s="249"/>
      <c r="C229" s="24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14806</v>
      </c>
      <c r="C231" s="146">
        <f>VLOOKUP(B230,'OI(Value)'!A7:G209,7,0)</f>
        <v>-4.0000000000000001E-3</v>
      </c>
      <c r="D231" s="9">
        <f>VLOOKUP(D230,'OI(Value)'!A7:E209,5,0)</f>
        <v>47822</v>
      </c>
      <c r="E231" s="147">
        <f>VLOOKUP(D230,'OI(Value)'!A7:G209,7,0)</f>
        <v>4.4999999999999997E-3</v>
      </c>
      <c r="F231" s="9">
        <f>G231-D231-B231</f>
        <v>375694</v>
      </c>
      <c r="G231" s="10">
        <f>'OI(Value)'!E210</f>
        <v>438322</v>
      </c>
      <c r="H231" s="147">
        <f>'OI(Value)'!D217</f>
        <v>4.5582927619421338E-3</v>
      </c>
    </row>
    <row r="232" spans="1:19" x14ac:dyDescent="0.25">
      <c r="A232" s="26" t="s">
        <v>389</v>
      </c>
      <c r="B232" s="9">
        <f>VLOOKUP(B230,'OI(Value)'!A7:H209,8,0)</f>
        <v>141632</v>
      </c>
      <c r="C232" s="146">
        <f>VLOOKUP(B230,'OI(Value)'!A7:J209,10,0)</f>
        <v>0.12709999999999999</v>
      </c>
      <c r="D232" s="9">
        <f>VLOOKUP(D230,'OI(Value)'!A1:O210,8,0)</f>
        <v>663842</v>
      </c>
      <c r="E232" s="147">
        <f>VLOOKUP(D230,'OI(Value)'!A1:J209,10,0)</f>
        <v>0.19489999999999999</v>
      </c>
      <c r="F232" s="9">
        <f>G232-D232-B232</f>
        <v>200675</v>
      </c>
      <c r="G232" s="9">
        <f>'OI(Value)'!H210</f>
        <v>1006149</v>
      </c>
      <c r="H232" s="147">
        <f>'OI(Value)'!D218</f>
        <v>0.13000062614980484</v>
      </c>
    </row>
    <row r="233" spans="1:19" x14ac:dyDescent="0.25">
      <c r="A233" s="26" t="s">
        <v>390</v>
      </c>
      <c r="B233" s="9">
        <f>VLOOKUP(B230,'OI(Value)'!A7:K209,11,0)</f>
        <v>114865</v>
      </c>
      <c r="C233" s="146">
        <f>VLOOKUP(B230,'OI(Value)'!A7:M209,13,0)</f>
        <v>3.4799999999999998E-2</v>
      </c>
      <c r="D233" s="9">
        <f>VLOOKUP(D230,'OI(Value)'!A2:O211,11,0)</f>
        <v>555817</v>
      </c>
      <c r="E233" s="147">
        <f>VLOOKUP(D230,'OI(Value)'!A7:M209,13,0)</f>
        <v>4.7600000000000003E-2</v>
      </c>
      <c r="F233" s="9">
        <f>G233-D233-B233</f>
        <v>124102</v>
      </c>
      <c r="G233" s="9">
        <f>'OI(Value)'!K210</f>
        <v>794784</v>
      </c>
      <c r="H233" s="147">
        <f>'OI(Volume)'!D229</f>
        <v>4.9686296093436548E-2</v>
      </c>
    </row>
    <row r="234" spans="1:19" x14ac:dyDescent="0.25">
      <c r="A234" s="22" t="s">
        <v>391</v>
      </c>
      <c r="B234" s="62">
        <f>SUM(B231:B233)</f>
        <v>271303</v>
      </c>
      <c r="C234" s="148">
        <f>VLOOKUP(B230,'OI(Value)'!A7:D148,4,0)</f>
        <v>7.8600000000000003E-2</v>
      </c>
      <c r="D234" s="62">
        <f>SUM(D231:D233)</f>
        <v>1267481</v>
      </c>
      <c r="E234" s="148">
        <f>VLOOKUP(D230,'OI(Value)'!A1:D210,4,0)</f>
        <v>0.11799999999999999</v>
      </c>
      <c r="F234" s="62">
        <f>SUM(F231:F233)</f>
        <v>700471</v>
      </c>
      <c r="G234" s="62">
        <f>SUM(G231:G233)</f>
        <v>2239255</v>
      </c>
      <c r="H234" s="151">
        <f>'OI(Value)'!D220</f>
        <v>7.4198784863715839E-2</v>
      </c>
    </row>
    <row r="238" spans="1:19" x14ac:dyDescent="0.25">
      <c r="A238" s="20" t="s">
        <v>392</v>
      </c>
      <c r="B238" s="11"/>
      <c r="C238" s="11"/>
      <c r="D238" s="11"/>
      <c r="E238" s="11"/>
      <c r="F238" s="11"/>
      <c r="G238" s="11"/>
      <c r="H238" s="12"/>
    </row>
    <row r="239" spans="1:19" x14ac:dyDescent="0.25">
      <c r="A239" s="27"/>
      <c r="B239" s="27"/>
      <c r="C239" s="250" t="s">
        <v>459</v>
      </c>
      <c r="D239" s="251"/>
      <c r="E239" s="252"/>
      <c r="F239" s="250" t="s">
        <v>460</v>
      </c>
      <c r="G239" s="251"/>
      <c r="H239" s="252"/>
    </row>
    <row r="240" spans="1:19" x14ac:dyDescent="0.25">
      <c r="A240" s="28"/>
      <c r="B240" s="27"/>
      <c r="C240" s="31">
        <f>D10</f>
        <v>45860</v>
      </c>
      <c r="D240" s="31" t="s">
        <v>397</v>
      </c>
      <c r="E240" s="32" t="s">
        <v>321</v>
      </c>
      <c r="F240" s="31">
        <f>C240</f>
        <v>45860</v>
      </c>
      <c r="G240" s="31" t="str">
        <f>D240</f>
        <v>Preious</v>
      </c>
      <c r="H240" s="32" t="s">
        <v>386</v>
      </c>
    </row>
    <row r="241" spans="1:8" x14ac:dyDescent="0.25">
      <c r="A241" s="29" t="s">
        <v>393</v>
      </c>
      <c r="B241" s="30"/>
      <c r="C241" s="13">
        <f>FII!N3</f>
        <v>6806</v>
      </c>
      <c r="D241" s="13">
        <f>FII!J3</f>
        <v>6804</v>
      </c>
      <c r="E241" s="14">
        <f>(C241-D241)/C241</f>
        <v>2.9385836027034972E-4</v>
      </c>
      <c r="F241" s="13">
        <f>FII!M3</f>
        <v>34218</v>
      </c>
      <c r="G241" s="13">
        <f>FII!I3</f>
        <v>34103</v>
      </c>
      <c r="H241" s="14">
        <f>(F241-G241)/F241</f>
        <v>3.3608042550704307E-3</v>
      </c>
    </row>
    <row r="242" spans="1:8" x14ac:dyDescent="0.25">
      <c r="A242" s="247" t="s">
        <v>394</v>
      </c>
      <c r="B242" s="248"/>
      <c r="C242" s="13">
        <f>FII!N4</f>
        <v>47965</v>
      </c>
      <c r="D242" s="13">
        <f>FII!J4</f>
        <v>45108</v>
      </c>
      <c r="E242" s="14">
        <f>(C242-D242)/C242</f>
        <v>5.9564265610340873E-2</v>
      </c>
      <c r="F242" s="13">
        <f>FII!M4</f>
        <v>241462</v>
      </c>
      <c r="G242" s="13">
        <f>FII!I4</f>
        <v>226291</v>
      </c>
      <c r="H242" s="14">
        <f>(F242-G242)/F242</f>
        <v>6.282976203294928E-2</v>
      </c>
    </row>
    <row r="243" spans="1:8" x14ac:dyDescent="0.25">
      <c r="A243" s="247" t="s">
        <v>395</v>
      </c>
      <c r="B243" s="248"/>
      <c r="C243" s="13">
        <f>FII!N15</f>
        <v>387224</v>
      </c>
      <c r="D243" s="13">
        <f>FII!J15</f>
        <v>388350</v>
      </c>
      <c r="E243" s="14">
        <f>(C243-D243)/C243</f>
        <v>-2.9078776108918867E-3</v>
      </c>
      <c r="F243" s="13">
        <f>FII!M15</f>
        <v>5544233</v>
      </c>
      <c r="G243" s="13">
        <f>FII!I15</f>
        <v>5540556</v>
      </c>
      <c r="H243" s="14">
        <f>(F243-G243)/F243</f>
        <v>6.6321166516630889E-4</v>
      </c>
    </row>
    <row r="244" spans="1:8" x14ac:dyDescent="0.25">
      <c r="A244" s="247" t="s">
        <v>396</v>
      </c>
      <c r="B244" s="248"/>
      <c r="C244" s="13">
        <f>FII!N16</f>
        <v>58287</v>
      </c>
      <c r="D244" s="13">
        <f>FII!J16</f>
        <v>57069</v>
      </c>
      <c r="E244" s="14">
        <f>(C244-D244)/C244</f>
        <v>2.0896597869164649E-2</v>
      </c>
      <c r="F244" s="13">
        <f>FII!M16</f>
        <v>838065</v>
      </c>
      <c r="G244" s="13">
        <f>FII!I16</f>
        <v>817704</v>
      </c>
      <c r="H244" s="14">
        <f>(F244-G244)/F244</f>
        <v>2.4295251561633046E-2</v>
      </c>
    </row>
    <row r="245" spans="1:8" x14ac:dyDescent="0.25">
      <c r="A245" s="247" t="s">
        <v>391</v>
      </c>
      <c r="B245" s="248"/>
      <c r="C245" s="155">
        <f>SUM(C241:C244)</f>
        <v>500282</v>
      </c>
      <c r="D245" s="155">
        <f>SUM(D241:D244)</f>
        <v>497331</v>
      </c>
      <c r="E245" s="156">
        <f>(C245-D245)/C245</f>
        <v>5.8986731483443335E-3</v>
      </c>
      <c r="F245" s="157">
        <f>SUM(F241:F244)</f>
        <v>6657978</v>
      </c>
      <c r="G245" s="158">
        <f>SUM(G241:G244)</f>
        <v>6618654</v>
      </c>
      <c r="H245" s="156">
        <f>(F245-G245)/F245</f>
        <v>5.9062976777634292E-3</v>
      </c>
    </row>
  </sheetData>
  <mergeCells count="24">
    <mergeCell ref="P225:S225"/>
    <mergeCell ref="A225:F225"/>
    <mergeCell ref="Q224:S224"/>
    <mergeCell ref="I224:M224"/>
    <mergeCell ref="A224:F224"/>
    <mergeCell ref="A244:B244"/>
    <mergeCell ref="A245:B245"/>
    <mergeCell ref="A229:C229"/>
    <mergeCell ref="C239:E239"/>
    <mergeCell ref="F239:H239"/>
    <mergeCell ref="A242:B242"/>
    <mergeCell ref="A243:B243"/>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N20" sqref="A20:N20"/>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45860</v>
      </c>
      <c r="C5" s="3">
        <f>B5</f>
        <v>45860</v>
      </c>
      <c r="D5" s="76" t="s">
        <v>367</v>
      </c>
      <c r="E5" s="76" t="s">
        <v>321</v>
      </c>
      <c r="F5" s="76" t="s">
        <v>368</v>
      </c>
      <c r="G5" s="76" t="s">
        <v>369</v>
      </c>
      <c r="H5" s="48"/>
    </row>
    <row r="6" spans="1:8" x14ac:dyDescent="0.25">
      <c r="A6" s="101" t="str">
        <f>'Data shares'!C2</f>
        <v>360ONE</v>
      </c>
      <c r="B6" s="144">
        <f>VLOOKUP($A6,'Data shares'!$C:$FA,7)</f>
        <v>1144.0999999999999</v>
      </c>
      <c r="C6" s="144">
        <f>VLOOKUP($A6,'Data shares'!$C:$FA,3)</f>
        <v>1143.2</v>
      </c>
      <c r="D6" s="144">
        <f>VLOOKUP($A6,'Data shares'!$C:$FA,23)</f>
        <v>-0.9</v>
      </c>
      <c r="E6" s="145">
        <f>VLOOKUP($A6,'Data shares'!$C:$FA,26)*100</f>
        <v>-0.08</v>
      </c>
      <c r="F6" s="144">
        <f>VLOOKUP($A6,'Data shares'!$C:$FA,24)</f>
        <v>2.2000000000000002</v>
      </c>
      <c r="G6" s="144">
        <f>VLOOKUP($A6,'Data shares'!$C:$FA,25)</f>
        <v>-3.1</v>
      </c>
    </row>
    <row r="7" spans="1:8" x14ac:dyDescent="0.25">
      <c r="A7" s="101" t="str">
        <f>'Data shares'!C3</f>
        <v>AARTIIND</v>
      </c>
      <c r="B7" s="144">
        <f>VLOOKUP($A7,'Data shares'!$C:$FA,7)</f>
        <v>422.95</v>
      </c>
      <c r="C7" s="144">
        <f>VLOOKUP($A7,'Data shares'!$C:$FA,3)</f>
        <v>423.7</v>
      </c>
      <c r="D7" s="144">
        <f>VLOOKUP($A7,'Data shares'!$C:$FA,23)</f>
        <v>0.75</v>
      </c>
      <c r="E7" s="145">
        <f>VLOOKUP($A7,'Data shares'!$C:$FA,26)*100</f>
        <v>0.18</v>
      </c>
      <c r="F7" s="144">
        <f>VLOOKUP($A7,'Data shares'!$C:$FA,24)</f>
        <v>0.95</v>
      </c>
      <c r="G7" s="144">
        <f>VLOOKUP($A7,'Data shares'!$C:$FA,25)</f>
        <v>-0.2</v>
      </c>
    </row>
    <row r="8" spans="1:8" x14ac:dyDescent="0.25">
      <c r="A8" s="101" t="str">
        <f>'Data shares'!C4</f>
        <v>ABB</v>
      </c>
      <c r="B8" s="144">
        <f>VLOOKUP($A8,'Data shares'!$C:$FA,7)</f>
        <v>5755</v>
      </c>
      <c r="C8" s="144">
        <f>VLOOKUP($A8,'Data shares'!$C:$FA,3)</f>
        <v>5766</v>
      </c>
      <c r="D8" s="144">
        <f>VLOOKUP($A8,'Data shares'!$C:$FA,23)</f>
        <v>11</v>
      </c>
      <c r="E8" s="145">
        <f>VLOOKUP($A8,'Data shares'!$C:$FA,26)*100</f>
        <v>0.19</v>
      </c>
      <c r="F8" s="144">
        <f>VLOOKUP($A8,'Data shares'!$C:$FA,24)</f>
        <v>16</v>
      </c>
      <c r="G8" s="144">
        <f>VLOOKUP($A8,'Data shares'!$C:$FA,25)</f>
        <v>-5</v>
      </c>
    </row>
    <row r="9" spans="1:8" x14ac:dyDescent="0.25">
      <c r="A9" s="101" t="str">
        <f>'Data shares'!C5</f>
        <v>ABCAPITAL</v>
      </c>
      <c r="B9" s="144">
        <f>VLOOKUP($A9,'Data shares'!$C:$FA,7)</f>
        <v>268.55</v>
      </c>
      <c r="C9" s="144">
        <f>VLOOKUP($A9,'Data shares'!$C:$FA,3)</f>
        <v>269.39999999999998</v>
      </c>
      <c r="D9" s="144">
        <f>VLOOKUP($A9,'Data shares'!$C:$FA,23)</f>
        <v>0.85</v>
      </c>
      <c r="E9" s="145">
        <f>VLOOKUP($A9,'Data shares'!$C:$FA,26)*100</f>
        <v>0.32</v>
      </c>
      <c r="F9" s="144">
        <f>VLOOKUP($A9,'Data shares'!$C:$FA,24)</f>
        <v>1.2</v>
      </c>
      <c r="G9" s="144">
        <f>VLOOKUP($A9,'Data shares'!$C:$FA,25)</f>
        <v>-0.35</v>
      </c>
    </row>
    <row r="10" spans="1:8" x14ac:dyDescent="0.25">
      <c r="A10" s="101" t="str">
        <f>'Data shares'!C6</f>
        <v>ABFRL</v>
      </c>
      <c r="B10" s="144">
        <f>VLOOKUP($A10,'Data shares'!$C:$FA,7)</f>
        <v>75.64</v>
      </c>
      <c r="C10" s="144">
        <f>VLOOKUP($A10,'Data shares'!$C:$FA,3)</f>
        <v>75.64</v>
      </c>
      <c r="D10" s="144">
        <f>VLOOKUP($A10,'Data shares'!$C:$FA,23)</f>
        <v>0</v>
      </c>
      <c r="E10" s="145">
        <f>VLOOKUP($A10,'Data shares'!$C:$FA,26)*100</f>
        <v>0</v>
      </c>
      <c r="F10" s="144">
        <f>VLOOKUP($A10,'Data shares'!$C:$FA,24)</f>
        <v>0.11</v>
      </c>
      <c r="G10" s="144">
        <f>VLOOKUP($A10,'Data shares'!$C:$FA,25)</f>
        <v>-0.11</v>
      </c>
    </row>
    <row r="11" spans="1:8" x14ac:dyDescent="0.25">
      <c r="A11" s="101" t="str">
        <f>'Data shares'!C7</f>
        <v>ACC</v>
      </c>
      <c r="B11" s="144">
        <f>VLOOKUP($A11,'Data shares'!$C:$FA,7)</f>
        <v>1958.9</v>
      </c>
      <c r="C11" s="144">
        <f>VLOOKUP($A11,'Data shares'!$C:$FA,3)</f>
        <v>1959.7</v>
      </c>
      <c r="D11" s="144">
        <f>VLOOKUP($A11,'Data shares'!$C:$FA,23)</f>
        <v>0.8</v>
      </c>
      <c r="E11" s="145">
        <f>VLOOKUP($A11,'Data shares'!$C:$FA,26)*100</f>
        <v>0.04</v>
      </c>
      <c r="F11" s="144">
        <f>VLOOKUP($A11,'Data shares'!$C:$FA,24)</f>
        <v>2.2000000000000002</v>
      </c>
      <c r="G11" s="144">
        <f>VLOOKUP($A11,'Data shares'!$C:$FA,25)</f>
        <v>-1.4</v>
      </c>
    </row>
    <row r="12" spans="1:8" x14ac:dyDescent="0.25">
      <c r="A12" s="101" t="str">
        <f>'Data shares'!C8</f>
        <v>ADANIENSOL</v>
      </c>
      <c r="B12" s="144">
        <f>VLOOKUP($A12,'Data shares'!$C:$FA,7)</f>
        <v>867.2</v>
      </c>
      <c r="C12" s="144">
        <f>VLOOKUP($A12,'Data shares'!$C:$FA,3)</f>
        <v>867.45</v>
      </c>
      <c r="D12" s="144">
        <f>VLOOKUP($A12,'Data shares'!$C:$FA,23)</f>
        <v>0.25</v>
      </c>
      <c r="E12" s="145">
        <f>VLOOKUP($A12,'Data shares'!$C:$FA,26)*100</f>
        <v>0.03</v>
      </c>
      <c r="F12" s="144">
        <f>VLOOKUP($A12,'Data shares'!$C:$FA,24)</f>
        <v>2.2000000000000002</v>
      </c>
      <c r="G12" s="144">
        <f>VLOOKUP($A12,'Data shares'!$C:$FA,25)</f>
        <v>-1.95</v>
      </c>
    </row>
    <row r="13" spans="1:8" x14ac:dyDescent="0.25">
      <c r="A13" s="101" t="str">
        <f>'Data shares'!C9</f>
        <v>ADANIENT</v>
      </c>
      <c r="B13" s="144">
        <f>VLOOKUP($A13,'Data shares'!$C:$FA,7)</f>
        <v>2587.8000000000002</v>
      </c>
      <c r="C13" s="144">
        <f>VLOOKUP($A13,'Data shares'!$C:$FA,3)</f>
        <v>2594.5</v>
      </c>
      <c r="D13" s="144">
        <f>VLOOKUP($A13,'Data shares'!$C:$FA,23)</f>
        <v>6.7</v>
      </c>
      <c r="E13" s="145">
        <f>VLOOKUP($A13,'Data shares'!$C:$FA,26)*100</f>
        <v>0.26</v>
      </c>
      <c r="F13" s="144">
        <f>VLOOKUP($A13,'Data shares'!$C:$FA,24)</f>
        <v>6.3</v>
      </c>
      <c r="G13" s="144">
        <f>VLOOKUP($A13,'Data shares'!$C:$FA,25)</f>
        <v>0.4</v>
      </c>
    </row>
    <row r="14" spans="1:8" x14ac:dyDescent="0.25">
      <c r="A14" s="101" t="str">
        <f>'Data shares'!C10</f>
        <v>ADANIGREEN</v>
      </c>
      <c r="B14" s="144">
        <f>VLOOKUP($A14,'Data shares'!$C:$FA,7)</f>
        <v>1013.7</v>
      </c>
      <c r="C14" s="144">
        <f>VLOOKUP($A14,'Data shares'!$C:$FA,3)</f>
        <v>1016.2</v>
      </c>
      <c r="D14" s="144">
        <f>VLOOKUP($A14,'Data shares'!$C:$FA,23)</f>
        <v>2.5</v>
      </c>
      <c r="E14" s="145">
        <f>VLOOKUP($A14,'Data shares'!$C:$FA,26)*100</f>
        <v>0.25</v>
      </c>
      <c r="F14" s="144">
        <f>VLOOKUP($A14,'Data shares'!$C:$FA,24)</f>
        <v>2.1</v>
      </c>
      <c r="G14" s="144">
        <f>VLOOKUP($A14,'Data shares'!$C:$FA,25)</f>
        <v>0.4</v>
      </c>
    </row>
    <row r="15" spans="1:8" x14ac:dyDescent="0.25">
      <c r="A15" s="101" t="str">
        <f>'Data shares'!C11</f>
        <v>ADANIPORTS</v>
      </c>
      <c r="B15" s="144">
        <f>VLOOKUP($A15,'Data shares'!$C:$FA,7)</f>
        <v>1420.7</v>
      </c>
      <c r="C15" s="144">
        <f>VLOOKUP($A15,'Data shares'!$C:$FA,3)</f>
        <v>1425.7</v>
      </c>
      <c r="D15" s="144">
        <f>VLOOKUP($A15,'Data shares'!$C:$FA,23)</f>
        <v>5</v>
      </c>
      <c r="E15" s="145">
        <f>VLOOKUP($A15,'Data shares'!$C:$FA,26)*100</f>
        <v>0.35000000000000003</v>
      </c>
      <c r="F15" s="144">
        <f>VLOOKUP($A15,'Data shares'!$C:$FA,24)</f>
        <v>2.4</v>
      </c>
      <c r="G15" s="144">
        <f>VLOOKUP($A15,'Data shares'!$C:$FA,25)</f>
        <v>2.6</v>
      </c>
    </row>
    <row r="16" spans="1:8" x14ac:dyDescent="0.25">
      <c r="A16" s="101" t="str">
        <f>'Data shares'!C12</f>
        <v>ALKEM</v>
      </c>
      <c r="B16" s="144">
        <f>VLOOKUP($A16,'Data shares'!$C:$FA,7)</f>
        <v>4971.8</v>
      </c>
      <c r="C16" s="144">
        <f>VLOOKUP($A16,'Data shares'!$C:$FA,3)</f>
        <v>4973.6000000000004</v>
      </c>
      <c r="D16" s="144">
        <f>VLOOKUP($A16,'Data shares'!$C:$FA,23)</f>
        <v>1.8</v>
      </c>
      <c r="E16" s="145">
        <f>VLOOKUP($A16,'Data shares'!$C:$FA,26)*100</f>
        <v>0.04</v>
      </c>
      <c r="F16" s="144">
        <f>VLOOKUP($A16,'Data shares'!$C:$FA,24)</f>
        <v>7.2</v>
      </c>
      <c r="G16" s="144">
        <f>VLOOKUP($A16,'Data shares'!$C:$FA,25)</f>
        <v>-5.4</v>
      </c>
    </row>
    <row r="17" spans="1:7" x14ac:dyDescent="0.25">
      <c r="A17" s="101" t="str">
        <f>'Data shares'!C13</f>
        <v>AMBER</v>
      </c>
      <c r="B17" s="144">
        <f>VLOOKUP($A17,'Data shares'!$C:$FA,7)</f>
        <v>7369</v>
      </c>
      <c r="C17" s="144">
        <f>VLOOKUP($A17,'Data shares'!$C:$FA,3)</f>
        <v>7388.5</v>
      </c>
      <c r="D17" s="144">
        <f>VLOOKUP($A17,'Data shares'!$C:$FA,23)</f>
        <v>19.5</v>
      </c>
      <c r="E17" s="145">
        <f>VLOOKUP($A17,'Data shares'!$C:$FA,26)*100</f>
        <v>0.26</v>
      </c>
      <c r="F17" s="144">
        <f>VLOOKUP($A17,'Data shares'!$C:$FA,24)</f>
        <v>31</v>
      </c>
      <c r="G17" s="144">
        <f>VLOOKUP($A17,'Data shares'!$C:$FA,25)</f>
        <v>-11.5</v>
      </c>
    </row>
    <row r="18" spans="1:7" x14ac:dyDescent="0.25">
      <c r="A18" s="101" t="str">
        <f>'Data shares'!C14</f>
        <v>AMBUJACEM</v>
      </c>
      <c r="B18" s="144">
        <f>VLOOKUP($A18,'Data shares'!$C:$FA,7)</f>
        <v>620.54999999999995</v>
      </c>
      <c r="C18" s="144">
        <f>VLOOKUP($A18,'Data shares'!$C:$FA,3)</f>
        <v>620.75</v>
      </c>
      <c r="D18" s="144">
        <f>VLOOKUP($A18,'Data shares'!$C:$FA,23)</f>
        <v>0.2</v>
      </c>
      <c r="E18" s="145">
        <f>VLOOKUP($A18,'Data shares'!$C:$FA,26)*100</f>
        <v>0.03</v>
      </c>
      <c r="F18" s="144">
        <f>VLOOKUP($A18,'Data shares'!$C:$FA,24)</f>
        <v>1.65</v>
      </c>
      <c r="G18" s="144">
        <f>VLOOKUP($A18,'Data shares'!$C:$FA,25)</f>
        <v>-1.45</v>
      </c>
    </row>
    <row r="19" spans="1:7" x14ac:dyDescent="0.25">
      <c r="A19" s="101" t="str">
        <f>'Data shares'!C15</f>
        <v>ANGELONE</v>
      </c>
      <c r="B19" s="144">
        <f>VLOOKUP($A19,'Data shares'!$C:$FA,7)</f>
        <v>2805.4</v>
      </c>
      <c r="C19" s="144">
        <f>VLOOKUP($A19,'Data shares'!$C:$FA,3)</f>
        <v>2816.6</v>
      </c>
      <c r="D19" s="144">
        <f>VLOOKUP($A19,'Data shares'!$C:$FA,23)</f>
        <v>11.2</v>
      </c>
      <c r="E19" s="145">
        <f>VLOOKUP($A19,'Data shares'!$C:$FA,26)*100</f>
        <v>0.4</v>
      </c>
      <c r="F19" s="144">
        <f>VLOOKUP($A19,'Data shares'!$C:$FA,24)</f>
        <v>4.5999999999999996</v>
      </c>
      <c r="G19" s="144">
        <f>VLOOKUP($A19,'Data shares'!$C:$FA,25)</f>
        <v>6.6</v>
      </c>
    </row>
    <row r="20" spans="1:7" x14ac:dyDescent="0.25">
      <c r="A20" s="101" t="str">
        <f>'Data shares'!C16</f>
        <v>APLAPOLLO</v>
      </c>
      <c r="B20" s="144">
        <f>VLOOKUP($A20,'Data shares'!$C:$FA,7)</f>
        <v>1660.4</v>
      </c>
      <c r="C20" s="144">
        <f>VLOOKUP($A20,'Data shares'!$C:$FA,3)</f>
        <v>1661.9</v>
      </c>
      <c r="D20" s="144">
        <f>VLOOKUP($A20,'Data shares'!$C:$FA,23)</f>
        <v>1.5</v>
      </c>
      <c r="E20" s="145">
        <f>VLOOKUP($A20,'Data shares'!$C:$FA,26)*100</f>
        <v>0.09</v>
      </c>
      <c r="F20" s="144">
        <f>VLOOKUP($A20,'Data shares'!$C:$FA,24)</f>
        <v>4.0999999999999996</v>
      </c>
      <c r="G20" s="144">
        <f>VLOOKUP($A20,'Data shares'!$C:$FA,25)</f>
        <v>-2.6</v>
      </c>
    </row>
    <row r="21" spans="1:7" x14ac:dyDescent="0.25">
      <c r="A21" s="101" t="str">
        <f>'Data shares'!C17</f>
        <v>APOLLOHOSP</v>
      </c>
      <c r="B21" s="144">
        <f>VLOOKUP($A21,'Data shares'!$C:$FA,7)</f>
        <v>7246.5</v>
      </c>
      <c r="C21" s="144">
        <f>VLOOKUP($A21,'Data shares'!$C:$FA,3)</f>
        <v>7258</v>
      </c>
      <c r="D21" s="144">
        <f>VLOOKUP($A21,'Data shares'!$C:$FA,23)</f>
        <v>11.5</v>
      </c>
      <c r="E21" s="145">
        <f>VLOOKUP($A21,'Data shares'!$C:$FA,26)*100</f>
        <v>0.16</v>
      </c>
      <c r="F21" s="144">
        <f>VLOOKUP($A21,'Data shares'!$C:$FA,24)</f>
        <v>16.5</v>
      </c>
      <c r="G21" s="144">
        <f>VLOOKUP($A21,'Data shares'!$C:$FA,25)</f>
        <v>-5</v>
      </c>
    </row>
    <row r="22" spans="1:7" x14ac:dyDescent="0.25">
      <c r="A22" s="101" t="str">
        <f>'Data shares'!C18</f>
        <v>ASHOKLEY</v>
      </c>
      <c r="B22" s="144">
        <f>VLOOKUP($A22,'Data shares'!$C:$FA,7)</f>
        <v>124</v>
      </c>
      <c r="C22" s="144">
        <f>VLOOKUP($A22,'Data shares'!$C:$FA,3)</f>
        <v>124.05</v>
      </c>
      <c r="D22" s="144">
        <f>VLOOKUP($A22,'Data shares'!$C:$FA,23)</f>
        <v>0.05</v>
      </c>
      <c r="E22" s="145">
        <f>VLOOKUP($A22,'Data shares'!$C:$FA,26)*100</f>
        <v>0.04</v>
      </c>
      <c r="F22" s="144">
        <f>VLOOKUP($A22,'Data shares'!$C:$FA,24)</f>
        <v>0.1</v>
      </c>
      <c r="G22" s="144">
        <f>VLOOKUP($A22,'Data shares'!$C:$FA,25)</f>
        <v>-0.05</v>
      </c>
    </row>
    <row r="23" spans="1:7" x14ac:dyDescent="0.25">
      <c r="A23" s="101" t="str">
        <f>'Data shares'!C19</f>
        <v>ASIANPAINT</v>
      </c>
      <c r="B23" s="144">
        <f>VLOOKUP($A23,'Data shares'!$C:$FA,7)</f>
        <v>2365.1999999999998</v>
      </c>
      <c r="C23" s="144">
        <f>VLOOKUP($A23,'Data shares'!$C:$FA,3)</f>
        <v>2365.8000000000002</v>
      </c>
      <c r="D23" s="144">
        <f>VLOOKUP($A23,'Data shares'!$C:$FA,23)</f>
        <v>0.6</v>
      </c>
      <c r="E23" s="145">
        <f>VLOOKUP($A23,'Data shares'!$C:$FA,26)*100</f>
        <v>0.03</v>
      </c>
      <c r="F23" s="144">
        <f>VLOOKUP($A23,'Data shares'!$C:$FA,24)</f>
        <v>1.6</v>
      </c>
      <c r="G23" s="144">
        <f>VLOOKUP($A23,'Data shares'!$C:$FA,25)</f>
        <v>-1</v>
      </c>
    </row>
    <row r="24" spans="1:7" x14ac:dyDescent="0.25">
      <c r="A24" s="101" t="str">
        <f>'Data shares'!C20</f>
        <v>ASTRAL</v>
      </c>
      <c r="B24" s="144">
        <f>VLOOKUP($A24,'Data shares'!$C:$FA,7)</f>
        <v>1475</v>
      </c>
      <c r="C24" s="144">
        <f>VLOOKUP($A24,'Data shares'!$C:$FA,3)</f>
        <v>1473.6</v>
      </c>
      <c r="D24" s="144">
        <f>VLOOKUP($A24,'Data shares'!$C:$FA,23)</f>
        <v>-1.4</v>
      </c>
      <c r="E24" s="145">
        <f>VLOOKUP($A24,'Data shares'!$C:$FA,26)*100</f>
        <v>-0.09</v>
      </c>
      <c r="F24" s="144">
        <f>VLOOKUP($A24,'Data shares'!$C:$FA,24)</f>
        <v>3.4</v>
      </c>
      <c r="G24" s="144">
        <f>VLOOKUP($A24,'Data shares'!$C:$FA,25)</f>
        <v>-4.8</v>
      </c>
    </row>
    <row r="25" spans="1:7" x14ac:dyDescent="0.25">
      <c r="A25" s="101" t="str">
        <f>'Data shares'!C21</f>
        <v>ATGL</v>
      </c>
      <c r="B25" s="144">
        <f>VLOOKUP($A25,'Data shares'!$C:$FA,7)</f>
        <v>646.95000000000005</v>
      </c>
      <c r="C25" s="144">
        <f>VLOOKUP($A25,'Data shares'!$C:$FA,3)</f>
        <v>647.54999999999995</v>
      </c>
      <c r="D25" s="144">
        <f>VLOOKUP($A25,'Data shares'!$C:$FA,23)</f>
        <v>0.6</v>
      </c>
      <c r="E25" s="145">
        <f>VLOOKUP($A25,'Data shares'!$C:$FA,26)*100</f>
        <v>0.09</v>
      </c>
      <c r="F25" s="144">
        <f>VLOOKUP($A25,'Data shares'!$C:$FA,24)</f>
        <v>2.5499999999999998</v>
      </c>
      <c r="G25" s="144">
        <f>VLOOKUP($A25,'Data shares'!$C:$FA,25)</f>
        <v>-1.95</v>
      </c>
    </row>
    <row r="26" spans="1:7" x14ac:dyDescent="0.25">
      <c r="A26" s="101" t="str">
        <f>'Data shares'!C22</f>
        <v>AUBANK</v>
      </c>
      <c r="B26" s="144">
        <f>VLOOKUP($A26,'Data shares'!$C:$FA,7)</f>
        <v>725.8</v>
      </c>
      <c r="C26" s="144">
        <f>VLOOKUP($A26,'Data shares'!$C:$FA,3)</f>
        <v>728.2</v>
      </c>
      <c r="D26" s="144">
        <f>VLOOKUP($A26,'Data shares'!$C:$FA,23)</f>
        <v>2.4</v>
      </c>
      <c r="E26" s="145">
        <f>VLOOKUP($A26,'Data shares'!$C:$FA,26)*100</f>
        <v>0.33</v>
      </c>
      <c r="F26" s="144">
        <f>VLOOKUP($A26,'Data shares'!$C:$FA,24)</f>
        <v>0.3</v>
      </c>
      <c r="G26" s="144">
        <f>VLOOKUP($A26,'Data shares'!$C:$FA,25)</f>
        <v>2.1</v>
      </c>
    </row>
    <row r="27" spans="1:7" x14ac:dyDescent="0.25">
      <c r="A27" s="101" t="str">
        <f>'Data shares'!C23</f>
        <v>AUROPHARMA</v>
      </c>
      <c r="B27" s="144">
        <f>VLOOKUP($A27,'Data shares'!$C:$FA,7)</f>
        <v>1101.4000000000001</v>
      </c>
      <c r="C27" s="144">
        <f>VLOOKUP($A27,'Data shares'!$C:$FA,3)</f>
        <v>1104.9000000000001</v>
      </c>
      <c r="D27" s="144">
        <f>VLOOKUP($A27,'Data shares'!$C:$FA,23)</f>
        <v>3.5</v>
      </c>
      <c r="E27" s="145">
        <f>VLOOKUP($A27,'Data shares'!$C:$FA,26)*100</f>
        <v>0.32</v>
      </c>
      <c r="F27" s="144">
        <f>VLOOKUP($A27,'Data shares'!$C:$FA,24)</f>
        <v>2.2999999999999998</v>
      </c>
      <c r="G27" s="144">
        <f>VLOOKUP($A27,'Data shares'!$C:$FA,25)</f>
        <v>1.2</v>
      </c>
    </row>
    <row r="28" spans="1:7" x14ac:dyDescent="0.25">
      <c r="A28" s="101" t="str">
        <f>'Data shares'!C24</f>
        <v>AXISBANK</v>
      </c>
      <c r="B28" s="144">
        <f>VLOOKUP($A28,'Data shares'!$C:$FA,7)</f>
        <v>1098</v>
      </c>
      <c r="C28" s="144">
        <f>VLOOKUP($A28,'Data shares'!$C:$FA,3)</f>
        <v>1101.5</v>
      </c>
      <c r="D28" s="144">
        <f>VLOOKUP($A28,'Data shares'!$C:$FA,23)</f>
        <v>3.5</v>
      </c>
      <c r="E28" s="145">
        <f>VLOOKUP($A28,'Data shares'!$C:$FA,26)*100</f>
        <v>0.32</v>
      </c>
      <c r="F28" s="144">
        <f>VLOOKUP($A28,'Data shares'!$C:$FA,24)</f>
        <v>3.5</v>
      </c>
      <c r="G28" s="144">
        <f>VLOOKUP($A28,'Data shares'!$C:$FA,25)</f>
        <v>0</v>
      </c>
    </row>
    <row r="29" spans="1:7" x14ac:dyDescent="0.25">
      <c r="A29" s="101" t="str">
        <f>'Data shares'!C25</f>
        <v>BAJAJ-AUTO</v>
      </c>
      <c r="B29" s="144">
        <f>VLOOKUP($A29,'Data shares'!$C:$FA,7)</f>
        <v>8295</v>
      </c>
      <c r="C29" s="144">
        <f>VLOOKUP($A29,'Data shares'!$C:$FA,3)</f>
        <v>8300.5</v>
      </c>
      <c r="D29" s="144">
        <f>VLOOKUP($A29,'Data shares'!$C:$FA,23)</f>
        <v>5.5</v>
      </c>
      <c r="E29" s="145">
        <f>VLOOKUP($A29,'Data shares'!$C:$FA,26)*100</f>
        <v>6.9999999999999993E-2</v>
      </c>
      <c r="F29" s="144">
        <f>VLOOKUP($A29,'Data shares'!$C:$FA,24)</f>
        <v>7.5</v>
      </c>
      <c r="G29" s="144">
        <f>VLOOKUP($A29,'Data shares'!$C:$FA,25)</f>
        <v>-2</v>
      </c>
    </row>
    <row r="30" spans="1:7" x14ac:dyDescent="0.25">
      <c r="A30" s="101" t="str">
        <f>'Data shares'!C26</f>
        <v>BAJAJFINSV</v>
      </c>
      <c r="B30" s="144">
        <f>VLOOKUP($A30,'Data shares'!$C:$FA,7)</f>
        <v>2039.6</v>
      </c>
      <c r="C30" s="144">
        <f>VLOOKUP($A30,'Data shares'!$C:$FA,3)</f>
        <v>2043</v>
      </c>
      <c r="D30" s="144">
        <f>VLOOKUP($A30,'Data shares'!$C:$FA,23)</f>
        <v>3.4</v>
      </c>
      <c r="E30" s="145">
        <f>VLOOKUP($A30,'Data shares'!$C:$FA,26)*100</f>
        <v>0.16999999999999998</v>
      </c>
      <c r="F30" s="144">
        <f>VLOOKUP($A30,'Data shares'!$C:$FA,24)</f>
        <v>6.6</v>
      </c>
      <c r="G30" s="144">
        <f>VLOOKUP($A30,'Data shares'!$C:$FA,25)</f>
        <v>-3.2</v>
      </c>
    </row>
    <row r="31" spans="1:7" x14ac:dyDescent="0.25">
      <c r="A31" s="101" t="str">
        <f>'Data shares'!C27</f>
        <v>BAJFINANCE</v>
      </c>
      <c r="B31" s="144">
        <f>VLOOKUP($A31,'Data shares'!$C:$FA,7)</f>
        <v>952.55</v>
      </c>
      <c r="C31" s="144">
        <f>VLOOKUP($A31,'Data shares'!$C:$FA,3)</f>
        <v>955.95</v>
      </c>
      <c r="D31" s="144">
        <f>VLOOKUP($A31,'Data shares'!$C:$FA,23)</f>
        <v>3.4</v>
      </c>
      <c r="E31" s="145">
        <f>VLOOKUP($A31,'Data shares'!$C:$FA,26)*100</f>
        <v>0.36</v>
      </c>
      <c r="F31" s="144">
        <f>VLOOKUP($A31,'Data shares'!$C:$FA,24)</f>
        <v>2.7</v>
      </c>
      <c r="G31" s="144">
        <f>VLOOKUP($A31,'Data shares'!$C:$FA,25)</f>
        <v>0.7</v>
      </c>
    </row>
    <row r="32" spans="1:7" x14ac:dyDescent="0.25">
      <c r="A32" s="101" t="str">
        <f>'Data shares'!C28</f>
        <v>BALKRISIND</v>
      </c>
      <c r="B32" s="144">
        <f>VLOOKUP($A32,'Data shares'!$C:$FA,7)</f>
        <v>2756.9</v>
      </c>
      <c r="C32" s="144">
        <f>VLOOKUP($A32,'Data shares'!$C:$FA,3)</f>
        <v>2763.9</v>
      </c>
      <c r="D32" s="144">
        <f>VLOOKUP($A32,'Data shares'!$C:$FA,23)</f>
        <v>7</v>
      </c>
      <c r="E32" s="145">
        <f>VLOOKUP($A32,'Data shares'!$C:$FA,26)*100</f>
        <v>0.25</v>
      </c>
      <c r="F32" s="144">
        <f>VLOOKUP($A32,'Data shares'!$C:$FA,24)</f>
        <v>3.9</v>
      </c>
      <c r="G32" s="144">
        <f>VLOOKUP($A32,'Data shares'!$C:$FA,25)</f>
        <v>3.1</v>
      </c>
    </row>
    <row r="33" spans="1:7" x14ac:dyDescent="0.25">
      <c r="A33" s="101" t="str">
        <f>'Data shares'!C29</f>
        <v>BANDHANBNK</v>
      </c>
      <c r="B33" s="144">
        <f>VLOOKUP($A33,'Data shares'!$C:$FA,7)</f>
        <v>180.94</v>
      </c>
      <c r="C33" s="144">
        <f>VLOOKUP($A33,'Data shares'!$C:$FA,3)</f>
        <v>181.38</v>
      </c>
      <c r="D33" s="144">
        <f>VLOOKUP($A33,'Data shares'!$C:$FA,23)</f>
        <v>0.44</v>
      </c>
      <c r="E33" s="145">
        <f>VLOOKUP($A33,'Data shares'!$C:$FA,26)*100</f>
        <v>0.24</v>
      </c>
      <c r="F33" s="144">
        <f>VLOOKUP($A33,'Data shares'!$C:$FA,24)</f>
        <v>0.27</v>
      </c>
      <c r="G33" s="144">
        <f>VLOOKUP($A33,'Data shares'!$C:$FA,25)</f>
        <v>0.17</v>
      </c>
    </row>
    <row r="34" spans="1:7" x14ac:dyDescent="0.25">
      <c r="A34" s="101" t="str">
        <f>'Data shares'!C30</f>
        <v>BANKBARODA</v>
      </c>
      <c r="B34" s="144">
        <f>VLOOKUP($A34,'Data shares'!$C:$FA,7)</f>
        <v>239.48</v>
      </c>
      <c r="C34" s="144">
        <f>VLOOKUP($A34,'Data shares'!$C:$FA,3)</f>
        <v>239.72</v>
      </c>
      <c r="D34" s="144">
        <f>VLOOKUP($A34,'Data shares'!$C:$FA,23)</f>
        <v>0.24</v>
      </c>
      <c r="E34" s="145">
        <f>VLOOKUP($A34,'Data shares'!$C:$FA,26)*100</f>
        <v>0.1</v>
      </c>
      <c r="F34" s="144">
        <f>VLOOKUP($A34,'Data shares'!$C:$FA,24)</f>
        <v>0.69</v>
      </c>
      <c r="G34" s="144">
        <f>VLOOKUP($A34,'Data shares'!$C:$FA,25)</f>
        <v>-0.45</v>
      </c>
    </row>
    <row r="35" spans="1:7" x14ac:dyDescent="0.25">
      <c r="A35" s="101" t="str">
        <f>'Data shares'!C31</f>
        <v>BANKINDIA</v>
      </c>
      <c r="B35" s="144">
        <f>VLOOKUP($A35,'Data shares'!$C:$FA,7)</f>
        <v>113.13</v>
      </c>
      <c r="C35" s="144">
        <f>VLOOKUP($A35,'Data shares'!$C:$FA,3)</f>
        <v>113.16</v>
      </c>
      <c r="D35" s="144">
        <f>VLOOKUP($A35,'Data shares'!$C:$FA,23)</f>
        <v>0.03</v>
      </c>
      <c r="E35" s="145">
        <f>VLOOKUP($A35,'Data shares'!$C:$FA,26)*100</f>
        <v>0.03</v>
      </c>
      <c r="F35" s="144">
        <f>VLOOKUP($A35,'Data shares'!$C:$FA,24)</f>
        <v>0.12</v>
      </c>
      <c r="G35" s="144">
        <f>VLOOKUP($A35,'Data shares'!$C:$FA,25)</f>
        <v>-0.09</v>
      </c>
    </row>
    <row r="36" spans="1:7" x14ac:dyDescent="0.25">
      <c r="A36" s="101" t="str">
        <f>'Data shares'!C32</f>
        <v>BANKNIFTY</v>
      </c>
      <c r="B36" s="144">
        <f>VLOOKUP($A36,'Data shares'!$C:$FA,7)</f>
        <v>56756</v>
      </c>
      <c r="C36" s="144">
        <f>VLOOKUP($A36,'Data shares'!$C:$FA,3)</f>
        <v>56804.6</v>
      </c>
      <c r="D36" s="144">
        <f>VLOOKUP($A36,'Data shares'!$C:$FA,23)</f>
        <v>48.6</v>
      </c>
      <c r="E36" s="145">
        <f>VLOOKUP($A36,'Data shares'!$C:$FA,26)*100</f>
        <v>0.09</v>
      </c>
      <c r="F36" s="144">
        <f>VLOOKUP($A36,'Data shares'!$C:$FA,24)</f>
        <v>29.05</v>
      </c>
      <c r="G36" s="144">
        <f>VLOOKUP($A36,'Data shares'!$C:$FA,25)</f>
        <v>19.55</v>
      </c>
    </row>
    <row r="37" spans="1:7" x14ac:dyDescent="0.25">
      <c r="A37" s="101" t="str">
        <f>'Data shares'!C33</f>
        <v>BDL</v>
      </c>
      <c r="B37" s="144">
        <f>VLOOKUP($A37,'Data shares'!$C:$FA,7)</f>
        <v>1717.4</v>
      </c>
      <c r="C37" s="144">
        <f>VLOOKUP($A37,'Data shares'!$C:$FA,3)</f>
        <v>1717.6</v>
      </c>
      <c r="D37" s="144">
        <f>VLOOKUP($A37,'Data shares'!$C:$FA,23)</f>
        <v>0.2</v>
      </c>
      <c r="E37" s="145">
        <f>VLOOKUP($A37,'Data shares'!$C:$FA,26)*100</f>
        <v>0.01</v>
      </c>
      <c r="F37" s="144">
        <f>VLOOKUP($A37,'Data shares'!$C:$FA,24)</f>
        <v>3.5</v>
      </c>
      <c r="G37" s="144">
        <f>VLOOKUP($A37,'Data shares'!$C:$FA,25)</f>
        <v>-3.3</v>
      </c>
    </row>
    <row r="38" spans="1:7" x14ac:dyDescent="0.25">
      <c r="A38" s="101" t="str">
        <f>'Data shares'!C34</f>
        <v>BEL</v>
      </c>
      <c r="B38" s="144">
        <f>VLOOKUP($A38,'Data shares'!$C:$FA,7)</f>
        <v>403.1</v>
      </c>
      <c r="C38" s="144">
        <f>VLOOKUP($A38,'Data shares'!$C:$FA,3)</f>
        <v>403.65</v>
      </c>
      <c r="D38" s="144">
        <f>VLOOKUP($A38,'Data shares'!$C:$FA,23)</f>
        <v>0.55000000000000004</v>
      </c>
      <c r="E38" s="145">
        <f>VLOOKUP($A38,'Data shares'!$C:$FA,26)*100</f>
        <v>0.13999999999999999</v>
      </c>
      <c r="F38" s="144">
        <f>VLOOKUP($A38,'Data shares'!$C:$FA,24)</f>
        <v>1.1499999999999999</v>
      </c>
      <c r="G38" s="144">
        <f>VLOOKUP($A38,'Data shares'!$C:$FA,25)</f>
        <v>-0.6</v>
      </c>
    </row>
    <row r="39" spans="1:7" x14ac:dyDescent="0.25">
      <c r="A39" s="101" t="str">
        <f>'Data shares'!C35</f>
        <v>BHARATFORG</v>
      </c>
      <c r="B39" s="144">
        <f>VLOOKUP($A39,'Data shares'!$C:$FA,7)</f>
        <v>1204.7</v>
      </c>
      <c r="C39" s="144">
        <f>VLOOKUP($A39,'Data shares'!$C:$FA,3)</f>
        <v>1206.5999999999999</v>
      </c>
      <c r="D39" s="144">
        <f>VLOOKUP($A39,'Data shares'!$C:$FA,23)</f>
        <v>1.9</v>
      </c>
      <c r="E39" s="145">
        <f>VLOOKUP($A39,'Data shares'!$C:$FA,26)*100</f>
        <v>0.16</v>
      </c>
      <c r="F39" s="144">
        <f>VLOOKUP($A39,'Data shares'!$C:$FA,24)</f>
        <v>3.6</v>
      </c>
      <c r="G39" s="144">
        <f>VLOOKUP($A39,'Data shares'!$C:$FA,25)</f>
        <v>-1.7</v>
      </c>
    </row>
    <row r="40" spans="1:7" x14ac:dyDescent="0.25">
      <c r="A40" s="101" t="str">
        <f>'Data shares'!C36</f>
        <v>BHARTIARTL</v>
      </c>
      <c r="B40" s="144">
        <f>VLOOKUP($A40,'Data shares'!$C:$FA,7)</f>
        <v>1906.8</v>
      </c>
      <c r="C40" s="144">
        <f>VLOOKUP($A40,'Data shares'!$C:$FA,3)</f>
        <v>1908.2</v>
      </c>
      <c r="D40" s="144">
        <f>VLOOKUP($A40,'Data shares'!$C:$FA,23)</f>
        <v>1.4</v>
      </c>
      <c r="E40" s="145">
        <f>VLOOKUP($A40,'Data shares'!$C:$FA,26)*100</f>
        <v>6.9999999999999993E-2</v>
      </c>
      <c r="F40" s="144">
        <f>VLOOKUP($A40,'Data shares'!$C:$FA,24)</f>
        <v>3.4</v>
      </c>
      <c r="G40" s="144">
        <f>VLOOKUP($A40,'Data shares'!$C:$FA,25)</f>
        <v>-2</v>
      </c>
    </row>
    <row r="41" spans="1:7" x14ac:dyDescent="0.25">
      <c r="A41" s="101" t="str">
        <f>'Data shares'!C37</f>
        <v>BHEL</v>
      </c>
      <c r="B41" s="144">
        <f>VLOOKUP($A41,'Data shares'!$C:$FA,7)</f>
        <v>250.5</v>
      </c>
      <c r="C41" s="144">
        <f>VLOOKUP($A41,'Data shares'!$C:$FA,3)</f>
        <v>250.8</v>
      </c>
      <c r="D41" s="144">
        <f>VLOOKUP($A41,'Data shares'!$C:$FA,23)</f>
        <v>0.3</v>
      </c>
      <c r="E41" s="145">
        <f>VLOOKUP($A41,'Data shares'!$C:$FA,26)*100</f>
        <v>0.12</v>
      </c>
      <c r="F41" s="144">
        <f>VLOOKUP($A41,'Data shares'!$C:$FA,24)</f>
        <v>0.65</v>
      </c>
      <c r="G41" s="144">
        <f>VLOOKUP($A41,'Data shares'!$C:$FA,25)</f>
        <v>-0.35</v>
      </c>
    </row>
    <row r="42" spans="1:7" x14ac:dyDescent="0.25">
      <c r="A42" s="101" t="str">
        <f>'Data shares'!C38</f>
        <v>BIOCON</v>
      </c>
      <c r="B42" s="144">
        <f>VLOOKUP($A42,'Data shares'!$C:$FA,7)</f>
        <v>387.2</v>
      </c>
      <c r="C42" s="144">
        <f>VLOOKUP($A42,'Data shares'!$C:$FA,3)</f>
        <v>388.05</v>
      </c>
      <c r="D42" s="144">
        <f>VLOOKUP($A42,'Data shares'!$C:$FA,23)</f>
        <v>0.85</v>
      </c>
      <c r="E42" s="145">
        <f>VLOOKUP($A42,'Data shares'!$C:$FA,26)*100</f>
        <v>0.22</v>
      </c>
      <c r="F42" s="144">
        <f>VLOOKUP($A42,'Data shares'!$C:$FA,24)</f>
        <v>1.35</v>
      </c>
      <c r="G42" s="144">
        <f>VLOOKUP($A42,'Data shares'!$C:$FA,25)</f>
        <v>-0.5</v>
      </c>
    </row>
    <row r="43" spans="1:7" x14ac:dyDescent="0.25">
      <c r="A43" s="101" t="str">
        <f>'Data shares'!C39</f>
        <v>BLUESTARCO</v>
      </c>
      <c r="B43" s="144">
        <f>VLOOKUP($A43,'Data shares'!$C:$FA,7)</f>
        <v>1764.2</v>
      </c>
      <c r="C43" s="144">
        <f>VLOOKUP($A43,'Data shares'!$C:$FA,3)</f>
        <v>1769.4</v>
      </c>
      <c r="D43" s="144">
        <f>VLOOKUP($A43,'Data shares'!$C:$FA,23)</f>
        <v>5.2</v>
      </c>
      <c r="E43" s="145">
        <f>VLOOKUP($A43,'Data shares'!$C:$FA,26)*100</f>
        <v>0.28999999999999998</v>
      </c>
      <c r="F43" s="144">
        <f>VLOOKUP($A43,'Data shares'!$C:$FA,24)</f>
        <v>4.2</v>
      </c>
      <c r="G43" s="144">
        <f>VLOOKUP($A43,'Data shares'!$C:$FA,25)</f>
        <v>1</v>
      </c>
    </row>
    <row r="44" spans="1:7" x14ac:dyDescent="0.25">
      <c r="A44" s="101" t="str">
        <f>'Data shares'!C40</f>
        <v>BOSCHLTD</v>
      </c>
      <c r="B44" s="144">
        <f>VLOOKUP($A44,'Data shares'!$C:$FA,7)</f>
        <v>37755</v>
      </c>
      <c r="C44" s="144">
        <f>VLOOKUP($A44,'Data shares'!$C:$FA,3)</f>
        <v>37350</v>
      </c>
      <c r="D44" s="144">
        <f>VLOOKUP($A44,'Data shares'!$C:$FA,23)</f>
        <v>-405</v>
      </c>
      <c r="E44" s="145">
        <f>VLOOKUP($A44,'Data shares'!$C:$FA,26)*100</f>
        <v>-1.0699999999999998</v>
      </c>
      <c r="F44" s="144">
        <f>VLOOKUP($A44,'Data shares'!$C:$FA,24)</f>
        <v>-335</v>
      </c>
      <c r="G44" s="144">
        <f>VLOOKUP($A44,'Data shares'!$C:$FA,25)</f>
        <v>-70</v>
      </c>
    </row>
    <row r="45" spans="1:7" x14ac:dyDescent="0.25">
      <c r="A45" s="101" t="str">
        <f>'Data shares'!C41</f>
        <v>BPCL</v>
      </c>
      <c r="B45" s="144">
        <f>VLOOKUP($A45,'Data shares'!$C:$FA,7)</f>
        <v>340.35</v>
      </c>
      <c r="C45" s="144">
        <f>VLOOKUP($A45,'Data shares'!$C:$FA,3)</f>
        <v>336.5</v>
      </c>
      <c r="D45" s="144">
        <f>VLOOKUP($A45,'Data shares'!$C:$FA,23)</f>
        <v>-3.85</v>
      </c>
      <c r="E45" s="145">
        <f>VLOOKUP($A45,'Data shares'!$C:$FA,26)*100</f>
        <v>-1.1299999999999999</v>
      </c>
      <c r="F45" s="144">
        <f>VLOOKUP($A45,'Data shares'!$C:$FA,24)</f>
        <v>-3.8</v>
      </c>
      <c r="G45" s="144">
        <f>VLOOKUP($A45,'Data shares'!$C:$FA,25)</f>
        <v>-0.05</v>
      </c>
    </row>
    <row r="46" spans="1:7" x14ac:dyDescent="0.25">
      <c r="A46" s="101" t="str">
        <f>'Data shares'!C42</f>
        <v>BRITANNIA</v>
      </c>
      <c r="B46" s="144">
        <f>VLOOKUP($A46,'Data shares'!$C:$FA,7)</f>
        <v>5708.5</v>
      </c>
      <c r="C46" s="144">
        <f>VLOOKUP($A46,'Data shares'!$C:$FA,3)</f>
        <v>5713</v>
      </c>
      <c r="D46" s="144">
        <f>VLOOKUP($A46,'Data shares'!$C:$FA,23)</f>
        <v>4.5</v>
      </c>
      <c r="E46" s="145">
        <f>VLOOKUP($A46,'Data shares'!$C:$FA,26)*100</f>
        <v>0.08</v>
      </c>
      <c r="F46" s="144">
        <f>VLOOKUP($A46,'Data shares'!$C:$FA,24)</f>
        <v>19</v>
      </c>
      <c r="G46" s="144">
        <f>VLOOKUP($A46,'Data shares'!$C:$FA,25)</f>
        <v>-14.5</v>
      </c>
    </row>
    <row r="47" spans="1:7" x14ac:dyDescent="0.25">
      <c r="A47" s="101" t="str">
        <f>'Data shares'!C43</f>
        <v>BSE</v>
      </c>
      <c r="B47" s="144">
        <f>VLOOKUP($A47,'Data shares'!$C:$FA,7)</f>
        <v>2548.4</v>
      </c>
      <c r="C47" s="144">
        <f>VLOOKUP($A47,'Data shares'!$C:$FA,3)</f>
        <v>2551.1</v>
      </c>
      <c r="D47" s="144">
        <f>VLOOKUP($A47,'Data shares'!$C:$FA,23)</f>
        <v>2.7</v>
      </c>
      <c r="E47" s="145">
        <f>VLOOKUP($A47,'Data shares'!$C:$FA,26)*100</f>
        <v>0.11</v>
      </c>
      <c r="F47" s="144">
        <f>VLOOKUP($A47,'Data shares'!$C:$FA,24)</f>
        <v>6.7</v>
      </c>
      <c r="G47" s="144">
        <f>VLOOKUP($A47,'Data shares'!$C:$FA,25)</f>
        <v>-4</v>
      </c>
    </row>
    <row r="48" spans="1:7" x14ac:dyDescent="0.25">
      <c r="A48" s="101" t="str">
        <f>'Data shares'!C44</f>
        <v>BSOFT</v>
      </c>
      <c r="B48" s="144">
        <f>VLOOKUP($A48,'Data shares'!$C:$FA,7)</f>
        <v>404.3</v>
      </c>
      <c r="C48" s="144">
        <f>VLOOKUP($A48,'Data shares'!$C:$FA,3)</f>
        <v>405.5</v>
      </c>
      <c r="D48" s="144">
        <f>VLOOKUP($A48,'Data shares'!$C:$FA,23)</f>
        <v>1.2</v>
      </c>
      <c r="E48" s="145">
        <f>VLOOKUP($A48,'Data shares'!$C:$FA,26)*100</f>
        <v>0.3</v>
      </c>
      <c r="F48" s="144">
        <f>VLOOKUP($A48,'Data shares'!$C:$FA,24)</f>
        <v>0.75</v>
      </c>
      <c r="G48" s="144">
        <f>VLOOKUP($A48,'Data shares'!$C:$FA,25)</f>
        <v>0.45</v>
      </c>
    </row>
    <row r="49" spans="1:7" x14ac:dyDescent="0.25">
      <c r="A49" s="101" t="str">
        <f>'Data shares'!C45</f>
        <v>CAMS</v>
      </c>
      <c r="B49" s="144">
        <f>VLOOKUP($A49,'Data shares'!$C:$FA,7)</f>
        <v>4247.5</v>
      </c>
      <c r="C49" s="144">
        <f>VLOOKUP($A49,'Data shares'!$C:$FA,3)</f>
        <v>4261.3999999999996</v>
      </c>
      <c r="D49" s="144">
        <f>VLOOKUP($A49,'Data shares'!$C:$FA,23)</f>
        <v>13.9</v>
      </c>
      <c r="E49" s="145">
        <f>VLOOKUP($A49,'Data shares'!$C:$FA,26)*100</f>
        <v>0.33</v>
      </c>
      <c r="F49" s="144">
        <f>VLOOKUP($A49,'Data shares'!$C:$FA,24)</f>
        <v>13.1</v>
      </c>
      <c r="G49" s="144">
        <f>VLOOKUP($A49,'Data shares'!$C:$FA,25)</f>
        <v>0.8</v>
      </c>
    </row>
    <row r="50" spans="1:7" x14ac:dyDescent="0.25">
      <c r="A50" s="101" t="str">
        <f>'Data shares'!C46</f>
        <v>CANBK</v>
      </c>
      <c r="B50" s="144">
        <f>VLOOKUP($A50,'Data shares'!$C:$FA,7)</f>
        <v>108.05</v>
      </c>
      <c r="C50" s="144">
        <f>VLOOKUP($A50,'Data shares'!$C:$FA,3)</f>
        <v>108.09</v>
      </c>
      <c r="D50" s="144">
        <f>VLOOKUP($A50,'Data shares'!$C:$FA,23)</f>
        <v>0.04</v>
      </c>
      <c r="E50" s="145">
        <f>VLOOKUP($A50,'Data shares'!$C:$FA,26)*100</f>
        <v>0.04</v>
      </c>
      <c r="F50" s="144">
        <f>VLOOKUP($A50,'Data shares'!$C:$FA,24)</f>
        <v>0.04</v>
      </c>
      <c r="G50" s="144">
        <f>VLOOKUP($A50,'Data shares'!$C:$FA,25)</f>
        <v>0</v>
      </c>
    </row>
    <row r="51" spans="1:7" x14ac:dyDescent="0.25">
      <c r="A51" s="101" t="str">
        <f>'Data shares'!C47</f>
        <v>CDSL</v>
      </c>
      <c r="B51" s="144">
        <f>VLOOKUP($A51,'Data shares'!$C:$FA,7)</f>
        <v>1714.7</v>
      </c>
      <c r="C51" s="144">
        <f>VLOOKUP($A51,'Data shares'!$C:$FA,3)</f>
        <v>1716.2</v>
      </c>
      <c r="D51" s="144">
        <f>VLOOKUP($A51,'Data shares'!$C:$FA,23)</f>
        <v>1.5</v>
      </c>
      <c r="E51" s="145">
        <f>VLOOKUP($A51,'Data shares'!$C:$FA,26)*100</f>
        <v>0.09</v>
      </c>
      <c r="F51" s="144">
        <f>VLOOKUP($A51,'Data shares'!$C:$FA,24)</f>
        <v>6.5</v>
      </c>
      <c r="G51" s="144">
        <f>VLOOKUP($A51,'Data shares'!$C:$FA,25)</f>
        <v>-5</v>
      </c>
    </row>
    <row r="52" spans="1:7" x14ac:dyDescent="0.25">
      <c r="A52" s="101" t="str">
        <f>'Data shares'!C48</f>
        <v>CESC</v>
      </c>
      <c r="B52" s="144">
        <f>VLOOKUP($A52,'Data shares'!$C:$FA,7)</f>
        <v>177.93</v>
      </c>
      <c r="C52" s="144">
        <f>VLOOKUP($A52,'Data shares'!$C:$FA,3)</f>
        <v>177.98</v>
      </c>
      <c r="D52" s="144">
        <f>VLOOKUP($A52,'Data shares'!$C:$FA,23)</f>
        <v>0.05</v>
      </c>
      <c r="E52" s="145">
        <f>VLOOKUP($A52,'Data shares'!$C:$FA,26)*100</f>
        <v>0.03</v>
      </c>
      <c r="F52" s="144">
        <f>VLOOKUP($A52,'Data shares'!$C:$FA,24)</f>
        <v>0.12</v>
      </c>
      <c r="G52" s="144">
        <f>VLOOKUP($A52,'Data shares'!$C:$FA,25)</f>
        <v>-7.0000000000000007E-2</v>
      </c>
    </row>
    <row r="53" spans="1:7" x14ac:dyDescent="0.25">
      <c r="A53" s="101" t="str">
        <f>'Data shares'!C49</f>
        <v>CGPOWER</v>
      </c>
      <c r="B53" s="144">
        <f>VLOOKUP($A53,'Data shares'!$C:$FA,7)</f>
        <v>683.8</v>
      </c>
      <c r="C53" s="144">
        <f>VLOOKUP($A53,'Data shares'!$C:$FA,3)</f>
        <v>685.1</v>
      </c>
      <c r="D53" s="144">
        <f>VLOOKUP($A53,'Data shares'!$C:$FA,23)</f>
        <v>1.3</v>
      </c>
      <c r="E53" s="145">
        <f>VLOOKUP($A53,'Data shares'!$C:$FA,26)*100</f>
        <v>0.19</v>
      </c>
      <c r="F53" s="144">
        <f>VLOOKUP($A53,'Data shares'!$C:$FA,24)</f>
        <v>2.7</v>
      </c>
      <c r="G53" s="144">
        <f>VLOOKUP($A53,'Data shares'!$C:$FA,25)</f>
        <v>-1.4</v>
      </c>
    </row>
    <row r="54" spans="1:7" x14ac:dyDescent="0.25">
      <c r="A54" s="101" t="str">
        <f>'Data shares'!C50</f>
        <v>CHAMBLFERT</v>
      </c>
      <c r="B54" s="144">
        <f>VLOOKUP($A54,'Data shares'!$C:$FA,7)</f>
        <v>550.20000000000005</v>
      </c>
      <c r="C54" s="144">
        <f>VLOOKUP($A54,'Data shares'!$C:$FA,3)</f>
        <v>551.95000000000005</v>
      </c>
      <c r="D54" s="144">
        <f>VLOOKUP($A54,'Data shares'!$C:$FA,23)</f>
        <v>1.75</v>
      </c>
      <c r="E54" s="145">
        <f>VLOOKUP($A54,'Data shares'!$C:$FA,26)*100</f>
        <v>0.32</v>
      </c>
      <c r="F54" s="144">
        <f>VLOOKUP($A54,'Data shares'!$C:$FA,24)</f>
        <v>2.75</v>
      </c>
      <c r="G54" s="144">
        <f>VLOOKUP($A54,'Data shares'!$C:$FA,25)</f>
        <v>-1</v>
      </c>
    </row>
    <row r="55" spans="1:7" x14ac:dyDescent="0.25">
      <c r="A55" s="101" t="str">
        <f>'Data shares'!C51</f>
        <v>CHOLAFIN</v>
      </c>
      <c r="B55" s="144">
        <f>VLOOKUP($A55,'Data shares'!$C:$FA,7)</f>
        <v>1565.4</v>
      </c>
      <c r="C55" s="144">
        <f>VLOOKUP($A55,'Data shares'!$C:$FA,3)</f>
        <v>1565</v>
      </c>
      <c r="D55" s="144">
        <f>VLOOKUP($A55,'Data shares'!$C:$FA,23)</f>
        <v>-0.4</v>
      </c>
      <c r="E55" s="145">
        <f>VLOOKUP($A55,'Data shares'!$C:$FA,26)*100</f>
        <v>-0.03</v>
      </c>
      <c r="F55" s="144">
        <f>VLOOKUP($A55,'Data shares'!$C:$FA,24)</f>
        <v>2.2000000000000002</v>
      </c>
      <c r="G55" s="144">
        <f>VLOOKUP($A55,'Data shares'!$C:$FA,25)</f>
        <v>-2.6</v>
      </c>
    </row>
    <row r="56" spans="1:7" x14ac:dyDescent="0.25">
      <c r="A56" s="101" t="str">
        <f>'Data shares'!C52</f>
        <v>CIPLA</v>
      </c>
      <c r="B56" s="144">
        <f>VLOOKUP($A56,'Data shares'!$C:$FA,7)</f>
        <v>1464.4</v>
      </c>
      <c r="C56" s="144">
        <f>VLOOKUP($A56,'Data shares'!$C:$FA,3)</f>
        <v>1465.5</v>
      </c>
      <c r="D56" s="144">
        <f>VLOOKUP($A56,'Data shares'!$C:$FA,23)</f>
        <v>1.1000000000000001</v>
      </c>
      <c r="E56" s="145">
        <f>VLOOKUP($A56,'Data shares'!$C:$FA,26)*100</f>
        <v>0.08</v>
      </c>
      <c r="F56" s="144">
        <f>VLOOKUP($A56,'Data shares'!$C:$FA,24)</f>
        <v>1.3</v>
      </c>
      <c r="G56" s="144">
        <f>VLOOKUP($A56,'Data shares'!$C:$FA,25)</f>
        <v>-0.2</v>
      </c>
    </row>
    <row r="57" spans="1:7" x14ac:dyDescent="0.25">
      <c r="A57" s="101" t="str">
        <f>'Data shares'!C53</f>
        <v>COALINDIA</v>
      </c>
      <c r="B57" s="144">
        <f>VLOOKUP($A57,'Data shares'!$C:$FA,7)</f>
        <v>389.1</v>
      </c>
      <c r="C57" s="144">
        <f>VLOOKUP($A57,'Data shares'!$C:$FA,3)</f>
        <v>390.1</v>
      </c>
      <c r="D57" s="144">
        <f>VLOOKUP($A57,'Data shares'!$C:$FA,23)</f>
        <v>1</v>
      </c>
      <c r="E57" s="145">
        <f>VLOOKUP($A57,'Data shares'!$C:$FA,26)*100</f>
        <v>0.26</v>
      </c>
      <c r="F57" s="144">
        <f>VLOOKUP($A57,'Data shares'!$C:$FA,24)</f>
        <v>0.65</v>
      </c>
      <c r="G57" s="144">
        <f>VLOOKUP($A57,'Data shares'!$C:$FA,25)</f>
        <v>0.35</v>
      </c>
    </row>
    <row r="58" spans="1:7" x14ac:dyDescent="0.25">
      <c r="A58" s="101" t="str">
        <f>'Data shares'!C54</f>
        <v>COFORGE</v>
      </c>
      <c r="B58" s="144">
        <f>VLOOKUP($A58,'Data shares'!$C:$FA,7)</f>
        <v>1858.4</v>
      </c>
      <c r="C58" s="144">
        <f>VLOOKUP($A58,'Data shares'!$C:$FA,3)</f>
        <v>1859</v>
      </c>
      <c r="D58" s="144">
        <f>VLOOKUP($A58,'Data shares'!$C:$FA,23)</f>
        <v>0.6</v>
      </c>
      <c r="E58" s="145">
        <f>VLOOKUP($A58,'Data shares'!$C:$FA,26)*100</f>
        <v>0.03</v>
      </c>
      <c r="F58" s="144">
        <f>VLOOKUP($A58,'Data shares'!$C:$FA,24)</f>
        <v>3.2</v>
      </c>
      <c r="G58" s="144">
        <f>VLOOKUP($A58,'Data shares'!$C:$FA,25)</f>
        <v>-2.6</v>
      </c>
    </row>
    <row r="59" spans="1:7" x14ac:dyDescent="0.25">
      <c r="A59" s="101" t="str">
        <f>'Data shares'!C55</f>
        <v>COLPAL</v>
      </c>
      <c r="B59" s="144">
        <f>VLOOKUP($A59,'Data shares'!$C:$FA,7)</f>
        <v>2379.5</v>
      </c>
      <c r="C59" s="144">
        <f>VLOOKUP($A59,'Data shares'!$C:$FA,3)</f>
        <v>2375.6</v>
      </c>
      <c r="D59" s="144">
        <f>VLOOKUP($A59,'Data shares'!$C:$FA,23)</f>
        <v>-3.9</v>
      </c>
      <c r="E59" s="145">
        <f>VLOOKUP($A59,'Data shares'!$C:$FA,26)*100</f>
        <v>-0.16</v>
      </c>
      <c r="F59" s="144">
        <f>VLOOKUP($A59,'Data shares'!$C:$FA,24)</f>
        <v>-1.1000000000000001</v>
      </c>
      <c r="G59" s="144">
        <f>VLOOKUP($A59,'Data shares'!$C:$FA,25)</f>
        <v>-2.8</v>
      </c>
    </row>
    <row r="60" spans="1:7" x14ac:dyDescent="0.25">
      <c r="A60" s="101" t="str">
        <f>'Data shares'!C56</f>
        <v>CONCOR</v>
      </c>
      <c r="B60" s="144">
        <f>VLOOKUP($A60,'Data shares'!$C:$FA,7)</f>
        <v>607.5</v>
      </c>
      <c r="C60" s="144">
        <f>VLOOKUP($A60,'Data shares'!$C:$FA,3)</f>
        <v>607.9</v>
      </c>
      <c r="D60" s="144">
        <f>VLOOKUP($A60,'Data shares'!$C:$FA,23)</f>
        <v>0.4</v>
      </c>
      <c r="E60" s="145">
        <f>VLOOKUP($A60,'Data shares'!$C:$FA,26)*100</f>
        <v>6.9999999999999993E-2</v>
      </c>
      <c r="F60" s="144">
        <f>VLOOKUP($A60,'Data shares'!$C:$FA,24)</f>
        <v>1.7</v>
      </c>
      <c r="G60" s="144">
        <f>VLOOKUP($A60,'Data shares'!$C:$FA,25)</f>
        <v>-1.3</v>
      </c>
    </row>
    <row r="61" spans="1:7" x14ac:dyDescent="0.25">
      <c r="A61" s="101" t="str">
        <f>'Data shares'!C57</f>
        <v>CROMPTON</v>
      </c>
      <c r="B61" s="144">
        <f>VLOOKUP($A61,'Data shares'!$C:$FA,7)</f>
        <v>335.95</v>
      </c>
      <c r="C61" s="144">
        <f>VLOOKUP($A61,'Data shares'!$C:$FA,3)</f>
        <v>334.05</v>
      </c>
      <c r="D61" s="144">
        <f>VLOOKUP($A61,'Data shares'!$C:$FA,23)</f>
        <v>-1.9</v>
      </c>
      <c r="E61" s="145">
        <f>VLOOKUP($A61,'Data shares'!$C:$FA,26)*100</f>
        <v>-0.57000000000000006</v>
      </c>
      <c r="F61" s="144">
        <f>VLOOKUP($A61,'Data shares'!$C:$FA,24)</f>
        <v>-2.25</v>
      </c>
      <c r="G61" s="144">
        <f>VLOOKUP($A61,'Data shares'!$C:$FA,25)</f>
        <v>0.35</v>
      </c>
    </row>
    <row r="62" spans="1:7" x14ac:dyDescent="0.25">
      <c r="A62" s="101" t="str">
        <f>'Data shares'!C58</f>
        <v>CUMMINSIND</v>
      </c>
      <c r="B62" s="144">
        <f>VLOOKUP($A62,'Data shares'!$C:$FA,7)</f>
        <v>3587.4</v>
      </c>
      <c r="C62" s="144">
        <f>VLOOKUP($A62,'Data shares'!$C:$FA,3)</f>
        <v>3589.2</v>
      </c>
      <c r="D62" s="144">
        <f>VLOOKUP($A62,'Data shares'!$C:$FA,23)</f>
        <v>1.8</v>
      </c>
      <c r="E62" s="145">
        <f>VLOOKUP($A62,'Data shares'!$C:$FA,26)*100</f>
        <v>0.05</v>
      </c>
      <c r="F62" s="144">
        <f>VLOOKUP($A62,'Data shares'!$C:$FA,24)</f>
        <v>3.7</v>
      </c>
      <c r="G62" s="144">
        <f>VLOOKUP($A62,'Data shares'!$C:$FA,25)</f>
        <v>-1.9</v>
      </c>
    </row>
    <row r="63" spans="1:7" x14ac:dyDescent="0.25">
      <c r="A63" s="101" t="str">
        <f>'Data shares'!C59</f>
        <v>CYIENT</v>
      </c>
      <c r="B63" s="144">
        <f>VLOOKUP($A63,'Data shares'!$C:$FA,7)</f>
        <v>1271.2</v>
      </c>
      <c r="C63" s="144">
        <f>VLOOKUP($A63,'Data shares'!$C:$FA,3)</f>
        <v>1273.8</v>
      </c>
      <c r="D63" s="144">
        <f>VLOOKUP($A63,'Data shares'!$C:$FA,23)</f>
        <v>2.6</v>
      </c>
      <c r="E63" s="145">
        <f>VLOOKUP($A63,'Data shares'!$C:$FA,26)*100</f>
        <v>0.2</v>
      </c>
      <c r="F63" s="144">
        <f>VLOOKUP($A63,'Data shares'!$C:$FA,24)</f>
        <v>2.1</v>
      </c>
      <c r="G63" s="144">
        <f>VLOOKUP($A63,'Data shares'!$C:$FA,25)</f>
        <v>0.5</v>
      </c>
    </row>
    <row r="64" spans="1:7" x14ac:dyDescent="0.25">
      <c r="A64" s="101" t="str">
        <f>'Data shares'!C60</f>
        <v>DABUR</v>
      </c>
      <c r="B64" s="144">
        <f>VLOOKUP($A64,'Data shares'!$C:$FA,7)</f>
        <v>515.04999999999995</v>
      </c>
      <c r="C64" s="144">
        <f>VLOOKUP($A64,'Data shares'!$C:$FA,3)</f>
        <v>515.29999999999995</v>
      </c>
      <c r="D64" s="144">
        <f>VLOOKUP($A64,'Data shares'!$C:$FA,23)</f>
        <v>0.25</v>
      </c>
      <c r="E64" s="145">
        <f>VLOOKUP($A64,'Data shares'!$C:$FA,26)*100</f>
        <v>0.05</v>
      </c>
      <c r="F64" s="144">
        <f>VLOOKUP($A64,'Data shares'!$C:$FA,24)</f>
        <v>1.55</v>
      </c>
      <c r="G64" s="144">
        <f>VLOOKUP($A64,'Data shares'!$C:$FA,25)</f>
        <v>-1.3</v>
      </c>
    </row>
    <row r="65" spans="1:7" x14ac:dyDescent="0.25">
      <c r="A65" s="101" t="str">
        <f>'Data shares'!C61</f>
        <v>DALBHARAT</v>
      </c>
      <c r="B65" s="144">
        <f>VLOOKUP($A65,'Data shares'!$C:$FA,7)</f>
        <v>2320.1999999999998</v>
      </c>
      <c r="C65" s="144">
        <f>VLOOKUP($A65,'Data shares'!$C:$FA,3)</f>
        <v>2322</v>
      </c>
      <c r="D65" s="144">
        <f>VLOOKUP($A65,'Data shares'!$C:$FA,23)</f>
        <v>1.8</v>
      </c>
      <c r="E65" s="145">
        <f>VLOOKUP($A65,'Data shares'!$C:$FA,26)*100</f>
        <v>0.08</v>
      </c>
      <c r="F65" s="144">
        <f>VLOOKUP($A65,'Data shares'!$C:$FA,24)</f>
        <v>8.6</v>
      </c>
      <c r="G65" s="144">
        <f>VLOOKUP($A65,'Data shares'!$C:$FA,25)</f>
        <v>-6.8</v>
      </c>
    </row>
    <row r="66" spans="1:7" x14ac:dyDescent="0.25">
      <c r="A66" s="101" t="str">
        <f>'Data shares'!C62</f>
        <v>DELHIVERY</v>
      </c>
      <c r="B66" s="144">
        <f>VLOOKUP($A66,'Data shares'!$C:$FA,7)</f>
        <v>436.85</v>
      </c>
      <c r="C66" s="144">
        <f>VLOOKUP($A66,'Data shares'!$C:$FA,3)</f>
        <v>434.85</v>
      </c>
      <c r="D66" s="144">
        <f>VLOOKUP($A66,'Data shares'!$C:$FA,23)</f>
        <v>-2</v>
      </c>
      <c r="E66" s="145">
        <f>VLOOKUP($A66,'Data shares'!$C:$FA,26)*100</f>
        <v>-0.45999999999999996</v>
      </c>
      <c r="F66" s="144">
        <f>VLOOKUP($A66,'Data shares'!$C:$FA,24)</f>
        <v>-0.25</v>
      </c>
      <c r="G66" s="144">
        <f>VLOOKUP($A66,'Data shares'!$C:$FA,25)</f>
        <v>-1.75</v>
      </c>
    </row>
    <row r="67" spans="1:7" x14ac:dyDescent="0.25">
      <c r="A67" s="101" t="str">
        <f>'Data shares'!C63</f>
        <v>DIVISLAB</v>
      </c>
      <c r="B67" s="144">
        <f>VLOOKUP($A67,'Data shares'!$C:$FA,7)</f>
        <v>6613</v>
      </c>
      <c r="C67" s="144">
        <f>VLOOKUP($A67,'Data shares'!$C:$FA,3)</f>
        <v>6601</v>
      </c>
      <c r="D67" s="144">
        <f>VLOOKUP($A67,'Data shares'!$C:$FA,23)</f>
        <v>-12</v>
      </c>
      <c r="E67" s="145">
        <f>VLOOKUP($A67,'Data shares'!$C:$FA,26)*100</f>
        <v>-0.18</v>
      </c>
      <c r="F67" s="144">
        <f>VLOOKUP($A67,'Data shares'!$C:$FA,24)</f>
        <v>-12.5</v>
      </c>
      <c r="G67" s="144">
        <f>VLOOKUP($A67,'Data shares'!$C:$FA,25)</f>
        <v>0.5</v>
      </c>
    </row>
    <row r="68" spans="1:7" x14ac:dyDescent="0.25">
      <c r="A68" s="101" t="str">
        <f>'Data shares'!C64</f>
        <v>DIXON</v>
      </c>
      <c r="B68" s="144">
        <f>VLOOKUP($A68,'Data shares'!$C:$FA,7)</f>
        <v>16112</v>
      </c>
      <c r="C68" s="144">
        <f>VLOOKUP($A68,'Data shares'!$C:$FA,3)</f>
        <v>16134</v>
      </c>
      <c r="D68" s="144">
        <f>VLOOKUP($A68,'Data shares'!$C:$FA,23)</f>
        <v>22</v>
      </c>
      <c r="E68" s="145">
        <f>VLOOKUP($A68,'Data shares'!$C:$FA,26)*100</f>
        <v>0.13999999999999999</v>
      </c>
      <c r="F68" s="144">
        <f>VLOOKUP($A68,'Data shares'!$C:$FA,24)</f>
        <v>54</v>
      </c>
      <c r="G68" s="144">
        <f>VLOOKUP($A68,'Data shares'!$C:$FA,25)</f>
        <v>-32</v>
      </c>
    </row>
    <row r="69" spans="1:7" x14ac:dyDescent="0.25">
      <c r="A69" s="101" t="str">
        <f>'Data shares'!C65</f>
        <v>DLF</v>
      </c>
      <c r="B69" s="144">
        <f>VLOOKUP($A69,'Data shares'!$C:$FA,7)</f>
        <v>845.5</v>
      </c>
      <c r="C69" s="144">
        <f>VLOOKUP($A69,'Data shares'!$C:$FA,3)</f>
        <v>839.85</v>
      </c>
      <c r="D69" s="144">
        <f>VLOOKUP($A69,'Data shares'!$C:$FA,23)</f>
        <v>-5.65</v>
      </c>
      <c r="E69" s="145">
        <f>VLOOKUP($A69,'Data shares'!$C:$FA,26)*100</f>
        <v>-0.67</v>
      </c>
      <c r="F69" s="144">
        <f>VLOOKUP($A69,'Data shares'!$C:$FA,24)</f>
        <v>-4.9000000000000004</v>
      </c>
      <c r="G69" s="144">
        <f>VLOOKUP($A69,'Data shares'!$C:$FA,25)</f>
        <v>-0.75</v>
      </c>
    </row>
    <row r="70" spans="1:7" x14ac:dyDescent="0.25">
      <c r="A70" s="101" t="str">
        <f>'Data shares'!C66</f>
        <v>DMART</v>
      </c>
      <c r="B70" s="144">
        <f>VLOOKUP($A70,'Data shares'!$C:$FA,7)</f>
        <v>4033.3</v>
      </c>
      <c r="C70" s="144">
        <f>VLOOKUP($A70,'Data shares'!$C:$FA,3)</f>
        <v>4044.2</v>
      </c>
      <c r="D70" s="144">
        <f>VLOOKUP($A70,'Data shares'!$C:$FA,23)</f>
        <v>10.9</v>
      </c>
      <c r="E70" s="145">
        <f>VLOOKUP($A70,'Data shares'!$C:$FA,26)*100</f>
        <v>0.27</v>
      </c>
      <c r="F70" s="144">
        <f>VLOOKUP($A70,'Data shares'!$C:$FA,24)</f>
        <v>6.8</v>
      </c>
      <c r="G70" s="144">
        <f>VLOOKUP($A70,'Data shares'!$C:$FA,25)</f>
        <v>4.0999999999999996</v>
      </c>
    </row>
    <row r="71" spans="1:7" x14ac:dyDescent="0.25">
      <c r="A71" s="101" t="str">
        <f>'Data shares'!C67</f>
        <v>DRREDDY</v>
      </c>
      <c r="B71" s="144">
        <f>VLOOKUP($A71,'Data shares'!$C:$FA,7)</f>
        <v>1240</v>
      </c>
      <c r="C71" s="144">
        <f>VLOOKUP($A71,'Data shares'!$C:$FA,3)</f>
        <v>1240.9000000000001</v>
      </c>
      <c r="D71" s="144">
        <f>VLOOKUP($A71,'Data shares'!$C:$FA,23)</f>
        <v>0.9</v>
      </c>
      <c r="E71" s="145">
        <f>VLOOKUP($A71,'Data shares'!$C:$FA,26)*100</f>
        <v>6.9999999999999993E-2</v>
      </c>
      <c r="F71" s="144">
        <f>VLOOKUP($A71,'Data shares'!$C:$FA,24)</f>
        <v>0.5</v>
      </c>
      <c r="G71" s="144">
        <f>VLOOKUP($A71,'Data shares'!$C:$FA,25)</f>
        <v>0.4</v>
      </c>
    </row>
    <row r="72" spans="1:7" x14ac:dyDescent="0.25">
      <c r="A72" s="101" t="str">
        <f>'Data shares'!C68</f>
        <v>EICHERMOT</v>
      </c>
      <c r="B72" s="144">
        <f>VLOOKUP($A72,'Data shares'!$C:$FA,7)</f>
        <v>5439.5</v>
      </c>
      <c r="C72" s="144">
        <f>VLOOKUP($A72,'Data shares'!$C:$FA,3)</f>
        <v>5455.5</v>
      </c>
      <c r="D72" s="144">
        <f>VLOOKUP($A72,'Data shares'!$C:$FA,23)</f>
        <v>16</v>
      </c>
      <c r="E72" s="145">
        <f>VLOOKUP($A72,'Data shares'!$C:$FA,26)*100</f>
        <v>0.28999999999999998</v>
      </c>
      <c r="F72" s="144">
        <f>VLOOKUP($A72,'Data shares'!$C:$FA,24)</f>
        <v>18</v>
      </c>
      <c r="G72" s="144">
        <f>VLOOKUP($A72,'Data shares'!$C:$FA,25)</f>
        <v>-2</v>
      </c>
    </row>
    <row r="73" spans="1:7" x14ac:dyDescent="0.25">
      <c r="A73" s="101" t="str">
        <f>'Data shares'!C69</f>
        <v>ETERNAL</v>
      </c>
      <c r="B73" s="144">
        <f>VLOOKUP($A73,'Data shares'!$C:$FA,7)</f>
        <v>299.8</v>
      </c>
      <c r="C73" s="144">
        <f>VLOOKUP($A73,'Data shares'!$C:$FA,3)</f>
        <v>300.75</v>
      </c>
      <c r="D73" s="144">
        <f>VLOOKUP($A73,'Data shares'!$C:$FA,23)</f>
        <v>0.95</v>
      </c>
      <c r="E73" s="145">
        <f>VLOOKUP($A73,'Data shares'!$C:$FA,26)*100</f>
        <v>0.32</v>
      </c>
      <c r="F73" s="144">
        <f>VLOOKUP($A73,'Data shares'!$C:$FA,24)</f>
        <v>-0.3</v>
      </c>
      <c r="G73" s="144">
        <f>VLOOKUP($A73,'Data shares'!$C:$FA,25)</f>
        <v>1.25</v>
      </c>
    </row>
    <row r="74" spans="1:7" x14ac:dyDescent="0.25">
      <c r="A74" s="101" t="str">
        <f>'Data shares'!C70</f>
        <v>EXIDEIND</v>
      </c>
      <c r="B74" s="144">
        <f>VLOOKUP($A74,'Data shares'!$C:$FA,7)</f>
        <v>394.25</v>
      </c>
      <c r="C74" s="144">
        <f>VLOOKUP($A74,'Data shares'!$C:$FA,3)</f>
        <v>395.3</v>
      </c>
      <c r="D74" s="144">
        <f>VLOOKUP($A74,'Data shares'!$C:$FA,23)</f>
        <v>1.05</v>
      </c>
      <c r="E74" s="145">
        <f>VLOOKUP($A74,'Data shares'!$C:$FA,26)*100</f>
        <v>0.27</v>
      </c>
      <c r="F74" s="144">
        <f>VLOOKUP($A74,'Data shares'!$C:$FA,24)</f>
        <v>1.35</v>
      </c>
      <c r="G74" s="144">
        <f>VLOOKUP($A74,'Data shares'!$C:$FA,25)</f>
        <v>-0.3</v>
      </c>
    </row>
    <row r="75" spans="1:7" x14ac:dyDescent="0.25">
      <c r="A75" s="101" t="str">
        <f>'Data shares'!C71</f>
        <v>FEDERALBNK</v>
      </c>
      <c r="B75" s="144">
        <f>VLOOKUP($A75,'Data shares'!$C:$FA,7)</f>
        <v>212.4</v>
      </c>
      <c r="C75" s="144">
        <f>VLOOKUP($A75,'Data shares'!$C:$FA,3)</f>
        <v>212.39</v>
      </c>
      <c r="D75" s="144">
        <f>VLOOKUP($A75,'Data shares'!$C:$FA,23)</f>
        <v>-0.01</v>
      </c>
      <c r="E75" s="145">
        <f>VLOOKUP($A75,'Data shares'!$C:$FA,26)*100</f>
        <v>0</v>
      </c>
      <c r="F75" s="144">
        <f>VLOOKUP($A75,'Data shares'!$C:$FA,24)</f>
        <v>-0.11</v>
      </c>
      <c r="G75" s="144">
        <f>VLOOKUP($A75,'Data shares'!$C:$FA,25)</f>
        <v>0.1</v>
      </c>
    </row>
    <row r="76" spans="1:7" x14ac:dyDescent="0.25">
      <c r="A76" s="101" t="str">
        <f>'Data shares'!C72</f>
        <v>FINNIFTY</v>
      </c>
      <c r="B76" s="144">
        <f>VLOOKUP($A76,'Data shares'!$C:$FA,7)</f>
        <v>26990.45</v>
      </c>
      <c r="C76" s="144">
        <f>VLOOKUP($A76,'Data shares'!$C:$FA,3)</f>
        <v>27004.7</v>
      </c>
      <c r="D76" s="144">
        <f>VLOOKUP($A76,'Data shares'!$C:$FA,23)</f>
        <v>14.25</v>
      </c>
      <c r="E76" s="145">
        <f>VLOOKUP($A76,'Data shares'!$C:$FA,26)*100</f>
        <v>0.05</v>
      </c>
      <c r="F76" s="144">
        <f>VLOOKUP($A76,'Data shares'!$C:$FA,24)</f>
        <v>25.15</v>
      </c>
      <c r="G76" s="144">
        <f>VLOOKUP($A76,'Data shares'!$C:$FA,25)</f>
        <v>-10.9</v>
      </c>
    </row>
    <row r="77" spans="1:7" x14ac:dyDescent="0.25">
      <c r="A77" s="101" t="str">
        <f>'Data shares'!C73</f>
        <v>FORTIS</v>
      </c>
      <c r="B77" s="144">
        <f>VLOOKUP($A77,'Data shares'!$C:$FA,7)</f>
        <v>809.1</v>
      </c>
      <c r="C77" s="144">
        <f>VLOOKUP($A77,'Data shares'!$C:$FA,3)</f>
        <v>810.25</v>
      </c>
      <c r="D77" s="144">
        <f>VLOOKUP($A77,'Data shares'!$C:$FA,23)</f>
        <v>1.1499999999999999</v>
      </c>
      <c r="E77" s="145">
        <f>VLOOKUP($A77,'Data shares'!$C:$FA,26)*100</f>
        <v>0.13999999999999999</v>
      </c>
      <c r="F77" s="144">
        <f>VLOOKUP($A77,'Data shares'!$C:$FA,24)</f>
        <v>1.95</v>
      </c>
      <c r="G77" s="144">
        <f>VLOOKUP($A77,'Data shares'!$C:$FA,25)</f>
        <v>-0.8</v>
      </c>
    </row>
    <row r="78" spans="1:7" x14ac:dyDescent="0.25">
      <c r="A78" s="101" t="str">
        <f>'Data shares'!C74</f>
        <v>GAIL</v>
      </c>
      <c r="B78" s="144">
        <f>VLOOKUP($A78,'Data shares'!$C:$FA,7)</f>
        <v>184.03</v>
      </c>
      <c r="C78" s="144">
        <f>VLOOKUP($A78,'Data shares'!$C:$FA,3)</f>
        <v>183.99</v>
      </c>
      <c r="D78" s="144">
        <f>VLOOKUP($A78,'Data shares'!$C:$FA,23)</f>
        <v>-0.04</v>
      </c>
      <c r="E78" s="145">
        <f>VLOOKUP($A78,'Data shares'!$C:$FA,26)*100</f>
        <v>-0.02</v>
      </c>
      <c r="F78" s="144">
        <f>VLOOKUP($A78,'Data shares'!$C:$FA,24)</f>
        <v>-0.01</v>
      </c>
      <c r="G78" s="144">
        <f>VLOOKUP($A78,'Data shares'!$C:$FA,25)</f>
        <v>-0.03</v>
      </c>
    </row>
    <row r="79" spans="1:7" x14ac:dyDescent="0.25">
      <c r="A79" s="101" t="str">
        <f>'Data shares'!C75</f>
        <v>GLENMARK</v>
      </c>
      <c r="B79" s="144">
        <f>VLOOKUP($A79,'Data shares'!$C:$FA,7)</f>
        <v>2157.9</v>
      </c>
      <c r="C79" s="144">
        <f>VLOOKUP($A79,'Data shares'!$C:$FA,3)</f>
        <v>2161.5</v>
      </c>
      <c r="D79" s="144">
        <f>VLOOKUP($A79,'Data shares'!$C:$FA,23)</f>
        <v>3.6</v>
      </c>
      <c r="E79" s="145">
        <f>VLOOKUP($A79,'Data shares'!$C:$FA,26)*100</f>
        <v>0.16999999999999998</v>
      </c>
      <c r="F79" s="144">
        <f>VLOOKUP($A79,'Data shares'!$C:$FA,24)</f>
        <v>8.1999999999999993</v>
      </c>
      <c r="G79" s="144">
        <f>VLOOKUP($A79,'Data shares'!$C:$FA,25)</f>
        <v>-4.5999999999999996</v>
      </c>
    </row>
    <row r="80" spans="1:7" x14ac:dyDescent="0.25">
      <c r="A80" s="101" t="str">
        <f>'Data shares'!C76</f>
        <v>GMRAIRPORT</v>
      </c>
      <c r="B80" s="144">
        <f>VLOOKUP($A80,'Data shares'!$C:$FA,7)</f>
        <v>91.92</v>
      </c>
      <c r="C80" s="144">
        <f>VLOOKUP($A80,'Data shares'!$C:$FA,3)</f>
        <v>91.99</v>
      </c>
      <c r="D80" s="144">
        <f>VLOOKUP($A80,'Data shares'!$C:$FA,23)</f>
        <v>7.0000000000000007E-2</v>
      </c>
      <c r="E80" s="145">
        <f>VLOOKUP($A80,'Data shares'!$C:$FA,26)*100</f>
        <v>0.08</v>
      </c>
      <c r="F80" s="144">
        <f>VLOOKUP($A80,'Data shares'!$C:$FA,24)</f>
        <v>0.33</v>
      </c>
      <c r="G80" s="144">
        <f>VLOOKUP($A80,'Data shares'!$C:$FA,25)</f>
        <v>-0.26</v>
      </c>
    </row>
    <row r="81" spans="1:7" x14ac:dyDescent="0.25">
      <c r="A81" s="101" t="str">
        <f>'Data shares'!C77</f>
        <v>GODREJCP</v>
      </c>
      <c r="B81" s="144">
        <f>VLOOKUP($A81,'Data shares'!$C:$FA,7)</f>
        <v>1242.4000000000001</v>
      </c>
      <c r="C81" s="144">
        <f>VLOOKUP($A81,'Data shares'!$C:$FA,3)</f>
        <v>1248.2</v>
      </c>
      <c r="D81" s="144">
        <f>VLOOKUP($A81,'Data shares'!$C:$FA,23)</f>
        <v>5.8</v>
      </c>
      <c r="E81" s="145">
        <f>VLOOKUP($A81,'Data shares'!$C:$FA,26)*100</f>
        <v>0.47000000000000003</v>
      </c>
      <c r="F81" s="144">
        <f>VLOOKUP($A81,'Data shares'!$C:$FA,24)</f>
        <v>3.8</v>
      </c>
      <c r="G81" s="144">
        <f>VLOOKUP($A81,'Data shares'!$C:$FA,25)</f>
        <v>2</v>
      </c>
    </row>
    <row r="82" spans="1:7" x14ac:dyDescent="0.25">
      <c r="A82" s="101" t="str">
        <f>'Data shares'!C78</f>
        <v>GODREJPROP</v>
      </c>
      <c r="B82" s="144">
        <f>VLOOKUP($A82,'Data shares'!$C:$FA,7)</f>
        <v>2363.5</v>
      </c>
      <c r="C82" s="144">
        <f>VLOOKUP($A82,'Data shares'!$C:$FA,3)</f>
        <v>2363.9</v>
      </c>
      <c r="D82" s="144">
        <f>VLOOKUP($A82,'Data shares'!$C:$FA,23)</f>
        <v>0.4</v>
      </c>
      <c r="E82" s="145">
        <f>VLOOKUP($A82,'Data shares'!$C:$FA,26)*100</f>
        <v>0.02</v>
      </c>
      <c r="F82" s="144">
        <f>VLOOKUP($A82,'Data shares'!$C:$FA,24)</f>
        <v>2.4</v>
      </c>
      <c r="G82" s="144">
        <f>VLOOKUP($A82,'Data shares'!$C:$FA,25)</f>
        <v>-2</v>
      </c>
    </row>
    <row r="83" spans="1:7" x14ac:dyDescent="0.25">
      <c r="A83" s="101" t="str">
        <f>'Data shares'!C79</f>
        <v>GRANULES</v>
      </c>
      <c r="B83" s="144">
        <f>VLOOKUP($A83,'Data shares'!$C:$FA,7)</f>
        <v>477.1</v>
      </c>
      <c r="C83" s="144">
        <f>VLOOKUP($A83,'Data shares'!$C:$FA,3)</f>
        <v>476.65</v>
      </c>
      <c r="D83" s="144">
        <f>VLOOKUP($A83,'Data shares'!$C:$FA,23)</f>
        <v>-0.45</v>
      </c>
      <c r="E83" s="145">
        <f>VLOOKUP($A83,'Data shares'!$C:$FA,26)*100</f>
        <v>-0.09</v>
      </c>
      <c r="F83" s="144">
        <f>VLOOKUP($A83,'Data shares'!$C:$FA,24)</f>
        <v>-0.4</v>
      </c>
      <c r="G83" s="144">
        <f>VLOOKUP($A83,'Data shares'!$C:$FA,25)</f>
        <v>-0.05</v>
      </c>
    </row>
    <row r="84" spans="1:7" x14ac:dyDescent="0.25">
      <c r="A84" s="101" t="str">
        <f>'Data shares'!C80</f>
        <v>GRASIM</v>
      </c>
      <c r="B84" s="144">
        <f>VLOOKUP($A84,'Data shares'!$C:$FA,7)</f>
        <v>2722.7</v>
      </c>
      <c r="C84" s="144">
        <f>VLOOKUP($A84,'Data shares'!$C:$FA,3)</f>
        <v>2730</v>
      </c>
      <c r="D84" s="144">
        <f>VLOOKUP($A84,'Data shares'!$C:$FA,23)</f>
        <v>7.3</v>
      </c>
      <c r="E84" s="145">
        <f>VLOOKUP($A84,'Data shares'!$C:$FA,26)*100</f>
        <v>0.27</v>
      </c>
      <c r="F84" s="144">
        <f>VLOOKUP($A84,'Data shares'!$C:$FA,24)</f>
        <v>8.3000000000000007</v>
      </c>
      <c r="G84" s="144">
        <f>VLOOKUP($A84,'Data shares'!$C:$FA,25)</f>
        <v>-1</v>
      </c>
    </row>
    <row r="85" spans="1:7" x14ac:dyDescent="0.25">
      <c r="A85" s="101" t="str">
        <f>'Data shares'!C81</f>
        <v>HAL</v>
      </c>
      <c r="B85" s="144">
        <f>VLOOKUP($A85,'Data shares'!$C:$FA,7)</f>
        <v>4758.2</v>
      </c>
      <c r="C85" s="144">
        <f>VLOOKUP($A85,'Data shares'!$C:$FA,3)</f>
        <v>4768.7</v>
      </c>
      <c r="D85" s="144">
        <f>VLOOKUP($A85,'Data shares'!$C:$FA,23)</f>
        <v>10.5</v>
      </c>
      <c r="E85" s="145">
        <f>VLOOKUP($A85,'Data shares'!$C:$FA,26)*100</f>
        <v>0.22</v>
      </c>
      <c r="F85" s="144">
        <f>VLOOKUP($A85,'Data shares'!$C:$FA,24)</f>
        <v>7.3</v>
      </c>
      <c r="G85" s="144">
        <f>VLOOKUP($A85,'Data shares'!$C:$FA,25)</f>
        <v>3.2</v>
      </c>
    </row>
    <row r="86" spans="1:7" x14ac:dyDescent="0.25">
      <c r="A86" s="101" t="str">
        <f>'Data shares'!C82</f>
        <v>HAVELLS</v>
      </c>
      <c r="B86" s="144">
        <f>VLOOKUP($A86,'Data shares'!$C:$FA,7)</f>
        <v>1578.6</v>
      </c>
      <c r="C86" s="144">
        <f>VLOOKUP($A86,'Data shares'!$C:$FA,3)</f>
        <v>1581.2</v>
      </c>
      <c r="D86" s="144">
        <f>VLOOKUP($A86,'Data shares'!$C:$FA,23)</f>
        <v>2.6</v>
      </c>
      <c r="E86" s="145">
        <f>VLOOKUP($A86,'Data shares'!$C:$FA,26)*100</f>
        <v>0.16</v>
      </c>
      <c r="F86" s="144">
        <f>VLOOKUP($A86,'Data shares'!$C:$FA,24)</f>
        <v>1.6</v>
      </c>
      <c r="G86" s="144">
        <f>VLOOKUP($A86,'Data shares'!$C:$FA,25)</f>
        <v>1</v>
      </c>
    </row>
    <row r="87" spans="1:7" x14ac:dyDescent="0.25">
      <c r="A87" s="101" t="str">
        <f>'Data shares'!C83</f>
        <v>HCLTECH</v>
      </c>
      <c r="B87" s="144">
        <f>VLOOKUP($A87,'Data shares'!$C:$FA,7)</f>
        <v>1520.1</v>
      </c>
      <c r="C87" s="144">
        <f>VLOOKUP($A87,'Data shares'!$C:$FA,3)</f>
        <v>1524.9</v>
      </c>
      <c r="D87" s="144">
        <f>VLOOKUP($A87,'Data shares'!$C:$FA,23)</f>
        <v>4.8</v>
      </c>
      <c r="E87" s="145">
        <f>VLOOKUP($A87,'Data shares'!$C:$FA,26)*100</f>
        <v>0.32</v>
      </c>
      <c r="F87" s="144">
        <f>VLOOKUP($A87,'Data shares'!$C:$FA,24)</f>
        <v>5.2</v>
      </c>
      <c r="G87" s="144">
        <f>VLOOKUP($A87,'Data shares'!$C:$FA,25)</f>
        <v>-0.4</v>
      </c>
    </row>
    <row r="88" spans="1:7" x14ac:dyDescent="0.25">
      <c r="A88" s="101" t="str">
        <f>'Data shares'!C84</f>
        <v>HDFCAMC</v>
      </c>
      <c r="B88" s="144">
        <f>VLOOKUP($A88,'Data shares'!$C:$FA,7)</f>
        <v>5592.5</v>
      </c>
      <c r="C88" s="144">
        <f>VLOOKUP($A88,'Data shares'!$C:$FA,3)</f>
        <v>5593.5</v>
      </c>
      <c r="D88" s="144">
        <f>VLOOKUP($A88,'Data shares'!$C:$FA,23)</f>
        <v>1</v>
      </c>
      <c r="E88" s="145">
        <f>VLOOKUP($A88,'Data shares'!$C:$FA,26)*100</f>
        <v>0.02</v>
      </c>
      <c r="F88" s="144">
        <f>VLOOKUP($A88,'Data shares'!$C:$FA,24)</f>
        <v>4.5</v>
      </c>
      <c r="G88" s="144">
        <f>VLOOKUP($A88,'Data shares'!$C:$FA,25)</f>
        <v>-3.5</v>
      </c>
    </row>
    <row r="89" spans="1:7" x14ac:dyDescent="0.25">
      <c r="A89" s="101" t="str">
        <f>'Data shares'!C85</f>
        <v>HDFCBANK</v>
      </c>
      <c r="B89" s="144">
        <f>VLOOKUP($A89,'Data shares'!$C:$FA,7)</f>
        <v>2007.1</v>
      </c>
      <c r="C89" s="144">
        <f>VLOOKUP($A89,'Data shares'!$C:$FA,3)</f>
        <v>2004</v>
      </c>
      <c r="D89" s="144">
        <f>VLOOKUP($A89,'Data shares'!$C:$FA,23)</f>
        <v>-3.1</v>
      </c>
      <c r="E89" s="145">
        <f>VLOOKUP($A89,'Data shares'!$C:$FA,26)*100</f>
        <v>-0.15</v>
      </c>
      <c r="F89" s="144">
        <f>VLOOKUP($A89,'Data shares'!$C:$FA,24)</f>
        <v>-3.2</v>
      </c>
      <c r="G89" s="144">
        <f>VLOOKUP($A89,'Data shares'!$C:$FA,25)</f>
        <v>0.1</v>
      </c>
    </row>
    <row r="90" spans="1:7" x14ac:dyDescent="0.25">
      <c r="A90" s="101" t="str">
        <f>'Data shares'!C86</f>
        <v>HDFCLIFE</v>
      </c>
      <c r="B90" s="144">
        <f>VLOOKUP($A90,'Data shares'!$C:$FA,7)</f>
        <v>763.3</v>
      </c>
      <c r="C90" s="144">
        <f>VLOOKUP($A90,'Data shares'!$C:$FA,3)</f>
        <v>763.8</v>
      </c>
      <c r="D90" s="144">
        <f>VLOOKUP($A90,'Data shares'!$C:$FA,23)</f>
        <v>0.5</v>
      </c>
      <c r="E90" s="145">
        <f>VLOOKUP($A90,'Data shares'!$C:$FA,26)*100</f>
        <v>6.9999999999999993E-2</v>
      </c>
      <c r="F90" s="144">
        <f>VLOOKUP($A90,'Data shares'!$C:$FA,24)</f>
        <v>0.65</v>
      </c>
      <c r="G90" s="144">
        <f>VLOOKUP($A90,'Data shares'!$C:$FA,25)</f>
        <v>-0.15</v>
      </c>
    </row>
    <row r="91" spans="1:7" x14ac:dyDescent="0.25">
      <c r="A91" s="101" t="str">
        <f>'Data shares'!C87</f>
        <v>HEROMOTOCO</v>
      </c>
      <c r="B91" s="144">
        <f>VLOOKUP($A91,'Data shares'!$C:$FA,7)</f>
        <v>4342.3999999999996</v>
      </c>
      <c r="C91" s="144">
        <f>VLOOKUP($A91,'Data shares'!$C:$FA,3)</f>
        <v>4262.8</v>
      </c>
      <c r="D91" s="144">
        <f>VLOOKUP($A91,'Data shares'!$C:$FA,23)</f>
        <v>-79.599999999999994</v>
      </c>
      <c r="E91" s="145">
        <f>VLOOKUP($A91,'Data shares'!$C:$FA,26)*100</f>
        <v>-1.83</v>
      </c>
      <c r="F91" s="144">
        <f>VLOOKUP($A91,'Data shares'!$C:$FA,24)</f>
        <v>-66</v>
      </c>
      <c r="G91" s="144">
        <f>VLOOKUP($A91,'Data shares'!$C:$FA,25)</f>
        <v>-13.6</v>
      </c>
    </row>
    <row r="92" spans="1:7" x14ac:dyDescent="0.25">
      <c r="A92" s="101" t="str">
        <f>'Data shares'!C88</f>
        <v>HFCL</v>
      </c>
      <c r="B92" s="144">
        <f>VLOOKUP($A92,'Data shares'!$C:$FA,7)</f>
        <v>80.319999999999993</v>
      </c>
      <c r="C92" s="144">
        <f>VLOOKUP($A92,'Data shares'!$C:$FA,3)</f>
        <v>80.69</v>
      </c>
      <c r="D92" s="144">
        <f>VLOOKUP($A92,'Data shares'!$C:$FA,23)</f>
        <v>0.37</v>
      </c>
      <c r="E92" s="145">
        <f>VLOOKUP($A92,'Data shares'!$C:$FA,26)*100</f>
        <v>0.45999999999999996</v>
      </c>
      <c r="F92" s="144">
        <f>VLOOKUP($A92,'Data shares'!$C:$FA,24)</f>
        <v>0.25</v>
      </c>
      <c r="G92" s="144">
        <f>VLOOKUP($A92,'Data shares'!$C:$FA,25)</f>
        <v>0.12</v>
      </c>
    </row>
    <row r="93" spans="1:7" x14ac:dyDescent="0.25">
      <c r="A93" s="101" t="str">
        <f>'Data shares'!C89</f>
        <v>HINDALCO</v>
      </c>
      <c r="B93" s="144">
        <f>VLOOKUP($A93,'Data shares'!$C:$FA,7)</f>
        <v>690.05</v>
      </c>
      <c r="C93" s="144">
        <f>VLOOKUP($A93,'Data shares'!$C:$FA,3)</f>
        <v>690</v>
      </c>
      <c r="D93" s="144">
        <f>VLOOKUP($A93,'Data shares'!$C:$FA,23)</f>
        <v>-0.05</v>
      </c>
      <c r="E93" s="145">
        <f>VLOOKUP($A93,'Data shares'!$C:$FA,26)*100</f>
        <v>-0.01</v>
      </c>
      <c r="F93" s="144">
        <f>VLOOKUP($A93,'Data shares'!$C:$FA,24)</f>
        <v>2.2000000000000002</v>
      </c>
      <c r="G93" s="144">
        <f>VLOOKUP($A93,'Data shares'!$C:$FA,25)</f>
        <v>-2.25</v>
      </c>
    </row>
    <row r="94" spans="1:7" x14ac:dyDescent="0.25">
      <c r="A94" s="101" t="str">
        <f>'Data shares'!C90</f>
        <v>HINDCOPPER</v>
      </c>
      <c r="B94" s="144">
        <f>VLOOKUP($A94,'Data shares'!$C:$FA,7)</f>
        <v>271.95</v>
      </c>
      <c r="C94" s="144">
        <f>VLOOKUP($A94,'Data shares'!$C:$FA,3)</f>
        <v>273.05</v>
      </c>
      <c r="D94" s="144">
        <f>VLOOKUP($A94,'Data shares'!$C:$FA,23)</f>
        <v>1.1000000000000001</v>
      </c>
      <c r="E94" s="145">
        <f>VLOOKUP($A94,'Data shares'!$C:$FA,26)*100</f>
        <v>0.4</v>
      </c>
      <c r="F94" s="144">
        <f>VLOOKUP($A94,'Data shares'!$C:$FA,24)</f>
        <v>0.3</v>
      </c>
      <c r="G94" s="144">
        <f>VLOOKUP($A94,'Data shares'!$C:$FA,25)</f>
        <v>0.8</v>
      </c>
    </row>
    <row r="95" spans="1:7" x14ac:dyDescent="0.25">
      <c r="A95" s="101" t="str">
        <f>'Data shares'!C91</f>
        <v>HINDPETRO</v>
      </c>
      <c r="B95" s="144">
        <f>VLOOKUP($A95,'Data shares'!$C:$FA,7)</f>
        <v>429.25</v>
      </c>
      <c r="C95" s="144">
        <f>VLOOKUP($A95,'Data shares'!$C:$FA,3)</f>
        <v>429.6</v>
      </c>
      <c r="D95" s="144">
        <f>VLOOKUP($A95,'Data shares'!$C:$FA,23)</f>
        <v>0.35</v>
      </c>
      <c r="E95" s="145">
        <f>VLOOKUP($A95,'Data shares'!$C:$FA,26)*100</f>
        <v>0.08</v>
      </c>
      <c r="F95" s="144">
        <f>VLOOKUP($A95,'Data shares'!$C:$FA,24)</f>
        <v>1.1000000000000001</v>
      </c>
      <c r="G95" s="144">
        <f>VLOOKUP($A95,'Data shares'!$C:$FA,25)</f>
        <v>-0.75</v>
      </c>
    </row>
    <row r="96" spans="1:7" x14ac:dyDescent="0.25">
      <c r="A96" s="101" t="str">
        <f>'Data shares'!C92</f>
        <v>HINDUNILVR</v>
      </c>
      <c r="B96" s="144">
        <f>VLOOKUP($A96,'Data shares'!$C:$FA,7)</f>
        <v>2479.6999999999998</v>
      </c>
      <c r="C96" s="144">
        <f>VLOOKUP($A96,'Data shares'!$C:$FA,3)</f>
        <v>2480.6999999999998</v>
      </c>
      <c r="D96" s="144">
        <f>VLOOKUP($A96,'Data shares'!$C:$FA,23)</f>
        <v>1</v>
      </c>
      <c r="E96" s="145">
        <f>VLOOKUP($A96,'Data shares'!$C:$FA,26)*100</f>
        <v>0.04</v>
      </c>
      <c r="F96" s="144">
        <f>VLOOKUP($A96,'Data shares'!$C:$FA,24)</f>
        <v>2.2000000000000002</v>
      </c>
      <c r="G96" s="144">
        <f>VLOOKUP($A96,'Data shares'!$C:$FA,25)</f>
        <v>-1.2</v>
      </c>
    </row>
    <row r="97" spans="1:7" x14ac:dyDescent="0.25">
      <c r="A97" s="101" t="str">
        <f>'Data shares'!C93</f>
        <v>HINDZINC</v>
      </c>
      <c r="B97" s="144">
        <f>VLOOKUP($A97,'Data shares'!$C:$FA,7)</f>
        <v>443.2</v>
      </c>
      <c r="C97" s="144">
        <f>VLOOKUP($A97,'Data shares'!$C:$FA,3)</f>
        <v>443.4</v>
      </c>
      <c r="D97" s="144">
        <f>VLOOKUP($A97,'Data shares'!$C:$FA,23)</f>
        <v>0.2</v>
      </c>
      <c r="E97" s="145">
        <f>VLOOKUP($A97,'Data shares'!$C:$FA,26)*100</f>
        <v>0.05</v>
      </c>
      <c r="F97" s="144">
        <f>VLOOKUP($A97,'Data shares'!$C:$FA,24)</f>
        <v>0.4</v>
      </c>
      <c r="G97" s="144">
        <f>VLOOKUP($A97,'Data shares'!$C:$FA,25)</f>
        <v>-0.2</v>
      </c>
    </row>
    <row r="98" spans="1:7" x14ac:dyDescent="0.25">
      <c r="A98" s="101" t="str">
        <f>'Data shares'!C94</f>
        <v>HUDCO</v>
      </c>
      <c r="B98" s="144">
        <f>VLOOKUP($A98,'Data shares'!$C:$FA,7)</f>
        <v>225.46</v>
      </c>
      <c r="C98" s="144">
        <f>VLOOKUP($A98,'Data shares'!$C:$FA,3)</f>
        <v>225.45</v>
      </c>
      <c r="D98" s="144">
        <f>VLOOKUP($A98,'Data shares'!$C:$FA,23)</f>
        <v>-0.01</v>
      </c>
      <c r="E98" s="145">
        <f>VLOOKUP($A98,'Data shares'!$C:$FA,26)*100</f>
        <v>0</v>
      </c>
      <c r="F98" s="144">
        <f>VLOOKUP($A98,'Data shares'!$C:$FA,24)</f>
        <v>0.89</v>
      </c>
      <c r="G98" s="144">
        <f>VLOOKUP($A98,'Data shares'!$C:$FA,25)</f>
        <v>-0.9</v>
      </c>
    </row>
    <row r="99" spans="1:7" x14ac:dyDescent="0.25">
      <c r="A99" s="101" t="str">
        <f>'Data shares'!C95</f>
        <v>ICICIBANK</v>
      </c>
      <c r="B99" s="144">
        <f>VLOOKUP($A99,'Data shares'!$C:$FA,7)</f>
        <v>1473.6</v>
      </c>
      <c r="C99" s="144">
        <f>VLOOKUP($A99,'Data shares'!$C:$FA,3)</f>
        <v>1474.3</v>
      </c>
      <c r="D99" s="144">
        <f>VLOOKUP($A99,'Data shares'!$C:$FA,23)</f>
        <v>0.7</v>
      </c>
      <c r="E99" s="145">
        <f>VLOOKUP($A99,'Data shares'!$C:$FA,26)*100</f>
        <v>0.05</v>
      </c>
      <c r="F99" s="144">
        <f>VLOOKUP($A99,'Data shares'!$C:$FA,24)</f>
        <v>1.4</v>
      </c>
      <c r="G99" s="144">
        <f>VLOOKUP($A99,'Data shares'!$C:$FA,25)</f>
        <v>-0.7</v>
      </c>
    </row>
    <row r="100" spans="1:7" x14ac:dyDescent="0.25">
      <c r="A100" s="101" t="str">
        <f>'Data shares'!C96</f>
        <v>ICICIGI</v>
      </c>
      <c r="B100" s="144">
        <f>VLOOKUP($A100,'Data shares'!$C:$FA,7)</f>
        <v>1962.3</v>
      </c>
      <c r="C100" s="144">
        <f>VLOOKUP($A100,'Data shares'!$C:$FA,3)</f>
        <v>1961.9</v>
      </c>
      <c r="D100" s="144">
        <f>VLOOKUP($A100,'Data shares'!$C:$FA,23)</f>
        <v>-0.4</v>
      </c>
      <c r="E100" s="145">
        <f>VLOOKUP($A100,'Data shares'!$C:$FA,26)*100</f>
        <v>-0.02</v>
      </c>
      <c r="F100" s="144">
        <f>VLOOKUP($A100,'Data shares'!$C:$FA,24)</f>
        <v>2.2000000000000002</v>
      </c>
      <c r="G100" s="144">
        <f>VLOOKUP($A100,'Data shares'!$C:$FA,25)</f>
        <v>-2.6</v>
      </c>
    </row>
    <row r="101" spans="1:7" x14ac:dyDescent="0.25">
      <c r="A101" s="101" t="str">
        <f>'Data shares'!C97</f>
        <v>ICICIPRULI</v>
      </c>
      <c r="B101" s="144">
        <f>VLOOKUP($A101,'Data shares'!$C:$FA,7)</f>
        <v>625.1</v>
      </c>
      <c r="C101" s="144">
        <f>VLOOKUP($A101,'Data shares'!$C:$FA,3)</f>
        <v>627.54999999999995</v>
      </c>
      <c r="D101" s="144">
        <f>VLOOKUP($A101,'Data shares'!$C:$FA,23)</f>
        <v>2.4500000000000002</v>
      </c>
      <c r="E101" s="145">
        <f>VLOOKUP($A101,'Data shares'!$C:$FA,26)*100</f>
        <v>0.38999999999999996</v>
      </c>
      <c r="F101" s="144">
        <f>VLOOKUP($A101,'Data shares'!$C:$FA,24)</f>
        <v>2.25</v>
      </c>
      <c r="G101" s="144">
        <f>VLOOKUP($A101,'Data shares'!$C:$FA,25)</f>
        <v>0.2</v>
      </c>
    </row>
    <row r="102" spans="1:7" x14ac:dyDescent="0.25">
      <c r="A102" s="101" t="str">
        <f>'Data shares'!C98</f>
        <v>IDEA</v>
      </c>
      <c r="B102" s="144">
        <f>VLOOKUP($A102,'Data shares'!$C:$FA,7)</f>
        <v>7.37</v>
      </c>
      <c r="C102" s="144">
        <f>VLOOKUP($A102,'Data shares'!$C:$FA,3)</f>
        <v>7.39</v>
      </c>
      <c r="D102" s="144">
        <f>VLOOKUP($A102,'Data shares'!$C:$FA,23)</f>
        <v>0.02</v>
      </c>
      <c r="E102" s="145">
        <f>VLOOKUP($A102,'Data shares'!$C:$FA,26)*100</f>
        <v>0.27</v>
      </c>
      <c r="F102" s="144">
        <f>VLOOKUP($A102,'Data shares'!$C:$FA,24)</f>
        <v>0.02</v>
      </c>
      <c r="G102" s="144">
        <f>VLOOKUP($A102,'Data shares'!$C:$FA,25)</f>
        <v>0</v>
      </c>
    </row>
    <row r="103" spans="1:7" x14ac:dyDescent="0.25">
      <c r="A103" s="101" t="str">
        <f>'Data shares'!C99</f>
        <v>IDFCFIRSTB</v>
      </c>
      <c r="B103" s="144">
        <f>VLOOKUP($A103,'Data shares'!$C:$FA,7)</f>
        <v>72.44</v>
      </c>
      <c r="C103" s="144">
        <f>VLOOKUP($A103,'Data shares'!$C:$FA,3)</f>
        <v>72.56</v>
      </c>
      <c r="D103" s="144">
        <f>VLOOKUP($A103,'Data shares'!$C:$FA,23)</f>
        <v>0.12</v>
      </c>
      <c r="E103" s="145">
        <f>VLOOKUP($A103,'Data shares'!$C:$FA,26)*100</f>
        <v>0.16999999999999998</v>
      </c>
      <c r="F103" s="144">
        <f>VLOOKUP($A103,'Data shares'!$C:$FA,24)</f>
        <v>7.0000000000000007E-2</v>
      </c>
      <c r="G103" s="144">
        <f>VLOOKUP($A103,'Data shares'!$C:$FA,25)</f>
        <v>0.05</v>
      </c>
    </row>
    <row r="104" spans="1:7" x14ac:dyDescent="0.25">
      <c r="A104" s="101" t="str">
        <f>'Data shares'!C100</f>
        <v>IEX</v>
      </c>
      <c r="B104" s="144">
        <f>VLOOKUP($A104,'Data shares'!$C:$FA,7)</f>
        <v>192.56</v>
      </c>
      <c r="C104" s="144">
        <f>VLOOKUP($A104,'Data shares'!$C:$FA,3)</f>
        <v>192.61</v>
      </c>
      <c r="D104" s="144">
        <f>VLOOKUP($A104,'Data shares'!$C:$FA,23)</f>
        <v>0.05</v>
      </c>
      <c r="E104" s="145">
        <f>VLOOKUP($A104,'Data shares'!$C:$FA,26)*100</f>
        <v>0.03</v>
      </c>
      <c r="F104" s="144">
        <f>VLOOKUP($A104,'Data shares'!$C:$FA,24)</f>
        <v>0.34</v>
      </c>
      <c r="G104" s="144">
        <f>VLOOKUP($A104,'Data shares'!$C:$FA,25)</f>
        <v>-0.28999999999999998</v>
      </c>
    </row>
    <row r="105" spans="1:7" x14ac:dyDescent="0.25">
      <c r="A105" s="101" t="str">
        <f>'Data shares'!C101</f>
        <v>IGL</v>
      </c>
      <c r="B105" s="144">
        <f>VLOOKUP($A105,'Data shares'!$C:$FA,7)</f>
        <v>212.88</v>
      </c>
      <c r="C105" s="144">
        <f>VLOOKUP($A105,'Data shares'!$C:$FA,3)</f>
        <v>213.5</v>
      </c>
      <c r="D105" s="144">
        <f>VLOOKUP($A105,'Data shares'!$C:$FA,23)</f>
        <v>0.62</v>
      </c>
      <c r="E105" s="145">
        <f>VLOOKUP($A105,'Data shares'!$C:$FA,26)*100</f>
        <v>0.28999999999999998</v>
      </c>
      <c r="F105" s="144">
        <f>VLOOKUP($A105,'Data shares'!$C:$FA,24)</f>
        <v>0.8</v>
      </c>
      <c r="G105" s="144">
        <f>VLOOKUP($A105,'Data shares'!$C:$FA,25)</f>
        <v>-0.18</v>
      </c>
    </row>
    <row r="106" spans="1:7" x14ac:dyDescent="0.25">
      <c r="A106" s="101" t="str">
        <f>'Data shares'!C102</f>
        <v>IIFL</v>
      </c>
      <c r="B106" s="144">
        <f>VLOOKUP($A106,'Data shares'!$C:$FA,7)</f>
        <v>529.79999999999995</v>
      </c>
      <c r="C106" s="144">
        <f>VLOOKUP($A106,'Data shares'!$C:$FA,3)</f>
        <v>530</v>
      </c>
      <c r="D106" s="144">
        <f>VLOOKUP($A106,'Data shares'!$C:$FA,23)</f>
        <v>0.2</v>
      </c>
      <c r="E106" s="145">
        <f>VLOOKUP($A106,'Data shares'!$C:$FA,26)*100</f>
        <v>0.04</v>
      </c>
      <c r="F106" s="144">
        <f>VLOOKUP($A106,'Data shares'!$C:$FA,24)</f>
        <v>1.85</v>
      </c>
      <c r="G106" s="144">
        <f>VLOOKUP($A106,'Data shares'!$C:$FA,25)</f>
        <v>-1.65</v>
      </c>
    </row>
    <row r="107" spans="1:7" x14ac:dyDescent="0.25">
      <c r="A107" s="101" t="str">
        <f>'Data shares'!C103</f>
        <v>INDHOTEL</v>
      </c>
      <c r="B107" s="144">
        <f>VLOOKUP($A107,'Data shares'!$C:$FA,7)</f>
        <v>756.3</v>
      </c>
      <c r="C107" s="144">
        <f>VLOOKUP($A107,'Data shares'!$C:$FA,3)</f>
        <v>757.55</v>
      </c>
      <c r="D107" s="144">
        <f>VLOOKUP($A107,'Data shares'!$C:$FA,23)</f>
        <v>1.25</v>
      </c>
      <c r="E107" s="145">
        <f>VLOOKUP($A107,'Data shares'!$C:$FA,26)*100</f>
        <v>0.16999999999999998</v>
      </c>
      <c r="F107" s="144">
        <f>VLOOKUP($A107,'Data shares'!$C:$FA,24)</f>
        <v>1.7</v>
      </c>
      <c r="G107" s="144">
        <f>VLOOKUP($A107,'Data shares'!$C:$FA,25)</f>
        <v>-0.45</v>
      </c>
    </row>
    <row r="108" spans="1:7" x14ac:dyDescent="0.25">
      <c r="A108" s="101" t="str">
        <f>'Data shares'!C104</f>
        <v>INDIANB</v>
      </c>
      <c r="B108" s="144">
        <f>VLOOKUP($A108,'Data shares'!$C:$FA,7)</f>
        <v>627.9</v>
      </c>
      <c r="C108" s="144">
        <f>VLOOKUP($A108,'Data shares'!$C:$FA,3)</f>
        <v>628.95000000000005</v>
      </c>
      <c r="D108" s="144">
        <f>VLOOKUP($A108,'Data shares'!$C:$FA,23)</f>
        <v>1.05</v>
      </c>
      <c r="E108" s="145">
        <f>VLOOKUP($A108,'Data shares'!$C:$FA,26)*100</f>
        <v>0.16999999999999998</v>
      </c>
      <c r="F108" s="144">
        <f>VLOOKUP($A108,'Data shares'!$C:$FA,24)</f>
        <v>0.9</v>
      </c>
      <c r="G108" s="144">
        <f>VLOOKUP($A108,'Data shares'!$C:$FA,25)</f>
        <v>0.15</v>
      </c>
    </row>
    <row r="109" spans="1:7" x14ac:dyDescent="0.25">
      <c r="A109" s="101" t="str">
        <f>'Data shares'!C105</f>
        <v>INDIAVIX</v>
      </c>
      <c r="B109" s="144">
        <f>VLOOKUP($A109,'Data shares'!$C:$FA,7)</f>
        <v>10.75</v>
      </c>
      <c r="C109" s="144">
        <f>VLOOKUP($A109,'Data shares'!$C:$FA,3)</f>
        <v>10.75</v>
      </c>
      <c r="D109" s="144">
        <f>VLOOKUP($A109,'Data shares'!$C:$FA,23)</f>
        <v>0</v>
      </c>
      <c r="E109" s="145">
        <f>VLOOKUP($A109,'Data shares'!$C:$FA,26)*100</f>
        <v>0</v>
      </c>
      <c r="F109" s="144">
        <f>VLOOKUP($A109,'Data shares'!$C:$FA,24)</f>
        <v>0</v>
      </c>
      <c r="G109" s="144">
        <f>VLOOKUP($A109,'Data shares'!$C:$FA,25)</f>
        <v>0</v>
      </c>
    </row>
    <row r="110" spans="1:7" x14ac:dyDescent="0.25">
      <c r="A110" s="101" t="str">
        <f>'Data shares'!C106</f>
        <v>INDIGO</v>
      </c>
      <c r="B110" s="144">
        <f>VLOOKUP($A110,'Data shares'!$C:$FA,7)</f>
        <v>5948</v>
      </c>
      <c r="C110" s="144">
        <f>VLOOKUP($A110,'Data shares'!$C:$FA,3)</f>
        <v>5938.5</v>
      </c>
      <c r="D110" s="144">
        <f>VLOOKUP($A110,'Data shares'!$C:$FA,23)</f>
        <v>-9.5</v>
      </c>
      <c r="E110" s="145">
        <f>VLOOKUP($A110,'Data shares'!$C:$FA,26)*100</f>
        <v>-0.16</v>
      </c>
      <c r="F110" s="144">
        <f>VLOOKUP($A110,'Data shares'!$C:$FA,24)</f>
        <v>-6.5</v>
      </c>
      <c r="G110" s="144">
        <f>VLOOKUP($A110,'Data shares'!$C:$FA,25)</f>
        <v>-3</v>
      </c>
    </row>
    <row r="111" spans="1:7" x14ac:dyDescent="0.25">
      <c r="A111" s="101" t="str">
        <f>'Data shares'!C107</f>
        <v>INDUSINDBK</v>
      </c>
      <c r="B111" s="144">
        <f>VLOOKUP($A111,'Data shares'!$C:$FA,7)</f>
        <v>843.2</v>
      </c>
      <c r="C111" s="144">
        <f>VLOOKUP($A111,'Data shares'!$C:$FA,3)</f>
        <v>845.4</v>
      </c>
      <c r="D111" s="144">
        <f>VLOOKUP($A111,'Data shares'!$C:$FA,23)</f>
        <v>2.2000000000000002</v>
      </c>
      <c r="E111" s="145">
        <f>VLOOKUP($A111,'Data shares'!$C:$FA,26)*100</f>
        <v>0.26</v>
      </c>
      <c r="F111" s="144">
        <f>VLOOKUP($A111,'Data shares'!$C:$FA,24)</f>
        <v>0.1</v>
      </c>
      <c r="G111" s="144">
        <f>VLOOKUP($A111,'Data shares'!$C:$FA,25)</f>
        <v>2.1</v>
      </c>
    </row>
    <row r="112" spans="1:7" x14ac:dyDescent="0.25">
      <c r="A112" s="101" t="str">
        <f>'Data shares'!C108</f>
        <v>INDUSTOWER</v>
      </c>
      <c r="B112" s="144">
        <f>VLOOKUP($A112,'Data shares'!$C:$FA,7)</f>
        <v>396.3</v>
      </c>
      <c r="C112" s="144">
        <f>VLOOKUP($A112,'Data shares'!$C:$FA,3)</f>
        <v>396.65</v>
      </c>
      <c r="D112" s="144">
        <f>VLOOKUP($A112,'Data shares'!$C:$FA,23)</f>
        <v>0.35</v>
      </c>
      <c r="E112" s="145">
        <f>VLOOKUP($A112,'Data shares'!$C:$FA,26)*100</f>
        <v>0.09</v>
      </c>
      <c r="F112" s="144">
        <f>VLOOKUP($A112,'Data shares'!$C:$FA,24)</f>
        <v>1</v>
      </c>
      <c r="G112" s="144">
        <f>VLOOKUP($A112,'Data shares'!$C:$FA,25)</f>
        <v>-0.65</v>
      </c>
    </row>
    <row r="113" spans="1:7" x14ac:dyDescent="0.25">
      <c r="A113" s="101" t="str">
        <f>'Data shares'!C109</f>
        <v>INFY</v>
      </c>
      <c r="B113" s="144">
        <f>VLOOKUP($A113,'Data shares'!$C:$FA,7)</f>
        <v>1570.9</v>
      </c>
      <c r="C113" s="144">
        <f>VLOOKUP($A113,'Data shares'!$C:$FA,3)</f>
        <v>1576.5</v>
      </c>
      <c r="D113" s="144">
        <f>VLOOKUP($A113,'Data shares'!$C:$FA,23)</f>
        <v>5.6</v>
      </c>
      <c r="E113" s="145">
        <f>VLOOKUP($A113,'Data shares'!$C:$FA,26)*100</f>
        <v>0.36</v>
      </c>
      <c r="F113" s="144">
        <f>VLOOKUP($A113,'Data shares'!$C:$FA,24)</f>
        <v>4</v>
      </c>
      <c r="G113" s="144">
        <f>VLOOKUP($A113,'Data shares'!$C:$FA,25)</f>
        <v>1.6</v>
      </c>
    </row>
    <row r="114" spans="1:7" x14ac:dyDescent="0.25">
      <c r="A114" s="101" t="str">
        <f>'Data shares'!C110</f>
        <v>INOXWIND</v>
      </c>
      <c r="B114" s="144">
        <f>VLOOKUP($A114,'Data shares'!$C:$FA,7)</f>
        <v>165.53</v>
      </c>
      <c r="C114" s="144">
        <f>VLOOKUP($A114,'Data shares'!$C:$FA,3)</f>
        <v>165.8</v>
      </c>
      <c r="D114" s="144">
        <f>VLOOKUP($A114,'Data shares'!$C:$FA,23)</f>
        <v>0.27</v>
      </c>
      <c r="E114" s="145">
        <f>VLOOKUP($A114,'Data shares'!$C:$FA,26)*100</f>
        <v>0.16</v>
      </c>
      <c r="F114" s="144">
        <f>VLOOKUP($A114,'Data shares'!$C:$FA,24)</f>
        <v>0.66</v>
      </c>
      <c r="G114" s="144">
        <f>VLOOKUP($A114,'Data shares'!$C:$FA,25)</f>
        <v>-0.39</v>
      </c>
    </row>
    <row r="115" spans="1:7" x14ac:dyDescent="0.25">
      <c r="A115" s="101" t="str">
        <f>'Data shares'!C111</f>
        <v>IOC</v>
      </c>
      <c r="B115" s="144">
        <f>VLOOKUP($A115,'Data shares'!$C:$FA,7)</f>
        <v>151.97999999999999</v>
      </c>
      <c r="C115" s="144">
        <f>VLOOKUP($A115,'Data shares'!$C:$FA,3)</f>
        <v>152.01</v>
      </c>
      <c r="D115" s="144">
        <f>VLOOKUP($A115,'Data shares'!$C:$FA,23)</f>
        <v>0.03</v>
      </c>
      <c r="E115" s="145">
        <f>VLOOKUP($A115,'Data shares'!$C:$FA,26)*100</f>
        <v>0.02</v>
      </c>
      <c r="F115" s="144">
        <f>VLOOKUP($A115,'Data shares'!$C:$FA,24)</f>
        <v>0.12</v>
      </c>
      <c r="G115" s="144">
        <f>VLOOKUP($A115,'Data shares'!$C:$FA,25)</f>
        <v>-0.09</v>
      </c>
    </row>
    <row r="116" spans="1:7" x14ac:dyDescent="0.25">
      <c r="A116" s="101" t="str">
        <f>'Data shares'!C112</f>
        <v>IRB</v>
      </c>
      <c r="B116" s="144">
        <f>VLOOKUP($A116,'Data shares'!$C:$FA,7)</f>
        <v>48.36</v>
      </c>
      <c r="C116" s="144">
        <f>VLOOKUP($A116,'Data shares'!$C:$FA,3)</f>
        <v>48.37</v>
      </c>
      <c r="D116" s="144">
        <f>VLOOKUP($A116,'Data shares'!$C:$FA,23)</f>
        <v>0.01</v>
      </c>
      <c r="E116" s="145">
        <f>VLOOKUP($A116,'Data shares'!$C:$FA,26)*100</f>
        <v>0.02</v>
      </c>
      <c r="F116" s="144">
        <f>VLOOKUP($A116,'Data shares'!$C:$FA,24)</f>
        <v>0.02</v>
      </c>
      <c r="G116" s="144">
        <f>VLOOKUP($A116,'Data shares'!$C:$FA,25)</f>
        <v>-0.01</v>
      </c>
    </row>
    <row r="117" spans="1:7" x14ac:dyDescent="0.25">
      <c r="A117" s="101" t="str">
        <f>'Data shares'!C113</f>
        <v>IRCTC</v>
      </c>
      <c r="B117" s="144">
        <f>VLOOKUP($A117,'Data shares'!$C:$FA,7)</f>
        <v>760.6</v>
      </c>
      <c r="C117" s="144">
        <f>VLOOKUP($A117,'Data shares'!$C:$FA,3)</f>
        <v>760.8</v>
      </c>
      <c r="D117" s="144">
        <f>VLOOKUP($A117,'Data shares'!$C:$FA,23)</f>
        <v>0.2</v>
      </c>
      <c r="E117" s="145">
        <f>VLOOKUP($A117,'Data shares'!$C:$FA,26)*100</f>
        <v>0.03</v>
      </c>
      <c r="F117" s="144">
        <f>VLOOKUP($A117,'Data shares'!$C:$FA,24)</f>
        <v>1.55</v>
      </c>
      <c r="G117" s="144">
        <f>VLOOKUP($A117,'Data shares'!$C:$FA,25)</f>
        <v>-1.35</v>
      </c>
    </row>
    <row r="118" spans="1:7" x14ac:dyDescent="0.25">
      <c r="A118" s="101" t="str">
        <f>'Data shares'!C114</f>
        <v>IREDA</v>
      </c>
      <c r="B118" s="144">
        <f>VLOOKUP($A118,'Data shares'!$C:$FA,7)</f>
        <v>156.22</v>
      </c>
      <c r="C118" s="144">
        <f>VLOOKUP($A118,'Data shares'!$C:$FA,3)</f>
        <v>156.28</v>
      </c>
      <c r="D118" s="144">
        <f>VLOOKUP($A118,'Data shares'!$C:$FA,23)</f>
        <v>0.06</v>
      </c>
      <c r="E118" s="145">
        <f>VLOOKUP($A118,'Data shares'!$C:$FA,26)*100</f>
        <v>0.04</v>
      </c>
      <c r="F118" s="144">
        <f>VLOOKUP($A118,'Data shares'!$C:$FA,24)</f>
        <v>0.49</v>
      </c>
      <c r="G118" s="144">
        <f>VLOOKUP($A118,'Data shares'!$C:$FA,25)</f>
        <v>-0.43</v>
      </c>
    </row>
    <row r="119" spans="1:7" x14ac:dyDescent="0.25">
      <c r="A119" s="101" t="str">
        <f>'Data shares'!C115</f>
        <v>IRFC</v>
      </c>
      <c r="B119" s="144">
        <f>VLOOKUP($A119,'Data shares'!$C:$FA,7)</f>
        <v>130.77000000000001</v>
      </c>
      <c r="C119" s="144">
        <f>VLOOKUP($A119,'Data shares'!$C:$FA,3)</f>
        <v>130.13999999999999</v>
      </c>
      <c r="D119" s="144">
        <f>VLOOKUP($A119,'Data shares'!$C:$FA,23)</f>
        <v>-0.63</v>
      </c>
      <c r="E119" s="145">
        <f>VLOOKUP($A119,'Data shares'!$C:$FA,26)*100</f>
        <v>-0.48</v>
      </c>
      <c r="F119" s="144">
        <f>VLOOKUP($A119,'Data shares'!$C:$FA,24)</f>
        <v>0.42</v>
      </c>
      <c r="G119" s="144">
        <f>VLOOKUP($A119,'Data shares'!$C:$FA,25)</f>
        <v>-1.05</v>
      </c>
    </row>
    <row r="120" spans="1:7" x14ac:dyDescent="0.25">
      <c r="A120" s="101" t="str">
        <f>'Data shares'!C116</f>
        <v>ITC</v>
      </c>
      <c r="B120" s="144">
        <f>VLOOKUP($A120,'Data shares'!$C:$FA,7)</f>
        <v>416</v>
      </c>
      <c r="C120" s="144">
        <f>VLOOKUP($A120,'Data shares'!$C:$FA,3)</f>
        <v>417.2</v>
      </c>
      <c r="D120" s="144">
        <f>VLOOKUP($A120,'Data shares'!$C:$FA,23)</f>
        <v>1.2</v>
      </c>
      <c r="E120" s="145">
        <f>VLOOKUP($A120,'Data shares'!$C:$FA,26)*100</f>
        <v>0.28999999999999998</v>
      </c>
      <c r="F120" s="144">
        <f>VLOOKUP($A120,'Data shares'!$C:$FA,24)</f>
        <v>0.55000000000000004</v>
      </c>
      <c r="G120" s="144">
        <f>VLOOKUP($A120,'Data shares'!$C:$FA,25)</f>
        <v>0.65</v>
      </c>
    </row>
    <row r="121" spans="1:7" x14ac:dyDescent="0.25">
      <c r="A121" s="101" t="str">
        <f>'Data shares'!C117</f>
        <v>JINDALSTEL</v>
      </c>
      <c r="B121" s="144">
        <f>VLOOKUP($A121,'Data shares'!$C:$FA,7)</f>
        <v>965</v>
      </c>
      <c r="C121" s="144">
        <f>VLOOKUP($A121,'Data shares'!$C:$FA,3)</f>
        <v>965.25</v>
      </c>
      <c r="D121" s="144">
        <f>VLOOKUP($A121,'Data shares'!$C:$FA,23)</f>
        <v>0.25</v>
      </c>
      <c r="E121" s="145">
        <f>VLOOKUP($A121,'Data shares'!$C:$FA,26)*100</f>
        <v>0.03</v>
      </c>
      <c r="F121" s="144">
        <f>VLOOKUP($A121,'Data shares'!$C:$FA,24)</f>
        <v>3.5</v>
      </c>
      <c r="G121" s="144">
        <f>VLOOKUP($A121,'Data shares'!$C:$FA,25)</f>
        <v>-3.25</v>
      </c>
    </row>
    <row r="122" spans="1:7" x14ac:dyDescent="0.25">
      <c r="A122" s="101" t="str">
        <f>'Data shares'!C118</f>
        <v>JIOFIN</v>
      </c>
      <c r="B122" s="144">
        <f>VLOOKUP($A122,'Data shares'!$C:$FA,7)</f>
        <v>310.8</v>
      </c>
      <c r="C122" s="144">
        <f>VLOOKUP($A122,'Data shares'!$C:$FA,3)</f>
        <v>311.45</v>
      </c>
      <c r="D122" s="144">
        <f>VLOOKUP($A122,'Data shares'!$C:$FA,23)</f>
        <v>0.65</v>
      </c>
      <c r="E122" s="145">
        <f>VLOOKUP($A122,'Data shares'!$C:$FA,26)*100</f>
        <v>0.21</v>
      </c>
      <c r="F122" s="144">
        <f>VLOOKUP($A122,'Data shares'!$C:$FA,24)</f>
        <v>1.1000000000000001</v>
      </c>
      <c r="G122" s="144">
        <f>VLOOKUP($A122,'Data shares'!$C:$FA,25)</f>
        <v>-0.45</v>
      </c>
    </row>
    <row r="123" spans="1:7" x14ac:dyDescent="0.25">
      <c r="A123" s="101" t="str">
        <f>'Data shares'!C119</f>
        <v>JSL</v>
      </c>
      <c r="B123" s="144">
        <f>VLOOKUP($A123,'Data shares'!$C:$FA,7)</f>
        <v>688.9</v>
      </c>
      <c r="C123" s="144">
        <f>VLOOKUP($A123,'Data shares'!$C:$FA,3)</f>
        <v>690.45</v>
      </c>
      <c r="D123" s="144">
        <f>VLOOKUP($A123,'Data shares'!$C:$FA,23)</f>
        <v>1.55</v>
      </c>
      <c r="E123" s="145">
        <f>VLOOKUP($A123,'Data shares'!$C:$FA,26)*100</f>
        <v>0.22</v>
      </c>
      <c r="F123" s="144">
        <f>VLOOKUP($A123,'Data shares'!$C:$FA,24)</f>
        <v>2.5</v>
      </c>
      <c r="G123" s="144">
        <f>VLOOKUP($A123,'Data shares'!$C:$FA,25)</f>
        <v>-0.95</v>
      </c>
    </row>
    <row r="124" spans="1:7" x14ac:dyDescent="0.25">
      <c r="A124" s="101" t="str">
        <f>'Data shares'!C120</f>
        <v>JSWENERGY</v>
      </c>
      <c r="B124" s="144">
        <f>VLOOKUP($A124,'Data shares'!$C:$FA,7)</f>
        <v>531.54999999999995</v>
      </c>
      <c r="C124" s="144">
        <f>VLOOKUP($A124,'Data shares'!$C:$FA,3)</f>
        <v>531.9</v>
      </c>
      <c r="D124" s="144">
        <f>VLOOKUP($A124,'Data shares'!$C:$FA,23)</f>
        <v>0.35</v>
      </c>
      <c r="E124" s="145">
        <f>VLOOKUP($A124,'Data shares'!$C:$FA,26)*100</f>
        <v>6.9999999999999993E-2</v>
      </c>
      <c r="F124" s="144">
        <f>VLOOKUP($A124,'Data shares'!$C:$FA,24)</f>
        <v>1.85</v>
      </c>
      <c r="G124" s="144">
        <f>VLOOKUP($A124,'Data shares'!$C:$FA,25)</f>
        <v>-1.5</v>
      </c>
    </row>
    <row r="125" spans="1:7" x14ac:dyDescent="0.25">
      <c r="A125" s="101" t="str">
        <f>'Data shares'!C121</f>
        <v>JSWSTEEL</v>
      </c>
      <c r="B125" s="144">
        <f>VLOOKUP($A125,'Data shares'!$C:$FA,7)</f>
        <v>1030.7</v>
      </c>
      <c r="C125" s="144">
        <f>VLOOKUP($A125,'Data shares'!$C:$FA,3)</f>
        <v>1033.4000000000001</v>
      </c>
      <c r="D125" s="144">
        <f>VLOOKUP($A125,'Data shares'!$C:$FA,23)</f>
        <v>2.7</v>
      </c>
      <c r="E125" s="145">
        <f>VLOOKUP($A125,'Data shares'!$C:$FA,26)*100</f>
        <v>0.26</v>
      </c>
      <c r="F125" s="144">
        <f>VLOOKUP($A125,'Data shares'!$C:$FA,24)</f>
        <v>0.7</v>
      </c>
      <c r="G125" s="144">
        <f>VLOOKUP($A125,'Data shares'!$C:$FA,25)</f>
        <v>2</v>
      </c>
    </row>
    <row r="126" spans="1:7" x14ac:dyDescent="0.25">
      <c r="A126" s="101" t="str">
        <f>'Data shares'!C122</f>
        <v>JUBLFOOD</v>
      </c>
      <c r="B126" s="144">
        <f>VLOOKUP($A126,'Data shares'!$C:$FA,7)</f>
        <v>662.1</v>
      </c>
      <c r="C126" s="144">
        <f>VLOOKUP($A126,'Data shares'!$C:$FA,3)</f>
        <v>662.9</v>
      </c>
      <c r="D126" s="144">
        <f>VLOOKUP($A126,'Data shares'!$C:$FA,23)</f>
        <v>0.8</v>
      </c>
      <c r="E126" s="145">
        <f>VLOOKUP($A126,'Data shares'!$C:$FA,26)*100</f>
        <v>0.12</v>
      </c>
      <c r="F126" s="144">
        <f>VLOOKUP($A126,'Data shares'!$C:$FA,24)</f>
        <v>1.2</v>
      </c>
      <c r="G126" s="144">
        <f>VLOOKUP($A126,'Data shares'!$C:$FA,25)</f>
        <v>-0.4</v>
      </c>
    </row>
    <row r="127" spans="1:7" x14ac:dyDescent="0.25">
      <c r="A127" s="101" t="str">
        <f>'Data shares'!C123</f>
        <v>KALYANKJIL</v>
      </c>
      <c r="B127" s="144">
        <f>VLOOKUP($A127,'Data shares'!$C:$FA,7)</f>
        <v>593.04999999999995</v>
      </c>
      <c r="C127" s="144">
        <f>VLOOKUP($A127,'Data shares'!$C:$FA,3)</f>
        <v>595.1</v>
      </c>
      <c r="D127" s="144">
        <f>VLOOKUP($A127,'Data shares'!$C:$FA,23)</f>
        <v>2.0499999999999998</v>
      </c>
      <c r="E127" s="145">
        <f>VLOOKUP($A127,'Data shares'!$C:$FA,26)*100</f>
        <v>0.35000000000000003</v>
      </c>
      <c r="F127" s="144">
        <f>VLOOKUP($A127,'Data shares'!$C:$FA,24)</f>
        <v>1.45</v>
      </c>
      <c r="G127" s="144">
        <f>VLOOKUP($A127,'Data shares'!$C:$FA,25)</f>
        <v>0.6</v>
      </c>
    </row>
    <row r="128" spans="1:7" x14ac:dyDescent="0.25">
      <c r="A128" s="101" t="str">
        <f>'Data shares'!C124</f>
        <v>KAYNES</v>
      </c>
      <c r="B128" s="144">
        <f>VLOOKUP($A128,'Data shares'!$C:$FA,7)</f>
        <v>5783</v>
      </c>
      <c r="C128" s="144">
        <f>VLOOKUP($A128,'Data shares'!$C:$FA,3)</f>
        <v>5797</v>
      </c>
      <c r="D128" s="144">
        <f>VLOOKUP($A128,'Data shares'!$C:$FA,23)</f>
        <v>14</v>
      </c>
      <c r="E128" s="145">
        <f>VLOOKUP($A128,'Data shares'!$C:$FA,26)*100</f>
        <v>0.24</v>
      </c>
      <c r="F128" s="144">
        <f>VLOOKUP($A128,'Data shares'!$C:$FA,24)</f>
        <v>22.5</v>
      </c>
      <c r="G128" s="144">
        <f>VLOOKUP($A128,'Data shares'!$C:$FA,25)</f>
        <v>-8.5</v>
      </c>
    </row>
    <row r="129" spans="1:7" x14ac:dyDescent="0.25">
      <c r="A129" s="101" t="str">
        <f>'Data shares'!C125</f>
        <v>KEI</v>
      </c>
      <c r="B129" s="144">
        <f>VLOOKUP($A129,'Data shares'!$C:$FA,7)</f>
        <v>3990.3</v>
      </c>
      <c r="C129" s="144">
        <f>VLOOKUP($A129,'Data shares'!$C:$FA,3)</f>
        <v>3992.5</v>
      </c>
      <c r="D129" s="144">
        <f>VLOOKUP($A129,'Data shares'!$C:$FA,23)</f>
        <v>2.2000000000000002</v>
      </c>
      <c r="E129" s="145">
        <f>VLOOKUP($A129,'Data shares'!$C:$FA,26)*100</f>
        <v>0.06</v>
      </c>
      <c r="F129" s="144">
        <f>VLOOKUP($A129,'Data shares'!$C:$FA,24)</f>
        <v>5.6</v>
      </c>
      <c r="G129" s="144">
        <f>VLOOKUP($A129,'Data shares'!$C:$FA,25)</f>
        <v>-3.4</v>
      </c>
    </row>
    <row r="130" spans="1:7" x14ac:dyDescent="0.25">
      <c r="A130" s="101" t="str">
        <f>'Data shares'!C126</f>
        <v>KFINTECH</v>
      </c>
      <c r="B130" s="144">
        <f>VLOOKUP($A130,'Data shares'!$C:$FA,7)</f>
        <v>1282.4000000000001</v>
      </c>
      <c r="C130" s="144">
        <f>VLOOKUP($A130,'Data shares'!$C:$FA,3)</f>
        <v>1283.0999999999999</v>
      </c>
      <c r="D130" s="144">
        <f>VLOOKUP($A130,'Data shares'!$C:$FA,23)</f>
        <v>0.7</v>
      </c>
      <c r="E130" s="145">
        <f>VLOOKUP($A130,'Data shares'!$C:$FA,26)*100</f>
        <v>0.05</v>
      </c>
      <c r="F130" s="144">
        <f>VLOOKUP($A130,'Data shares'!$C:$FA,24)</f>
        <v>2.2999999999999998</v>
      </c>
      <c r="G130" s="144">
        <f>VLOOKUP($A130,'Data shares'!$C:$FA,25)</f>
        <v>-1.6</v>
      </c>
    </row>
    <row r="131" spans="1:7" x14ac:dyDescent="0.25">
      <c r="A131" s="101" t="str">
        <f>'Data shares'!C127</f>
        <v>KOTAKBANK</v>
      </c>
      <c r="B131" s="144">
        <f>VLOOKUP($A131,'Data shares'!$C:$FA,7)</f>
        <v>2160.1999999999998</v>
      </c>
      <c r="C131" s="144">
        <f>VLOOKUP($A131,'Data shares'!$C:$FA,3)</f>
        <v>2161.8000000000002</v>
      </c>
      <c r="D131" s="144">
        <f>VLOOKUP($A131,'Data shares'!$C:$FA,23)</f>
        <v>1.6</v>
      </c>
      <c r="E131" s="145">
        <f>VLOOKUP($A131,'Data shares'!$C:$FA,26)*100</f>
        <v>6.9999999999999993E-2</v>
      </c>
      <c r="F131" s="144">
        <f>VLOOKUP($A131,'Data shares'!$C:$FA,24)</f>
        <v>1.6</v>
      </c>
      <c r="G131" s="144">
        <f>VLOOKUP($A131,'Data shares'!$C:$FA,25)</f>
        <v>0</v>
      </c>
    </row>
    <row r="132" spans="1:7" x14ac:dyDescent="0.25">
      <c r="A132" s="101" t="str">
        <f>'Data shares'!C128</f>
        <v>KPITTECH</v>
      </c>
      <c r="B132" s="144">
        <f>VLOOKUP($A132,'Data shares'!$C:$FA,7)</f>
        <v>1256</v>
      </c>
      <c r="C132" s="144">
        <f>VLOOKUP($A132,'Data shares'!$C:$FA,3)</f>
        <v>1252.5999999999999</v>
      </c>
      <c r="D132" s="144">
        <f>VLOOKUP($A132,'Data shares'!$C:$FA,23)</f>
        <v>-3.4</v>
      </c>
      <c r="E132" s="145">
        <f>VLOOKUP($A132,'Data shares'!$C:$FA,26)*100</f>
        <v>-0.27</v>
      </c>
      <c r="F132" s="144">
        <f>VLOOKUP($A132,'Data shares'!$C:$FA,24)</f>
        <v>-0.7</v>
      </c>
      <c r="G132" s="144">
        <f>VLOOKUP($A132,'Data shares'!$C:$FA,25)</f>
        <v>-2.7</v>
      </c>
    </row>
    <row r="133" spans="1:7" x14ac:dyDescent="0.25">
      <c r="A133" s="101" t="str">
        <f>'Data shares'!C129</f>
        <v>LAURUSLABS</v>
      </c>
      <c r="B133" s="144">
        <f>VLOOKUP($A133,'Data shares'!$C:$FA,7)</f>
        <v>823.35</v>
      </c>
      <c r="C133" s="144">
        <f>VLOOKUP($A133,'Data shares'!$C:$FA,3)</f>
        <v>824.75</v>
      </c>
      <c r="D133" s="144">
        <f>VLOOKUP($A133,'Data shares'!$C:$FA,23)</f>
        <v>1.4</v>
      </c>
      <c r="E133" s="145">
        <f>VLOOKUP($A133,'Data shares'!$C:$FA,26)*100</f>
        <v>0.16999999999999998</v>
      </c>
      <c r="F133" s="144">
        <f>VLOOKUP($A133,'Data shares'!$C:$FA,24)</f>
        <v>0.8</v>
      </c>
      <c r="G133" s="144">
        <f>VLOOKUP($A133,'Data shares'!$C:$FA,25)</f>
        <v>0.6</v>
      </c>
    </row>
    <row r="134" spans="1:7" x14ac:dyDescent="0.25">
      <c r="A134" s="101" t="str">
        <f>'Data shares'!C130</f>
        <v>LICHSGFIN</v>
      </c>
      <c r="B134" s="144">
        <f>VLOOKUP($A134,'Data shares'!$C:$FA,7)</f>
        <v>620.20000000000005</v>
      </c>
      <c r="C134" s="144">
        <f>VLOOKUP($A134,'Data shares'!$C:$FA,3)</f>
        <v>621.9</v>
      </c>
      <c r="D134" s="144">
        <f>VLOOKUP($A134,'Data shares'!$C:$FA,23)</f>
        <v>1.7</v>
      </c>
      <c r="E134" s="145">
        <f>VLOOKUP($A134,'Data shares'!$C:$FA,26)*100</f>
        <v>0.27</v>
      </c>
      <c r="F134" s="144">
        <f>VLOOKUP($A134,'Data shares'!$C:$FA,24)</f>
        <v>2.15</v>
      </c>
      <c r="G134" s="144">
        <f>VLOOKUP($A134,'Data shares'!$C:$FA,25)</f>
        <v>-0.45</v>
      </c>
    </row>
    <row r="135" spans="1:7" x14ac:dyDescent="0.25">
      <c r="A135" s="101" t="str">
        <f>'Data shares'!C131</f>
        <v>LICI</v>
      </c>
      <c r="B135" s="144">
        <f>VLOOKUP($A135,'Data shares'!$C:$FA,7)</f>
        <v>919.05</v>
      </c>
      <c r="C135" s="144">
        <f>VLOOKUP($A135,'Data shares'!$C:$FA,3)</f>
        <v>908.2</v>
      </c>
      <c r="D135" s="144">
        <f>VLOOKUP($A135,'Data shares'!$C:$FA,23)</f>
        <v>-10.85</v>
      </c>
      <c r="E135" s="145">
        <f>VLOOKUP($A135,'Data shares'!$C:$FA,26)*100</f>
        <v>-1.18</v>
      </c>
      <c r="F135" s="144">
        <f>VLOOKUP($A135,'Data shares'!$C:$FA,24)</f>
        <v>-11.35</v>
      </c>
      <c r="G135" s="144">
        <f>VLOOKUP($A135,'Data shares'!$C:$FA,25)</f>
        <v>0.5</v>
      </c>
    </row>
    <row r="136" spans="1:7" x14ac:dyDescent="0.25">
      <c r="A136" s="101" t="str">
        <f>'Data shares'!C132</f>
        <v>LODHA</v>
      </c>
      <c r="B136" s="144">
        <f>VLOOKUP($A136,'Data shares'!$C:$FA,7)</f>
        <v>1442.3</v>
      </c>
      <c r="C136" s="144">
        <f>VLOOKUP($A136,'Data shares'!$C:$FA,3)</f>
        <v>1443</v>
      </c>
      <c r="D136" s="144">
        <f>VLOOKUP($A136,'Data shares'!$C:$FA,23)</f>
        <v>0.7</v>
      </c>
      <c r="E136" s="145">
        <f>VLOOKUP($A136,'Data shares'!$C:$FA,26)*100</f>
        <v>0.05</v>
      </c>
      <c r="F136" s="144">
        <f>VLOOKUP($A136,'Data shares'!$C:$FA,24)</f>
        <v>3.8</v>
      </c>
      <c r="G136" s="144">
        <f>VLOOKUP($A136,'Data shares'!$C:$FA,25)</f>
        <v>-3.1</v>
      </c>
    </row>
    <row r="137" spans="1:7" x14ac:dyDescent="0.25">
      <c r="A137" s="101" t="str">
        <f>'Data shares'!C133</f>
        <v>LT</v>
      </c>
      <c r="B137" s="144">
        <f>VLOOKUP($A137,'Data shares'!$C:$FA,7)</f>
        <v>3464.6</v>
      </c>
      <c r="C137" s="144">
        <f>VLOOKUP($A137,'Data shares'!$C:$FA,3)</f>
        <v>3475.2</v>
      </c>
      <c r="D137" s="144">
        <f>VLOOKUP($A137,'Data shares'!$C:$FA,23)</f>
        <v>10.6</v>
      </c>
      <c r="E137" s="145">
        <f>VLOOKUP($A137,'Data shares'!$C:$FA,26)*100</f>
        <v>0.31</v>
      </c>
      <c r="F137" s="144">
        <f>VLOOKUP($A137,'Data shares'!$C:$FA,24)</f>
        <v>7.2</v>
      </c>
      <c r="G137" s="144">
        <f>VLOOKUP($A137,'Data shares'!$C:$FA,25)</f>
        <v>3.4</v>
      </c>
    </row>
    <row r="138" spans="1:7" x14ac:dyDescent="0.25">
      <c r="A138" s="101" t="str">
        <f>'Data shares'!C134</f>
        <v>LTF</v>
      </c>
      <c r="B138" s="144">
        <f>VLOOKUP($A138,'Data shares'!$C:$FA,7)</f>
        <v>209.21</v>
      </c>
      <c r="C138" s="144">
        <f>VLOOKUP($A138,'Data shares'!$C:$FA,3)</f>
        <v>209.42</v>
      </c>
      <c r="D138" s="144">
        <f>VLOOKUP($A138,'Data shares'!$C:$FA,23)</f>
        <v>0.21</v>
      </c>
      <c r="E138" s="145">
        <f>VLOOKUP($A138,'Data shares'!$C:$FA,26)*100</f>
        <v>0.1</v>
      </c>
      <c r="F138" s="144">
        <f>VLOOKUP($A138,'Data shares'!$C:$FA,24)</f>
        <v>0.82</v>
      </c>
      <c r="G138" s="144">
        <f>VLOOKUP($A138,'Data shares'!$C:$FA,25)</f>
        <v>-0.61</v>
      </c>
    </row>
    <row r="139" spans="1:7" x14ac:dyDescent="0.25">
      <c r="A139" s="101" t="str">
        <f>'Data shares'!C135</f>
        <v>LTIM</v>
      </c>
      <c r="B139" s="144">
        <f>VLOOKUP($A139,'Data shares'!$C:$FA,7)</f>
        <v>5175.5</v>
      </c>
      <c r="C139" s="144">
        <f>VLOOKUP($A139,'Data shares'!$C:$FA,3)</f>
        <v>5179</v>
      </c>
      <c r="D139" s="144">
        <f>VLOOKUP($A139,'Data shares'!$C:$FA,23)</f>
        <v>3.5</v>
      </c>
      <c r="E139" s="145">
        <f>VLOOKUP($A139,'Data shares'!$C:$FA,26)*100</f>
        <v>6.9999999999999993E-2</v>
      </c>
      <c r="F139" s="144">
        <f>VLOOKUP($A139,'Data shares'!$C:$FA,24)</f>
        <v>-4.5</v>
      </c>
      <c r="G139" s="144">
        <f>VLOOKUP($A139,'Data shares'!$C:$FA,25)</f>
        <v>8</v>
      </c>
    </row>
    <row r="140" spans="1:7" x14ac:dyDescent="0.25">
      <c r="A140" s="101" t="str">
        <f>'Data shares'!C136</f>
        <v>LUPIN</v>
      </c>
      <c r="B140" s="144">
        <f>VLOOKUP($A140,'Data shares'!$C:$FA,7)</f>
        <v>1903.2</v>
      </c>
      <c r="C140" s="144">
        <f>VLOOKUP($A140,'Data shares'!$C:$FA,3)</f>
        <v>1895.6</v>
      </c>
      <c r="D140" s="144">
        <f>VLOOKUP($A140,'Data shares'!$C:$FA,23)</f>
        <v>-7.6</v>
      </c>
      <c r="E140" s="145">
        <f>VLOOKUP($A140,'Data shares'!$C:$FA,26)*100</f>
        <v>-0.4</v>
      </c>
      <c r="F140" s="144">
        <f>VLOOKUP($A140,'Data shares'!$C:$FA,24)</f>
        <v>-5.7</v>
      </c>
      <c r="G140" s="144">
        <f>VLOOKUP($A140,'Data shares'!$C:$FA,25)</f>
        <v>-1.9</v>
      </c>
    </row>
    <row r="141" spans="1:7" x14ac:dyDescent="0.25">
      <c r="A141" s="101" t="str">
        <f>'Data shares'!C137</f>
        <v>M&amp;M</v>
      </c>
      <c r="B141" s="144">
        <f>VLOOKUP($A141,'Data shares'!$C:$FA,7)</f>
        <v>3257.2</v>
      </c>
      <c r="C141" s="144">
        <f>VLOOKUP($A141,'Data shares'!$C:$FA,3)</f>
        <v>3261.9</v>
      </c>
      <c r="D141" s="144">
        <f>VLOOKUP($A141,'Data shares'!$C:$FA,23)</f>
        <v>4.7</v>
      </c>
      <c r="E141" s="145">
        <f>VLOOKUP($A141,'Data shares'!$C:$FA,26)*100</f>
        <v>0.13999999999999999</v>
      </c>
      <c r="F141" s="144">
        <f>VLOOKUP($A141,'Data shares'!$C:$FA,24)</f>
        <v>4.4000000000000004</v>
      </c>
      <c r="G141" s="144">
        <f>VLOOKUP($A141,'Data shares'!$C:$FA,25)</f>
        <v>0.3</v>
      </c>
    </row>
    <row r="142" spans="1:7" x14ac:dyDescent="0.25">
      <c r="A142" s="101" t="str">
        <f>'Data shares'!C138</f>
        <v>M&amp;MFIN</v>
      </c>
      <c r="B142" s="144">
        <f>VLOOKUP($A142,'Data shares'!$C:$FA,7)</f>
        <v>265.55</v>
      </c>
      <c r="C142" s="144">
        <f>VLOOKUP($A142,'Data shares'!$C:$FA,3)</f>
        <v>265.7</v>
      </c>
      <c r="D142" s="144">
        <f>VLOOKUP($A142,'Data shares'!$C:$FA,23)</f>
        <v>0.15</v>
      </c>
      <c r="E142" s="145">
        <f>VLOOKUP($A142,'Data shares'!$C:$FA,26)*100</f>
        <v>0.06</v>
      </c>
      <c r="F142" s="144">
        <f>VLOOKUP($A142,'Data shares'!$C:$FA,24)</f>
        <v>0.35</v>
      </c>
      <c r="G142" s="144">
        <f>VLOOKUP($A142,'Data shares'!$C:$FA,25)</f>
        <v>-0.2</v>
      </c>
    </row>
    <row r="143" spans="1:7" x14ac:dyDescent="0.25">
      <c r="A143" s="101" t="str">
        <f>'Data shares'!C139</f>
        <v>MANAPPURAM</v>
      </c>
      <c r="B143" s="144">
        <f>VLOOKUP($A143,'Data shares'!$C:$FA,7)</f>
        <v>272.05</v>
      </c>
      <c r="C143" s="144">
        <f>VLOOKUP($A143,'Data shares'!$C:$FA,3)</f>
        <v>272</v>
      </c>
      <c r="D143" s="144">
        <f>VLOOKUP($A143,'Data shares'!$C:$FA,23)</f>
        <v>-0.05</v>
      </c>
      <c r="E143" s="145">
        <f>VLOOKUP($A143,'Data shares'!$C:$FA,26)*100</f>
        <v>-0.02</v>
      </c>
      <c r="F143" s="144">
        <f>VLOOKUP($A143,'Data shares'!$C:$FA,24)</f>
        <v>0.35</v>
      </c>
      <c r="G143" s="144">
        <f>VLOOKUP($A143,'Data shares'!$C:$FA,25)</f>
        <v>-0.4</v>
      </c>
    </row>
    <row r="144" spans="1:7" x14ac:dyDescent="0.25">
      <c r="A144" s="101" t="str">
        <f>'Data shares'!C140</f>
        <v>MANKIND</v>
      </c>
      <c r="B144" s="144">
        <f>VLOOKUP($A144,'Data shares'!$C:$FA,7)</f>
        <v>2670.5</v>
      </c>
      <c r="C144" s="144">
        <f>VLOOKUP($A144,'Data shares'!$C:$FA,3)</f>
        <v>2671.9</v>
      </c>
      <c r="D144" s="144">
        <f>VLOOKUP($A144,'Data shares'!$C:$FA,23)</f>
        <v>1.4</v>
      </c>
      <c r="E144" s="145">
        <f>VLOOKUP($A144,'Data shares'!$C:$FA,26)*100</f>
        <v>0.05</v>
      </c>
      <c r="F144" s="144">
        <f>VLOOKUP($A144,'Data shares'!$C:$FA,24)</f>
        <v>7.1</v>
      </c>
      <c r="G144" s="144">
        <f>VLOOKUP($A144,'Data shares'!$C:$FA,25)</f>
        <v>-5.7</v>
      </c>
    </row>
    <row r="145" spans="1:7" x14ac:dyDescent="0.25">
      <c r="A145" s="101" t="str">
        <f>'Data shares'!C141</f>
        <v>MARICO</v>
      </c>
      <c r="B145" s="144">
        <f>VLOOKUP($A145,'Data shares'!$C:$FA,7)</f>
        <v>716.35</v>
      </c>
      <c r="C145" s="144">
        <f>VLOOKUP($A145,'Data shares'!$C:$FA,3)</f>
        <v>716.9</v>
      </c>
      <c r="D145" s="144">
        <f>VLOOKUP($A145,'Data shares'!$C:$FA,23)</f>
        <v>0.55000000000000004</v>
      </c>
      <c r="E145" s="145">
        <f>VLOOKUP($A145,'Data shares'!$C:$FA,26)*100</f>
        <v>0.08</v>
      </c>
      <c r="F145" s="144">
        <f>VLOOKUP($A145,'Data shares'!$C:$FA,24)</f>
        <v>1.3</v>
      </c>
      <c r="G145" s="144">
        <f>VLOOKUP($A145,'Data shares'!$C:$FA,25)</f>
        <v>-0.75</v>
      </c>
    </row>
    <row r="146" spans="1:7" x14ac:dyDescent="0.25">
      <c r="A146" s="101" t="str">
        <f>'Data shares'!C142</f>
        <v>MARUTI</v>
      </c>
      <c r="B146" s="144">
        <f>VLOOKUP($A146,'Data shares'!$C:$FA,7)</f>
        <v>12492</v>
      </c>
      <c r="C146" s="144">
        <f>VLOOKUP($A146,'Data shares'!$C:$FA,3)</f>
        <v>12514</v>
      </c>
      <c r="D146" s="144">
        <f>VLOOKUP($A146,'Data shares'!$C:$FA,23)</f>
        <v>22</v>
      </c>
      <c r="E146" s="145">
        <f>VLOOKUP($A146,'Data shares'!$C:$FA,26)*100</f>
        <v>0.18</v>
      </c>
      <c r="F146" s="144">
        <f>VLOOKUP($A146,'Data shares'!$C:$FA,24)</f>
        <v>31</v>
      </c>
      <c r="G146" s="144">
        <f>VLOOKUP($A146,'Data shares'!$C:$FA,25)</f>
        <v>-9</v>
      </c>
    </row>
    <row r="147" spans="1:7" x14ac:dyDescent="0.25">
      <c r="A147" s="101" t="str">
        <f>'Data shares'!C143</f>
        <v>MAXHEALTH</v>
      </c>
      <c r="B147" s="144">
        <f>VLOOKUP($A147,'Data shares'!$C:$FA,7)</f>
        <v>1218.8</v>
      </c>
      <c r="C147" s="144">
        <f>VLOOKUP($A147,'Data shares'!$C:$FA,3)</f>
        <v>1219.4000000000001</v>
      </c>
      <c r="D147" s="144">
        <f>VLOOKUP($A147,'Data shares'!$C:$FA,23)</f>
        <v>0.6</v>
      </c>
      <c r="E147" s="145">
        <f>VLOOKUP($A147,'Data shares'!$C:$FA,26)*100</f>
        <v>0.05</v>
      </c>
      <c r="F147" s="144">
        <f>VLOOKUP($A147,'Data shares'!$C:$FA,24)</f>
        <v>1.4</v>
      </c>
      <c r="G147" s="144">
        <f>VLOOKUP($A147,'Data shares'!$C:$FA,25)</f>
        <v>-0.8</v>
      </c>
    </row>
    <row r="148" spans="1:7" x14ac:dyDescent="0.25">
      <c r="A148" s="101" t="str">
        <f>'Data shares'!C144</f>
        <v>MAZDOCK</v>
      </c>
      <c r="B148" s="144">
        <f>VLOOKUP($A148,'Data shares'!$C:$FA,7)</f>
        <v>2921.8</v>
      </c>
      <c r="C148" s="144">
        <f>VLOOKUP($A148,'Data shares'!$C:$FA,3)</f>
        <v>2931.6</v>
      </c>
      <c r="D148" s="144">
        <f>VLOOKUP($A148,'Data shares'!$C:$FA,23)</f>
        <v>9.8000000000000007</v>
      </c>
      <c r="E148" s="145">
        <f>VLOOKUP($A148,'Data shares'!$C:$FA,26)*100</f>
        <v>0.33999999999999997</v>
      </c>
      <c r="F148" s="144">
        <f>VLOOKUP($A148,'Data shares'!$C:$FA,24)</f>
        <v>11.5</v>
      </c>
      <c r="G148" s="144">
        <f>VLOOKUP($A148,'Data shares'!$C:$FA,25)</f>
        <v>-1.7</v>
      </c>
    </row>
    <row r="149" spans="1:7" x14ac:dyDescent="0.25">
      <c r="A149" s="101" t="str">
        <f>'Data shares'!C145</f>
        <v>MCX</v>
      </c>
      <c r="B149" s="144">
        <f>VLOOKUP($A149,'Data shares'!$C:$FA,7)</f>
        <v>8153.5</v>
      </c>
      <c r="C149" s="144">
        <f>VLOOKUP($A149,'Data shares'!$C:$FA,3)</f>
        <v>8180</v>
      </c>
      <c r="D149" s="144">
        <f>VLOOKUP($A149,'Data shares'!$C:$FA,23)</f>
        <v>26.5</v>
      </c>
      <c r="E149" s="145">
        <f>VLOOKUP($A149,'Data shares'!$C:$FA,26)*100</f>
        <v>0.33</v>
      </c>
      <c r="F149" s="144">
        <f>VLOOKUP($A149,'Data shares'!$C:$FA,24)</f>
        <v>35.5</v>
      </c>
      <c r="G149" s="144">
        <f>VLOOKUP($A149,'Data shares'!$C:$FA,25)</f>
        <v>-9</v>
      </c>
    </row>
    <row r="150" spans="1:7" x14ac:dyDescent="0.25">
      <c r="A150" s="101" t="str">
        <f>'Data shares'!C146</f>
        <v>MFSL</v>
      </c>
      <c r="B150" s="144">
        <f>VLOOKUP($A150,'Data shares'!$C:$FA,7)</f>
        <v>1562.4</v>
      </c>
      <c r="C150" s="144">
        <f>VLOOKUP($A150,'Data shares'!$C:$FA,3)</f>
        <v>1566.3</v>
      </c>
      <c r="D150" s="144">
        <f>VLOOKUP($A150,'Data shares'!$C:$FA,23)</f>
        <v>3.9</v>
      </c>
      <c r="E150" s="145">
        <f>VLOOKUP($A150,'Data shares'!$C:$FA,26)*100</f>
        <v>0.25</v>
      </c>
      <c r="F150" s="144">
        <f>VLOOKUP($A150,'Data shares'!$C:$FA,24)</f>
        <v>6.4</v>
      </c>
      <c r="G150" s="144">
        <f>VLOOKUP($A150,'Data shares'!$C:$FA,25)</f>
        <v>-2.5</v>
      </c>
    </row>
    <row r="151" spans="1:7" x14ac:dyDescent="0.25">
      <c r="A151" s="101" t="str">
        <f>'Data shares'!C147</f>
        <v>MGL</v>
      </c>
      <c r="B151" s="144">
        <f>VLOOKUP($A151,'Data shares'!$C:$FA,7)</f>
        <v>1486.3</v>
      </c>
      <c r="C151" s="144">
        <f>VLOOKUP($A151,'Data shares'!$C:$FA,3)</f>
        <v>1487.7</v>
      </c>
      <c r="D151" s="144">
        <f>VLOOKUP($A151,'Data shares'!$C:$FA,23)</f>
        <v>1.4</v>
      </c>
      <c r="E151" s="145">
        <f>VLOOKUP($A151,'Data shares'!$C:$FA,26)*100</f>
        <v>0.09</v>
      </c>
      <c r="F151" s="144">
        <f>VLOOKUP($A151,'Data shares'!$C:$FA,24)</f>
        <v>0.8</v>
      </c>
      <c r="G151" s="144">
        <f>VLOOKUP($A151,'Data shares'!$C:$FA,25)</f>
        <v>0.6</v>
      </c>
    </row>
    <row r="152" spans="1:7" x14ac:dyDescent="0.25">
      <c r="A152" s="101" t="str">
        <f>'Data shares'!C148</f>
        <v>MIDCPNIFTY</v>
      </c>
      <c r="B152" s="144">
        <f>VLOOKUP($A152,'Data shares'!$C:$FA,7)</f>
        <v>13206.6</v>
      </c>
      <c r="C152" s="144">
        <f>VLOOKUP($A152,'Data shares'!$C:$FA,3)</f>
        <v>13220.05</v>
      </c>
      <c r="D152" s="144">
        <f>VLOOKUP($A152,'Data shares'!$C:$FA,23)</f>
        <v>13.45</v>
      </c>
      <c r="E152" s="145">
        <f>VLOOKUP($A152,'Data shares'!$C:$FA,26)*100</f>
        <v>0.1</v>
      </c>
      <c r="F152" s="144">
        <f>VLOOKUP($A152,'Data shares'!$C:$FA,24)</f>
        <v>35.35</v>
      </c>
      <c r="G152" s="144">
        <f>VLOOKUP($A152,'Data shares'!$C:$FA,25)</f>
        <v>-21.9</v>
      </c>
    </row>
    <row r="153" spans="1:7" x14ac:dyDescent="0.25">
      <c r="A153" s="101" t="str">
        <f>'Data shares'!C149</f>
        <v>MOTHERSON</v>
      </c>
      <c r="B153" s="144">
        <f>VLOOKUP($A153,'Data shares'!$C:$FA,7)</f>
        <v>97.24</v>
      </c>
      <c r="C153" s="144">
        <f>VLOOKUP($A153,'Data shares'!$C:$FA,3)</f>
        <v>97.36</v>
      </c>
      <c r="D153" s="144">
        <f>VLOOKUP($A153,'Data shares'!$C:$FA,23)</f>
        <v>0.12</v>
      </c>
      <c r="E153" s="145">
        <f>VLOOKUP($A153,'Data shares'!$C:$FA,26)*100</f>
        <v>0.12</v>
      </c>
      <c r="F153" s="144">
        <f>VLOOKUP($A153,'Data shares'!$C:$FA,24)</f>
        <v>0.14000000000000001</v>
      </c>
      <c r="G153" s="144">
        <f>VLOOKUP($A153,'Data shares'!$C:$FA,25)</f>
        <v>-0.02</v>
      </c>
    </row>
    <row r="154" spans="1:7" x14ac:dyDescent="0.25">
      <c r="A154" s="101" t="str">
        <f>'Data shares'!C150</f>
        <v>MPHASIS</v>
      </c>
      <c r="B154" s="144">
        <f>VLOOKUP($A154,'Data shares'!$C:$FA,7)</f>
        <v>2777.2</v>
      </c>
      <c r="C154" s="144">
        <f>VLOOKUP($A154,'Data shares'!$C:$FA,3)</f>
        <v>2784.3</v>
      </c>
      <c r="D154" s="144">
        <f>VLOOKUP($A154,'Data shares'!$C:$FA,23)</f>
        <v>7.1</v>
      </c>
      <c r="E154" s="145">
        <f>VLOOKUP($A154,'Data shares'!$C:$FA,26)*100</f>
        <v>0.26</v>
      </c>
      <c r="F154" s="144">
        <f>VLOOKUP($A154,'Data shares'!$C:$FA,24)</f>
        <v>3.7</v>
      </c>
      <c r="G154" s="144">
        <f>VLOOKUP($A154,'Data shares'!$C:$FA,25)</f>
        <v>3.4</v>
      </c>
    </row>
    <row r="155" spans="1:7" x14ac:dyDescent="0.25">
      <c r="A155" s="101" t="str">
        <f>'Data shares'!C151</f>
        <v>MUTHOOTFIN</v>
      </c>
      <c r="B155" s="144">
        <f>VLOOKUP($A155,'Data shares'!$C:$FA,7)</f>
        <v>2674.3</v>
      </c>
      <c r="C155" s="144">
        <f>VLOOKUP($A155,'Data shares'!$C:$FA,3)</f>
        <v>2668.1</v>
      </c>
      <c r="D155" s="144">
        <f>VLOOKUP($A155,'Data shares'!$C:$FA,23)</f>
        <v>-6.2</v>
      </c>
      <c r="E155" s="145">
        <f>VLOOKUP($A155,'Data shares'!$C:$FA,26)*100</f>
        <v>-0.22999999999999998</v>
      </c>
      <c r="F155" s="144">
        <f>VLOOKUP($A155,'Data shares'!$C:$FA,24)</f>
        <v>-5</v>
      </c>
      <c r="G155" s="144">
        <f>VLOOKUP($A155,'Data shares'!$C:$FA,25)</f>
        <v>-1.2</v>
      </c>
    </row>
    <row r="156" spans="1:7" x14ac:dyDescent="0.25">
      <c r="A156" s="101" t="str">
        <f>'Data shares'!C152</f>
        <v>NATIONALUM</v>
      </c>
      <c r="B156" s="144">
        <f>VLOOKUP($A156,'Data shares'!$C:$FA,7)</f>
        <v>196.69</v>
      </c>
      <c r="C156" s="144">
        <f>VLOOKUP($A156,'Data shares'!$C:$FA,3)</f>
        <v>197.06</v>
      </c>
      <c r="D156" s="144">
        <f>VLOOKUP($A156,'Data shares'!$C:$FA,23)</f>
        <v>0.37</v>
      </c>
      <c r="E156" s="145">
        <f>VLOOKUP($A156,'Data shares'!$C:$FA,26)*100</f>
        <v>0.19</v>
      </c>
      <c r="F156" s="144">
        <f>VLOOKUP($A156,'Data shares'!$C:$FA,24)</f>
        <v>0.67</v>
      </c>
      <c r="G156" s="144">
        <f>VLOOKUP($A156,'Data shares'!$C:$FA,25)</f>
        <v>-0.3</v>
      </c>
    </row>
    <row r="157" spans="1:7" x14ac:dyDescent="0.25">
      <c r="A157" s="101" t="str">
        <f>'Data shares'!C153</f>
        <v>NAUKRI</v>
      </c>
      <c r="B157" s="144">
        <f>VLOOKUP($A157,'Data shares'!$C:$FA,7)</f>
        <v>1458.8</v>
      </c>
      <c r="C157" s="144">
        <f>VLOOKUP($A157,'Data shares'!$C:$FA,3)</f>
        <v>1455.8</v>
      </c>
      <c r="D157" s="144">
        <f>VLOOKUP($A157,'Data shares'!$C:$FA,23)</f>
        <v>-3</v>
      </c>
      <c r="E157" s="145">
        <f>VLOOKUP($A157,'Data shares'!$C:$FA,26)*100</f>
        <v>-0.21</v>
      </c>
      <c r="F157" s="144">
        <f>VLOOKUP($A157,'Data shares'!$C:$FA,24)</f>
        <v>3.9</v>
      </c>
      <c r="G157" s="144">
        <f>VLOOKUP($A157,'Data shares'!$C:$FA,25)</f>
        <v>-6.9</v>
      </c>
    </row>
    <row r="158" spans="1:7" x14ac:dyDescent="0.25">
      <c r="A158" s="101" t="str">
        <f>'Data shares'!C154</f>
        <v>NBCC</v>
      </c>
      <c r="B158" s="144">
        <f>VLOOKUP($A158,'Data shares'!$C:$FA,7)</f>
        <v>114.58</v>
      </c>
      <c r="C158" s="144">
        <f>VLOOKUP($A158,'Data shares'!$C:$FA,3)</f>
        <v>114.88</v>
      </c>
      <c r="D158" s="144">
        <f>VLOOKUP($A158,'Data shares'!$C:$FA,23)</f>
        <v>0.3</v>
      </c>
      <c r="E158" s="145">
        <f>VLOOKUP($A158,'Data shares'!$C:$FA,26)*100</f>
        <v>0.26</v>
      </c>
      <c r="F158" s="144">
        <f>VLOOKUP($A158,'Data shares'!$C:$FA,24)</f>
        <v>0.24</v>
      </c>
      <c r="G158" s="144">
        <f>VLOOKUP($A158,'Data shares'!$C:$FA,25)</f>
        <v>0.06</v>
      </c>
    </row>
    <row r="159" spans="1:7" x14ac:dyDescent="0.25">
      <c r="A159" s="101" t="str">
        <f>'Data shares'!C155</f>
        <v>NCC</v>
      </c>
      <c r="B159" s="144">
        <f>VLOOKUP($A159,'Data shares'!$C:$FA,7)</f>
        <v>227.42</v>
      </c>
      <c r="C159" s="144">
        <f>VLOOKUP($A159,'Data shares'!$C:$FA,3)</f>
        <v>227.31</v>
      </c>
      <c r="D159" s="144">
        <f>VLOOKUP($A159,'Data shares'!$C:$FA,23)</f>
        <v>-0.11</v>
      </c>
      <c r="E159" s="145">
        <f>VLOOKUP($A159,'Data shares'!$C:$FA,26)*100</f>
        <v>-0.05</v>
      </c>
      <c r="F159" s="144">
        <f>VLOOKUP($A159,'Data shares'!$C:$FA,24)</f>
        <v>1.08</v>
      </c>
      <c r="G159" s="144">
        <f>VLOOKUP($A159,'Data shares'!$C:$FA,25)</f>
        <v>-1.19</v>
      </c>
    </row>
    <row r="160" spans="1:7" x14ac:dyDescent="0.25">
      <c r="A160" s="101" t="str">
        <f>'Data shares'!C156</f>
        <v>NESTLEIND</v>
      </c>
      <c r="B160" s="144">
        <f>VLOOKUP($A160,'Data shares'!$C:$FA,7)</f>
        <v>2443.5</v>
      </c>
      <c r="C160" s="144">
        <f>VLOOKUP($A160,'Data shares'!$C:$FA,3)</f>
        <v>2445.6</v>
      </c>
      <c r="D160" s="144">
        <f>VLOOKUP($A160,'Data shares'!$C:$FA,23)</f>
        <v>2.1</v>
      </c>
      <c r="E160" s="145">
        <f>VLOOKUP($A160,'Data shares'!$C:$FA,26)*100</f>
        <v>0.09</v>
      </c>
      <c r="F160" s="144">
        <f>VLOOKUP($A160,'Data shares'!$C:$FA,24)</f>
        <v>2.4</v>
      </c>
      <c r="G160" s="144">
        <f>VLOOKUP($A160,'Data shares'!$C:$FA,25)</f>
        <v>-0.3</v>
      </c>
    </row>
    <row r="161" spans="1:7" x14ac:dyDescent="0.25">
      <c r="A161" s="101" t="str">
        <f>'Data shares'!C157</f>
        <v>NHPC</v>
      </c>
      <c r="B161" s="144">
        <f>VLOOKUP($A161,'Data shares'!$C:$FA,7)</f>
        <v>86.33</v>
      </c>
      <c r="C161" s="144">
        <f>VLOOKUP($A161,'Data shares'!$C:$FA,3)</f>
        <v>86.58</v>
      </c>
      <c r="D161" s="144">
        <f>VLOOKUP($A161,'Data shares'!$C:$FA,23)</f>
        <v>0.25</v>
      </c>
      <c r="E161" s="145">
        <f>VLOOKUP($A161,'Data shares'!$C:$FA,26)*100</f>
        <v>0.28999999999999998</v>
      </c>
      <c r="F161" s="144">
        <f>VLOOKUP($A161,'Data shares'!$C:$FA,24)</f>
        <v>0.22</v>
      </c>
      <c r="G161" s="144">
        <f>VLOOKUP($A161,'Data shares'!$C:$FA,25)</f>
        <v>0.03</v>
      </c>
    </row>
    <row r="162" spans="1:7" x14ac:dyDescent="0.25">
      <c r="A162" s="101" t="str">
        <f>'Data shares'!C158</f>
        <v>NIFTY</v>
      </c>
      <c r="B162" s="144">
        <f>VLOOKUP($A162,'Data shares'!$C:$FA,7)</f>
        <v>25060.9</v>
      </c>
      <c r="C162" s="144">
        <f>VLOOKUP($A162,'Data shares'!$C:$FA,3)</f>
        <v>25093.9</v>
      </c>
      <c r="D162" s="144">
        <f>VLOOKUP($A162,'Data shares'!$C:$FA,23)</f>
        <v>33</v>
      </c>
      <c r="E162" s="145">
        <f>VLOOKUP($A162,'Data shares'!$C:$FA,26)*100</f>
        <v>0.13</v>
      </c>
      <c r="F162" s="144">
        <f>VLOOKUP($A162,'Data shares'!$C:$FA,24)</f>
        <v>36.9</v>
      </c>
      <c r="G162" s="144">
        <f>VLOOKUP($A162,'Data shares'!$C:$FA,25)</f>
        <v>-3.9</v>
      </c>
    </row>
    <row r="163" spans="1:7" x14ac:dyDescent="0.25">
      <c r="A163" s="101" t="str">
        <f>'Data shares'!C159</f>
        <v>NIFTYNXT50</v>
      </c>
      <c r="B163" s="144">
        <f>VLOOKUP($A163,'Data shares'!$C:$FA,7)</f>
        <v>68253.899999999994</v>
      </c>
      <c r="C163" s="144">
        <f>VLOOKUP($A163,'Data shares'!$C:$FA,3)</f>
        <v>68212.600000000006</v>
      </c>
      <c r="D163" s="144">
        <f>VLOOKUP($A163,'Data shares'!$C:$FA,23)</f>
        <v>-41.3</v>
      </c>
      <c r="E163" s="145">
        <f>VLOOKUP($A163,'Data shares'!$C:$FA,26)*100</f>
        <v>-0.06</v>
      </c>
      <c r="F163" s="144">
        <f>VLOOKUP($A163,'Data shares'!$C:$FA,24)</f>
        <v>88.45</v>
      </c>
      <c r="G163" s="144">
        <f>VLOOKUP($A163,'Data shares'!$C:$FA,25)</f>
        <v>-129.75</v>
      </c>
    </row>
    <row r="164" spans="1:7" x14ac:dyDescent="0.25">
      <c r="A164" s="101" t="str">
        <f>'Data shares'!C160</f>
        <v>NMDC</v>
      </c>
      <c r="B164" s="144">
        <f>VLOOKUP($A164,'Data shares'!$C:$FA,7)</f>
        <v>72.14</v>
      </c>
      <c r="C164" s="144">
        <f>VLOOKUP($A164,'Data shares'!$C:$FA,3)</f>
        <v>72.38</v>
      </c>
      <c r="D164" s="144">
        <f>VLOOKUP($A164,'Data shares'!$C:$FA,23)</f>
        <v>0.24</v>
      </c>
      <c r="E164" s="145">
        <f>VLOOKUP($A164,'Data shares'!$C:$FA,26)*100</f>
        <v>0.33</v>
      </c>
      <c r="F164" s="144">
        <f>VLOOKUP($A164,'Data shares'!$C:$FA,24)</f>
        <v>0.26</v>
      </c>
      <c r="G164" s="144">
        <f>VLOOKUP($A164,'Data shares'!$C:$FA,25)</f>
        <v>-0.02</v>
      </c>
    </row>
    <row r="165" spans="1:7" x14ac:dyDescent="0.25">
      <c r="A165" s="101" t="str">
        <f>'Data shares'!C161</f>
        <v>NTPC</v>
      </c>
      <c r="B165" s="144">
        <f>VLOOKUP($A165,'Data shares'!$C:$FA,7)</f>
        <v>340.85</v>
      </c>
      <c r="C165" s="144">
        <f>VLOOKUP($A165,'Data shares'!$C:$FA,3)</f>
        <v>341.3</v>
      </c>
      <c r="D165" s="144">
        <f>VLOOKUP($A165,'Data shares'!$C:$FA,23)</f>
        <v>0.45</v>
      </c>
      <c r="E165" s="145">
        <f>VLOOKUP($A165,'Data shares'!$C:$FA,26)*100</f>
        <v>0.13</v>
      </c>
      <c r="F165" s="144">
        <f>VLOOKUP($A165,'Data shares'!$C:$FA,24)</f>
        <v>0.2</v>
      </c>
      <c r="G165" s="144">
        <f>VLOOKUP($A165,'Data shares'!$C:$FA,25)</f>
        <v>0.25</v>
      </c>
    </row>
    <row r="166" spans="1:7" x14ac:dyDescent="0.25">
      <c r="A166" s="101" t="str">
        <f>'Data shares'!C162</f>
        <v>NYKAA</v>
      </c>
      <c r="B166" s="144">
        <f>VLOOKUP($A166,'Data shares'!$C:$FA,7)</f>
        <v>220.03</v>
      </c>
      <c r="C166" s="144">
        <f>VLOOKUP($A166,'Data shares'!$C:$FA,3)</f>
        <v>220.1</v>
      </c>
      <c r="D166" s="144">
        <f>VLOOKUP($A166,'Data shares'!$C:$FA,23)</f>
        <v>7.0000000000000007E-2</v>
      </c>
      <c r="E166" s="145">
        <f>VLOOKUP($A166,'Data shares'!$C:$FA,26)*100</f>
        <v>0.03</v>
      </c>
      <c r="F166" s="144">
        <f>VLOOKUP($A166,'Data shares'!$C:$FA,24)</f>
        <v>0.46</v>
      </c>
      <c r="G166" s="144">
        <f>VLOOKUP($A166,'Data shares'!$C:$FA,25)</f>
        <v>-0.39</v>
      </c>
    </row>
    <row r="167" spans="1:7" x14ac:dyDescent="0.25">
      <c r="A167" s="101" t="str">
        <f>'Data shares'!C163</f>
        <v>OBEROIRLTY</v>
      </c>
      <c r="B167" s="144">
        <f>VLOOKUP($A167,'Data shares'!$C:$FA,7)</f>
        <v>1826.2</v>
      </c>
      <c r="C167" s="144">
        <f>VLOOKUP($A167,'Data shares'!$C:$FA,3)</f>
        <v>1824.2</v>
      </c>
      <c r="D167" s="144">
        <f>VLOOKUP($A167,'Data shares'!$C:$FA,23)</f>
        <v>-2</v>
      </c>
      <c r="E167" s="145">
        <f>VLOOKUP($A167,'Data shares'!$C:$FA,26)*100</f>
        <v>-0.11</v>
      </c>
      <c r="F167" s="144">
        <f>VLOOKUP($A167,'Data shares'!$C:$FA,24)</f>
        <v>1.9</v>
      </c>
      <c r="G167" s="144">
        <f>VLOOKUP($A167,'Data shares'!$C:$FA,25)</f>
        <v>-3.9</v>
      </c>
    </row>
    <row r="168" spans="1:7" s="175" customFormat="1" x14ac:dyDescent="0.25">
      <c r="A168" s="101" t="str">
        <f>'Data shares'!C164</f>
        <v>OFSS</v>
      </c>
      <c r="B168" s="144">
        <f>VLOOKUP($A168,'Data shares'!$C:$FA,7)</f>
        <v>8707.5</v>
      </c>
      <c r="C168" s="144">
        <f>VLOOKUP($A168,'Data shares'!$C:$FA,3)</f>
        <v>8729</v>
      </c>
      <c r="D168" s="144">
        <f>VLOOKUP($A168,'Data shares'!$C:$FA,23)</f>
        <v>21.5</v>
      </c>
      <c r="E168" s="145">
        <f>VLOOKUP($A168,'Data shares'!$C:$FA,26)*100</f>
        <v>0.25</v>
      </c>
      <c r="F168" s="144">
        <f>VLOOKUP($A168,'Data shares'!$C:$FA,24)</f>
        <v>9</v>
      </c>
      <c r="G168" s="144">
        <f>VLOOKUP($A168,'Data shares'!$C:$FA,25)</f>
        <v>12.5</v>
      </c>
    </row>
    <row r="169" spans="1:7" x14ac:dyDescent="0.25">
      <c r="A169" s="101" t="str">
        <f>'Data shares'!C165</f>
        <v>OIL</v>
      </c>
      <c r="B169" s="144">
        <f>VLOOKUP($A169,'Data shares'!$C:$FA,7)</f>
        <v>451.35</v>
      </c>
      <c r="C169" s="144">
        <f>VLOOKUP($A169,'Data shares'!$C:$FA,3)</f>
        <v>452.6</v>
      </c>
      <c r="D169" s="144">
        <f>VLOOKUP($A169,'Data shares'!$C:$FA,23)</f>
        <v>1.25</v>
      </c>
      <c r="E169" s="145">
        <f>VLOOKUP($A169,'Data shares'!$C:$FA,26)*100</f>
        <v>0.27999999999999997</v>
      </c>
      <c r="F169" s="144">
        <f>VLOOKUP($A169,'Data shares'!$C:$FA,24)</f>
        <v>1.25</v>
      </c>
      <c r="G169" s="144">
        <f>VLOOKUP($A169,'Data shares'!$C:$FA,25)</f>
        <v>0</v>
      </c>
    </row>
    <row r="170" spans="1:7" x14ac:dyDescent="0.25">
      <c r="A170" s="101" t="str">
        <f>'Data shares'!C166</f>
        <v>ONGC</v>
      </c>
      <c r="B170" s="144">
        <f>VLOOKUP($A170,'Data shares'!$C:$FA,7)</f>
        <v>246.41</v>
      </c>
      <c r="C170" s="144">
        <f>VLOOKUP($A170,'Data shares'!$C:$FA,3)</f>
        <v>246.32</v>
      </c>
      <c r="D170" s="144">
        <f>VLOOKUP($A170,'Data shares'!$C:$FA,23)</f>
        <v>-0.09</v>
      </c>
      <c r="E170" s="145">
        <f>VLOOKUP($A170,'Data shares'!$C:$FA,26)*100</f>
        <v>-0.04</v>
      </c>
      <c r="F170" s="144">
        <f>VLOOKUP($A170,'Data shares'!$C:$FA,24)</f>
        <v>0.38</v>
      </c>
      <c r="G170" s="144">
        <f>VLOOKUP($A170,'Data shares'!$C:$FA,25)</f>
        <v>-0.47</v>
      </c>
    </row>
    <row r="171" spans="1:7" x14ac:dyDescent="0.25">
      <c r="A171" s="101" t="str">
        <f>'Data shares'!C167</f>
        <v>PAGEIND</v>
      </c>
      <c r="B171" s="144">
        <f>VLOOKUP($A171,'Data shares'!$C:$FA,7)</f>
        <v>46295</v>
      </c>
      <c r="C171" s="144">
        <f>VLOOKUP($A171,'Data shares'!$C:$FA,3)</f>
        <v>46360</v>
      </c>
      <c r="D171" s="144">
        <f>VLOOKUP($A171,'Data shares'!$C:$FA,23)</f>
        <v>65</v>
      </c>
      <c r="E171" s="145">
        <f>VLOOKUP($A171,'Data shares'!$C:$FA,26)*100</f>
        <v>0.13999999999999999</v>
      </c>
      <c r="F171" s="144">
        <f>VLOOKUP($A171,'Data shares'!$C:$FA,24)</f>
        <v>-125</v>
      </c>
      <c r="G171" s="144">
        <f>VLOOKUP($A171,'Data shares'!$C:$FA,25)</f>
        <v>190</v>
      </c>
    </row>
    <row r="172" spans="1:7" x14ac:dyDescent="0.25">
      <c r="A172" s="101" t="str">
        <f>'Data shares'!C168</f>
        <v>PATANJALI</v>
      </c>
      <c r="B172" s="144">
        <f>VLOOKUP($A172,'Data shares'!$C:$FA,7)</f>
        <v>1942</v>
      </c>
      <c r="C172" s="144">
        <f>VLOOKUP($A172,'Data shares'!$C:$FA,3)</f>
        <v>1944.2</v>
      </c>
      <c r="D172" s="144">
        <f>VLOOKUP($A172,'Data shares'!$C:$FA,23)</f>
        <v>2.2000000000000002</v>
      </c>
      <c r="E172" s="145">
        <f>VLOOKUP($A172,'Data shares'!$C:$FA,26)*100</f>
        <v>0.11</v>
      </c>
      <c r="F172" s="144">
        <f>VLOOKUP($A172,'Data shares'!$C:$FA,24)</f>
        <v>2.9</v>
      </c>
      <c r="G172" s="144">
        <f>VLOOKUP($A172,'Data shares'!$C:$FA,25)</f>
        <v>-0.7</v>
      </c>
    </row>
    <row r="173" spans="1:7" x14ac:dyDescent="0.25">
      <c r="A173" s="101" t="str">
        <f>'Data shares'!C169</f>
        <v>PAYTM</v>
      </c>
      <c r="B173" s="144">
        <f>VLOOKUP($A173,'Data shares'!$C:$FA,7)</f>
        <v>1051.05</v>
      </c>
      <c r="C173" s="144">
        <f>VLOOKUP($A173,'Data shares'!$C:$FA,3)</f>
        <v>1055.2</v>
      </c>
      <c r="D173" s="144">
        <f>VLOOKUP($A173,'Data shares'!$C:$FA,23)</f>
        <v>4.1500000000000004</v>
      </c>
      <c r="E173" s="145">
        <f>VLOOKUP($A173,'Data shares'!$C:$FA,26)*100</f>
        <v>0.38999999999999996</v>
      </c>
      <c r="F173" s="144">
        <f>VLOOKUP($A173,'Data shares'!$C:$FA,24)</f>
        <v>1.85</v>
      </c>
      <c r="G173" s="144">
        <f>VLOOKUP($A173,'Data shares'!$C:$FA,25)</f>
        <v>2.2999999999999998</v>
      </c>
    </row>
    <row r="174" spans="1:7" x14ac:dyDescent="0.25">
      <c r="A174" s="101" t="str">
        <f>'Data shares'!C170</f>
        <v>PEL</v>
      </c>
      <c r="B174" s="144">
        <f>VLOOKUP($A174,'Data shares'!$C:$FA,7)</f>
        <v>1287.4000000000001</v>
      </c>
      <c r="C174" s="144">
        <f>VLOOKUP($A174,'Data shares'!$C:$FA,3)</f>
        <v>1287.8</v>
      </c>
      <c r="D174" s="144">
        <f>VLOOKUP($A174,'Data shares'!$C:$FA,23)</f>
        <v>0.4</v>
      </c>
      <c r="E174" s="145">
        <f>VLOOKUP($A174,'Data shares'!$C:$FA,26)*100</f>
        <v>0.03</v>
      </c>
      <c r="F174" s="144">
        <f>VLOOKUP($A174,'Data shares'!$C:$FA,24)</f>
        <v>4.0999999999999996</v>
      </c>
      <c r="G174" s="144">
        <f>VLOOKUP($A174,'Data shares'!$C:$FA,25)</f>
        <v>-3.7</v>
      </c>
    </row>
    <row r="175" spans="1:7" x14ac:dyDescent="0.25">
      <c r="A175" s="101" t="str">
        <f>'Data shares'!C171</f>
        <v>PERSISTENT</v>
      </c>
      <c r="B175" s="144">
        <f>VLOOKUP($A175,'Data shares'!$C:$FA,7)</f>
        <v>5713.5</v>
      </c>
      <c r="C175" s="144">
        <f>VLOOKUP($A175,'Data shares'!$C:$FA,3)</f>
        <v>5728.5</v>
      </c>
      <c r="D175" s="144">
        <f>VLOOKUP($A175,'Data shares'!$C:$FA,23)</f>
        <v>15</v>
      </c>
      <c r="E175" s="145">
        <f>VLOOKUP($A175,'Data shares'!$C:$FA,26)*100</f>
        <v>0.26</v>
      </c>
      <c r="F175" s="144">
        <f>VLOOKUP($A175,'Data shares'!$C:$FA,24)</f>
        <v>0</v>
      </c>
      <c r="G175" s="144">
        <f>VLOOKUP($A175,'Data shares'!$C:$FA,25)</f>
        <v>15</v>
      </c>
    </row>
    <row r="176" spans="1:7" x14ac:dyDescent="0.25">
      <c r="A176" s="101" t="str">
        <f>'Data shares'!C172</f>
        <v>PETRONET</v>
      </c>
      <c r="B176" s="144">
        <f>VLOOKUP($A176,'Data shares'!$C:$FA,7)</f>
        <v>303.25</v>
      </c>
      <c r="C176" s="144">
        <f>VLOOKUP($A176,'Data shares'!$C:$FA,3)</f>
        <v>303.55</v>
      </c>
      <c r="D176" s="144">
        <f>VLOOKUP($A176,'Data shares'!$C:$FA,23)</f>
        <v>0.3</v>
      </c>
      <c r="E176" s="145">
        <f>VLOOKUP($A176,'Data shares'!$C:$FA,26)*100</f>
        <v>0.1</v>
      </c>
      <c r="F176" s="144">
        <f>VLOOKUP($A176,'Data shares'!$C:$FA,24)</f>
        <v>0.35</v>
      </c>
      <c r="G176" s="144">
        <f>VLOOKUP($A176,'Data shares'!$C:$FA,25)</f>
        <v>-0.05</v>
      </c>
    </row>
    <row r="177" spans="1:7" x14ac:dyDescent="0.25">
      <c r="A177" s="101" t="str">
        <f>'Data shares'!C173</f>
        <v>PFC</v>
      </c>
      <c r="B177" s="144">
        <f>VLOOKUP($A177,'Data shares'!$C:$FA,7)</f>
        <v>414.7</v>
      </c>
      <c r="C177" s="144">
        <f>VLOOKUP($A177,'Data shares'!$C:$FA,3)</f>
        <v>414.95</v>
      </c>
      <c r="D177" s="144">
        <f>VLOOKUP($A177,'Data shares'!$C:$FA,23)</f>
        <v>0.25</v>
      </c>
      <c r="E177" s="145">
        <f>VLOOKUP($A177,'Data shares'!$C:$FA,26)*100</f>
        <v>0.06</v>
      </c>
      <c r="F177" s="144">
        <f>VLOOKUP($A177,'Data shares'!$C:$FA,24)</f>
        <v>0.55000000000000004</v>
      </c>
      <c r="G177" s="144">
        <f>VLOOKUP($A177,'Data shares'!$C:$FA,25)</f>
        <v>-0.3</v>
      </c>
    </row>
    <row r="178" spans="1:7" x14ac:dyDescent="0.25">
      <c r="A178" s="101" t="str">
        <f>'Data shares'!C174</f>
        <v>PGEL</v>
      </c>
      <c r="B178" s="144">
        <f>VLOOKUP($A178,'Data shares'!$C:$FA,7)</f>
        <v>788.9</v>
      </c>
      <c r="C178" s="144">
        <f>VLOOKUP($A178,'Data shares'!$C:$FA,3)</f>
        <v>789.5</v>
      </c>
      <c r="D178" s="144">
        <f>VLOOKUP($A178,'Data shares'!$C:$FA,23)</f>
        <v>0.6</v>
      </c>
      <c r="E178" s="145">
        <f>VLOOKUP($A178,'Data shares'!$C:$FA,26)*100</f>
        <v>0.08</v>
      </c>
      <c r="F178" s="144">
        <f>VLOOKUP($A178,'Data shares'!$C:$FA,24)</f>
        <v>3.2</v>
      </c>
      <c r="G178" s="144">
        <f>VLOOKUP($A178,'Data shares'!$C:$FA,25)</f>
        <v>-2.6</v>
      </c>
    </row>
    <row r="179" spans="1:7" x14ac:dyDescent="0.25">
      <c r="A179" s="101" t="str">
        <f>'Data shares'!C175</f>
        <v>PHOENIXLTD</v>
      </c>
      <c r="B179" s="144">
        <f>VLOOKUP($A179,'Data shares'!$C:$FA,7)</f>
        <v>1473.6</v>
      </c>
      <c r="C179" s="144">
        <f>VLOOKUP($A179,'Data shares'!$C:$FA,3)</f>
        <v>1476.1</v>
      </c>
      <c r="D179" s="144">
        <f>VLOOKUP($A179,'Data shares'!$C:$FA,23)</f>
        <v>2.5</v>
      </c>
      <c r="E179" s="145">
        <f>VLOOKUP($A179,'Data shares'!$C:$FA,26)*100</f>
        <v>0.16999999999999998</v>
      </c>
      <c r="F179" s="144">
        <f>VLOOKUP($A179,'Data shares'!$C:$FA,24)</f>
        <v>4.8</v>
      </c>
      <c r="G179" s="144">
        <f>VLOOKUP($A179,'Data shares'!$C:$FA,25)</f>
        <v>-2.2999999999999998</v>
      </c>
    </row>
    <row r="180" spans="1:7" x14ac:dyDescent="0.25">
      <c r="A180" s="101" t="str">
        <f>'Data shares'!C176</f>
        <v>PIDILITIND</v>
      </c>
      <c r="B180" s="144">
        <f>VLOOKUP($A180,'Data shares'!$C:$FA,7)</f>
        <v>2934.3</v>
      </c>
      <c r="C180" s="144">
        <f>VLOOKUP($A180,'Data shares'!$C:$FA,3)</f>
        <v>2920.9</v>
      </c>
      <c r="D180" s="144">
        <f>VLOOKUP($A180,'Data shares'!$C:$FA,23)</f>
        <v>-13.4</v>
      </c>
      <c r="E180" s="145">
        <f>VLOOKUP($A180,'Data shares'!$C:$FA,26)*100</f>
        <v>-0.45999999999999996</v>
      </c>
      <c r="F180" s="144">
        <f>VLOOKUP($A180,'Data shares'!$C:$FA,24)</f>
        <v>-12.4</v>
      </c>
      <c r="G180" s="144">
        <f>VLOOKUP($A180,'Data shares'!$C:$FA,25)</f>
        <v>-1</v>
      </c>
    </row>
    <row r="181" spans="1:7" x14ac:dyDescent="0.25">
      <c r="A181" s="101" t="str">
        <f>'Data shares'!C177</f>
        <v>PIIND</v>
      </c>
      <c r="B181" s="144">
        <f>VLOOKUP($A181,'Data shares'!$C:$FA,7)</f>
        <v>4080</v>
      </c>
      <c r="C181" s="144">
        <f>VLOOKUP($A181,'Data shares'!$C:$FA,3)</f>
        <v>4080</v>
      </c>
      <c r="D181" s="144">
        <f>VLOOKUP($A181,'Data shares'!$C:$FA,23)</f>
        <v>0</v>
      </c>
      <c r="E181" s="145">
        <f>VLOOKUP($A181,'Data shares'!$C:$FA,26)*100</f>
        <v>0</v>
      </c>
      <c r="F181" s="144">
        <f>VLOOKUP($A181,'Data shares'!$C:$FA,24)</f>
        <v>6.8</v>
      </c>
      <c r="G181" s="144">
        <f>VLOOKUP($A181,'Data shares'!$C:$FA,25)</f>
        <v>-6.8</v>
      </c>
    </row>
    <row r="182" spans="1:7" x14ac:dyDescent="0.25">
      <c r="A182" s="101" t="str">
        <f>'Data shares'!C178</f>
        <v>PNB</v>
      </c>
      <c r="B182" s="144">
        <f>VLOOKUP($A182,'Data shares'!$C:$FA,7)</f>
        <v>109.33</v>
      </c>
      <c r="C182" s="144">
        <f>VLOOKUP($A182,'Data shares'!$C:$FA,3)</f>
        <v>109.47</v>
      </c>
      <c r="D182" s="144">
        <f>VLOOKUP($A182,'Data shares'!$C:$FA,23)</f>
        <v>0.14000000000000001</v>
      </c>
      <c r="E182" s="145">
        <f>VLOOKUP($A182,'Data shares'!$C:$FA,26)*100</f>
        <v>0.13</v>
      </c>
      <c r="F182" s="144">
        <f>VLOOKUP($A182,'Data shares'!$C:$FA,24)</f>
        <v>0.13</v>
      </c>
      <c r="G182" s="144">
        <f>VLOOKUP($A182,'Data shares'!$C:$FA,25)</f>
        <v>0.01</v>
      </c>
    </row>
    <row r="183" spans="1:7" x14ac:dyDescent="0.25">
      <c r="A183" s="101" t="str">
        <f>'Data shares'!C179</f>
        <v>PNBHOUSING</v>
      </c>
      <c r="B183" s="144">
        <f>VLOOKUP($A183,'Data shares'!$C:$FA,7)</f>
        <v>1086.5999999999999</v>
      </c>
      <c r="C183" s="144">
        <f>VLOOKUP($A183,'Data shares'!$C:$FA,3)</f>
        <v>1087.8</v>
      </c>
      <c r="D183" s="144">
        <f>VLOOKUP($A183,'Data shares'!$C:$FA,23)</f>
        <v>1.2</v>
      </c>
      <c r="E183" s="145">
        <f>VLOOKUP($A183,'Data shares'!$C:$FA,26)*100</f>
        <v>0.11</v>
      </c>
      <c r="F183" s="144">
        <f>VLOOKUP($A183,'Data shares'!$C:$FA,24)</f>
        <v>5.3</v>
      </c>
      <c r="G183" s="144">
        <f>VLOOKUP($A183,'Data shares'!$C:$FA,25)</f>
        <v>-4.0999999999999996</v>
      </c>
    </row>
    <row r="184" spans="1:7" x14ac:dyDescent="0.25">
      <c r="A184" s="101" t="str">
        <f>'Data shares'!C180</f>
        <v>POLICYBZR</v>
      </c>
      <c r="B184" s="144">
        <f>VLOOKUP($A184,'Data shares'!$C:$FA,7)</f>
        <v>1820.8</v>
      </c>
      <c r="C184" s="144">
        <f>VLOOKUP($A184,'Data shares'!$C:$FA,3)</f>
        <v>1826.6</v>
      </c>
      <c r="D184" s="144">
        <f>VLOOKUP($A184,'Data shares'!$C:$FA,23)</f>
        <v>5.8</v>
      </c>
      <c r="E184" s="145">
        <f>VLOOKUP($A184,'Data shares'!$C:$FA,26)*100</f>
        <v>0.32</v>
      </c>
      <c r="F184" s="144">
        <f>VLOOKUP($A184,'Data shares'!$C:$FA,24)</f>
        <v>6.9</v>
      </c>
      <c r="G184" s="144">
        <f>VLOOKUP($A184,'Data shares'!$C:$FA,25)</f>
        <v>-1.1000000000000001</v>
      </c>
    </row>
    <row r="185" spans="1:7" x14ac:dyDescent="0.25">
      <c r="A185" s="101" t="str">
        <f>'Data shares'!C181</f>
        <v>POLYCAB</v>
      </c>
      <c r="B185" s="144">
        <f>VLOOKUP($A185,'Data shares'!$C:$FA,7)</f>
        <v>6960.5</v>
      </c>
      <c r="C185" s="144">
        <f>VLOOKUP($A185,'Data shares'!$C:$FA,3)</f>
        <v>6968.5</v>
      </c>
      <c r="D185" s="144">
        <f>VLOOKUP($A185,'Data shares'!$C:$FA,23)</f>
        <v>8</v>
      </c>
      <c r="E185" s="145">
        <f>VLOOKUP($A185,'Data shares'!$C:$FA,26)*100</f>
        <v>0.11</v>
      </c>
      <c r="F185" s="144">
        <f>VLOOKUP($A185,'Data shares'!$C:$FA,24)</f>
        <v>14.5</v>
      </c>
      <c r="G185" s="144">
        <f>VLOOKUP($A185,'Data shares'!$C:$FA,25)</f>
        <v>-6.5</v>
      </c>
    </row>
    <row r="186" spans="1:7" x14ac:dyDescent="0.25">
      <c r="A186" s="101" t="str">
        <f>'Data shares'!C182</f>
        <v>POONAWALLA</v>
      </c>
      <c r="B186" s="144">
        <f>VLOOKUP($A186,'Data shares'!$C:$FA,7)</f>
        <v>452.4</v>
      </c>
      <c r="C186" s="144">
        <f>VLOOKUP($A186,'Data shares'!$C:$FA,3)</f>
        <v>453.05</v>
      </c>
      <c r="D186" s="144">
        <f>VLOOKUP($A186,'Data shares'!$C:$FA,23)</f>
        <v>0.65</v>
      </c>
      <c r="E186" s="145">
        <f>VLOOKUP($A186,'Data shares'!$C:$FA,26)*100</f>
        <v>0.13999999999999999</v>
      </c>
      <c r="F186" s="144">
        <f>VLOOKUP($A186,'Data shares'!$C:$FA,24)</f>
        <v>2.15</v>
      </c>
      <c r="G186" s="144">
        <f>VLOOKUP($A186,'Data shares'!$C:$FA,25)</f>
        <v>-1.5</v>
      </c>
    </row>
    <row r="187" spans="1:7" x14ac:dyDescent="0.25">
      <c r="A187" s="101" t="str">
        <f>'Data shares'!C183</f>
        <v>POWERGRID</v>
      </c>
      <c r="B187" s="144">
        <f>VLOOKUP($A187,'Data shares'!$C:$FA,7)</f>
        <v>297.8</v>
      </c>
      <c r="C187" s="144">
        <f>VLOOKUP($A187,'Data shares'!$C:$FA,3)</f>
        <v>297.8</v>
      </c>
      <c r="D187" s="144">
        <f>VLOOKUP($A187,'Data shares'!$C:$FA,23)</f>
        <v>0</v>
      </c>
      <c r="E187" s="145">
        <f>VLOOKUP($A187,'Data shares'!$C:$FA,26)*100</f>
        <v>0</v>
      </c>
      <c r="F187" s="144">
        <f>VLOOKUP($A187,'Data shares'!$C:$FA,24)</f>
        <v>0.15</v>
      </c>
      <c r="G187" s="144">
        <f>VLOOKUP($A187,'Data shares'!$C:$FA,25)</f>
        <v>-0.15</v>
      </c>
    </row>
    <row r="188" spans="1:7" x14ac:dyDescent="0.25">
      <c r="A188" s="101" t="str">
        <f>'Data shares'!C184</f>
        <v>PPLPHARMA</v>
      </c>
      <c r="B188" s="144">
        <f>VLOOKUP($A188,'Data shares'!$C:$FA,7)</f>
        <v>205.3</v>
      </c>
      <c r="C188" s="144">
        <f>VLOOKUP($A188,'Data shares'!$C:$FA,3)</f>
        <v>205.39</v>
      </c>
      <c r="D188" s="144">
        <f>VLOOKUP($A188,'Data shares'!$C:$FA,23)</f>
        <v>0.09</v>
      </c>
      <c r="E188" s="145">
        <f>VLOOKUP($A188,'Data shares'!$C:$FA,26)*100</f>
        <v>0.04</v>
      </c>
      <c r="F188" s="144">
        <f>VLOOKUP($A188,'Data shares'!$C:$FA,24)</f>
        <v>0.14000000000000001</v>
      </c>
      <c r="G188" s="144">
        <f>VLOOKUP($A188,'Data shares'!$C:$FA,25)</f>
        <v>-0.05</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shares'!C232</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154" activePane="bottomLeft" state="frozen"/>
      <selection pane="bottomLeft" activeCell="A163" sqref="A163:IV163"/>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40" t="s">
        <v>371</v>
      </c>
      <c r="C4" s="240"/>
      <c r="D4" s="240"/>
      <c r="E4" s="240"/>
      <c r="F4" s="240"/>
      <c r="G4" s="240"/>
    </row>
    <row r="5" spans="1:7" x14ac:dyDescent="0.25">
      <c r="A5" s="317"/>
      <c r="B5" s="315" t="s">
        <v>372</v>
      </c>
      <c r="C5" s="315"/>
      <c r="D5" s="315"/>
      <c r="E5" s="315" t="s">
        <v>373</v>
      </c>
      <c r="F5" s="315"/>
      <c r="G5" s="315"/>
    </row>
    <row r="6" spans="1:7" x14ac:dyDescent="0.25">
      <c r="A6" s="240"/>
      <c r="B6" s="2" t="s">
        <v>374</v>
      </c>
      <c r="C6" s="2" t="s">
        <v>375</v>
      </c>
      <c r="D6" s="2" t="s">
        <v>376</v>
      </c>
      <c r="E6" s="2" t="s">
        <v>377</v>
      </c>
      <c r="F6" s="2" t="s">
        <v>378</v>
      </c>
      <c r="G6" s="2" t="s">
        <v>379</v>
      </c>
    </row>
    <row r="7" spans="1:7" x14ac:dyDescent="0.25">
      <c r="A7" s="49" t="str">
        <f>'Data shares'!C2</f>
        <v>360ONE</v>
      </c>
      <c r="B7" s="50">
        <f>VLOOKUP($A7,'Data shares'!$C:$FM,102)</f>
        <v>29.41</v>
      </c>
      <c r="C7" s="50">
        <f>VLOOKUP($A7,'Data shares'!$C:$FM,110)</f>
        <v>30.32</v>
      </c>
      <c r="D7" s="50">
        <f>VLOOKUP($A7,'Data shares'!$C:$FM,114)</f>
        <v>28.23</v>
      </c>
      <c r="E7" s="50">
        <f>VLOOKUP($A7,'Data shares'!$C:$FM,106)</f>
        <v>50.07</v>
      </c>
      <c r="F7" s="50">
        <f>VLOOKUP($A7,'Data shares'!$C:$FM,108)</f>
        <v>-20.66</v>
      </c>
      <c r="G7" s="50">
        <f t="shared" ref="G7:G38" si="0">B7/E7</f>
        <v>0.58737767126023566</v>
      </c>
    </row>
    <row r="8" spans="1:7" x14ac:dyDescent="0.25">
      <c r="A8" s="49" t="str">
        <f>'Data shares'!C3</f>
        <v>AARTIIND</v>
      </c>
      <c r="B8" s="50">
        <f>VLOOKUP($A8,'Data shares'!$C:$FM,102)</f>
        <v>41.19</v>
      </c>
      <c r="C8" s="50">
        <f>VLOOKUP($A8,'Data shares'!$C:$FM,110)</f>
        <v>43.95</v>
      </c>
      <c r="D8" s="50">
        <f>VLOOKUP($A8,'Data shares'!$C:$FM,114)</f>
        <v>35.78</v>
      </c>
      <c r="E8" s="50">
        <f>VLOOKUP($A8,'Data shares'!$C:$FM,106)</f>
        <v>44.3</v>
      </c>
      <c r="F8" s="50">
        <f>VLOOKUP($A8,'Data shares'!$C:$FM,108)</f>
        <v>-3.11</v>
      </c>
      <c r="G8" s="50">
        <f t="shared" si="0"/>
        <v>0.92979683972911964</v>
      </c>
    </row>
    <row r="9" spans="1:7" x14ac:dyDescent="0.25">
      <c r="A9" s="49" t="str">
        <f>'Data shares'!C4</f>
        <v>ABB</v>
      </c>
      <c r="B9" s="50">
        <f>VLOOKUP($A9,'Data shares'!$C:$FM,102)</f>
        <v>28.2</v>
      </c>
      <c r="C9" s="50">
        <f>VLOOKUP($A9,'Data shares'!$C:$FM,110)</f>
        <v>28.49</v>
      </c>
      <c r="D9" s="50">
        <f>VLOOKUP($A9,'Data shares'!$C:$FM,114)</f>
        <v>27.73</v>
      </c>
      <c r="E9" s="50">
        <f>VLOOKUP($A9,'Data shares'!$C:$FM,106)</f>
        <v>40.369999999999997</v>
      </c>
      <c r="F9" s="50">
        <f>VLOOKUP($A9,'Data shares'!$C:$FM,108)</f>
        <v>-12.17</v>
      </c>
      <c r="G9" s="50">
        <f t="shared" si="0"/>
        <v>0.69853851870200645</v>
      </c>
    </row>
    <row r="10" spans="1:7" x14ac:dyDescent="0.25">
      <c r="A10" s="49" t="str">
        <f>'Data shares'!C5</f>
        <v>ABCAPITAL</v>
      </c>
      <c r="B10" s="50">
        <f>VLOOKUP($A10,'Data shares'!$C:$FM,102)</f>
        <v>29.98</v>
      </c>
      <c r="C10" s="50">
        <f>VLOOKUP($A10,'Data shares'!$C:$FM,110)</f>
        <v>30.04</v>
      </c>
      <c r="D10" s="50">
        <f>VLOOKUP($A10,'Data shares'!$C:$FM,114)</f>
        <v>29.88</v>
      </c>
      <c r="E10" s="50">
        <f>VLOOKUP($A10,'Data shares'!$C:$FM,106)</f>
        <v>40.270000000000003</v>
      </c>
      <c r="F10" s="50">
        <f>VLOOKUP($A10,'Data shares'!$C:$FM,108)</f>
        <v>-10.29</v>
      </c>
      <c r="G10" s="50">
        <f t="shared" si="0"/>
        <v>0.7444747951328532</v>
      </c>
    </row>
    <row r="11" spans="1:7" x14ac:dyDescent="0.25">
      <c r="A11" s="49" t="str">
        <f>'Data shares'!C6</f>
        <v>ABFRL</v>
      </c>
      <c r="B11" s="50">
        <f>VLOOKUP($A11,'Data shares'!$C:$FM,102)</f>
        <v>32.35</v>
      </c>
      <c r="C11" s="50">
        <f>VLOOKUP($A11,'Data shares'!$C:$FM,110)</f>
        <v>33.47</v>
      </c>
      <c r="D11" s="50">
        <f>VLOOKUP($A11,'Data shares'!$C:$FM,114)</f>
        <v>28.01</v>
      </c>
      <c r="E11" s="50">
        <f>VLOOKUP($A11,'Data shares'!$C:$FM,106)</f>
        <v>43.73</v>
      </c>
      <c r="F11" s="50">
        <f>VLOOKUP($A11,'Data shares'!$C:$FM,108)</f>
        <v>-11.38</v>
      </c>
      <c r="G11" s="50">
        <f t="shared" si="0"/>
        <v>0.73976675051452101</v>
      </c>
    </row>
    <row r="12" spans="1:7" x14ac:dyDescent="0.25">
      <c r="A12" s="49" t="str">
        <f>'Data shares'!C7</f>
        <v>ACC</v>
      </c>
      <c r="B12" s="50">
        <f>VLOOKUP($A12,'Data shares'!$C:$FM,102)</f>
        <v>28.85</v>
      </c>
      <c r="C12" s="50">
        <f>VLOOKUP($A12,'Data shares'!$C:$FM,110)</f>
        <v>29.03</v>
      </c>
      <c r="D12" s="50">
        <f>VLOOKUP($A12,'Data shares'!$C:$FM,114)</f>
        <v>28.08</v>
      </c>
      <c r="E12" s="50">
        <f>VLOOKUP($A12,'Data shares'!$C:$FM,106)</f>
        <v>32.51</v>
      </c>
      <c r="F12" s="50">
        <f>VLOOKUP($A12,'Data shares'!$C:$FM,108)</f>
        <v>-3.66</v>
      </c>
      <c r="G12" s="50">
        <f t="shared" si="0"/>
        <v>0.88741925561365742</v>
      </c>
    </row>
    <row r="13" spans="1:7" x14ac:dyDescent="0.25">
      <c r="A13" s="49" t="str">
        <f>'Data shares'!C8</f>
        <v>ADANIENSOL</v>
      </c>
      <c r="B13" s="50">
        <f>VLOOKUP($A13,'Data shares'!$C:$FM,102)</f>
        <v>39.229999999999997</v>
      </c>
      <c r="C13" s="50">
        <f>VLOOKUP($A13,'Data shares'!$C:$FM,110)</f>
        <v>39.68</v>
      </c>
      <c r="D13" s="50">
        <f>VLOOKUP($A13,'Data shares'!$C:$FM,114)</f>
        <v>37.49</v>
      </c>
      <c r="E13" s="50">
        <f>VLOOKUP($A13,'Data shares'!$C:$FM,106)</f>
        <v>61.06</v>
      </c>
      <c r="F13" s="50">
        <f>VLOOKUP($A13,'Data shares'!$C:$FM,108)</f>
        <v>-21.83</v>
      </c>
      <c r="G13" s="50">
        <f t="shared" si="0"/>
        <v>0.64248280379954137</v>
      </c>
    </row>
    <row r="14" spans="1:7" x14ac:dyDescent="0.25">
      <c r="A14" s="49" t="str">
        <f>'Data shares'!C9</f>
        <v>ADANIENT</v>
      </c>
      <c r="B14" s="50">
        <f>VLOOKUP($A14,'Data shares'!$C:$FM,102)</f>
        <v>26.5</v>
      </c>
      <c r="C14" s="50">
        <f>VLOOKUP($A14,'Data shares'!$C:$FM,110)</f>
        <v>26.44</v>
      </c>
      <c r="D14" s="50">
        <f>VLOOKUP($A14,'Data shares'!$C:$FM,114)</f>
        <v>26.61</v>
      </c>
      <c r="E14" s="50">
        <f>VLOOKUP($A14,'Data shares'!$C:$FM,106)</f>
        <v>53.62</v>
      </c>
      <c r="F14" s="50">
        <f>VLOOKUP($A14,'Data shares'!$C:$FM,108)</f>
        <v>-27.12</v>
      </c>
      <c r="G14" s="50">
        <f t="shared" si="0"/>
        <v>0.49421857515852297</v>
      </c>
    </row>
    <row r="15" spans="1:7" x14ac:dyDescent="0.25">
      <c r="A15" s="49" t="str">
        <f>'Data shares'!C10</f>
        <v>ADANIGREEN</v>
      </c>
      <c r="B15" s="50">
        <f>VLOOKUP($A15,'Data shares'!$C:$FM,102)</f>
        <v>41.65</v>
      </c>
      <c r="C15" s="50">
        <f>VLOOKUP($A15,'Data shares'!$C:$FM,110)</f>
        <v>41.45</v>
      </c>
      <c r="D15" s="50">
        <f>VLOOKUP($A15,'Data shares'!$C:$FM,114)</f>
        <v>42.15</v>
      </c>
      <c r="E15" s="50">
        <f>VLOOKUP($A15,'Data shares'!$C:$FM,106)</f>
        <v>62.31</v>
      </c>
      <c r="F15" s="50">
        <f>VLOOKUP($A15,'Data shares'!$C:$FM,108)</f>
        <v>-20.66</v>
      </c>
      <c r="G15" s="50">
        <f t="shared" si="0"/>
        <v>0.66843203338147961</v>
      </c>
    </row>
    <row r="16" spans="1:7" x14ac:dyDescent="0.25">
      <c r="A16" s="49" t="str">
        <f>'Data shares'!C11</f>
        <v>ADANIPORTS</v>
      </c>
      <c r="B16" s="50">
        <f>VLOOKUP($A16,'Data shares'!$C:$FM,102)</f>
        <v>26.05</v>
      </c>
      <c r="C16" s="50">
        <f>VLOOKUP($A16,'Data shares'!$C:$FM,110)</f>
        <v>26.29</v>
      </c>
      <c r="D16" s="50">
        <f>VLOOKUP($A16,'Data shares'!$C:$FM,114)</f>
        <v>25.62</v>
      </c>
      <c r="E16" s="50">
        <f>VLOOKUP($A16,'Data shares'!$C:$FM,106)</f>
        <v>43.02</v>
      </c>
      <c r="F16" s="50">
        <f>VLOOKUP($A16,'Data shares'!$C:$FM,108)</f>
        <v>-16.97</v>
      </c>
      <c r="G16" s="50">
        <f t="shared" si="0"/>
        <v>0.60553231055323098</v>
      </c>
    </row>
    <row r="17" spans="1:7" x14ac:dyDescent="0.25">
      <c r="A17" s="49" t="str">
        <f>'Data shares'!C12</f>
        <v>ALKEM</v>
      </c>
      <c r="B17" s="50">
        <f>VLOOKUP($A17,'Data shares'!$C:$FM,102)</f>
        <v>20.76</v>
      </c>
      <c r="C17" s="50">
        <f>VLOOKUP($A17,'Data shares'!$C:$FM,110)</f>
        <v>20.96</v>
      </c>
      <c r="D17" s="50">
        <f>VLOOKUP($A17,'Data shares'!$C:$FM,114)</f>
        <v>20.16</v>
      </c>
      <c r="E17" s="50">
        <f>VLOOKUP($A17,'Data shares'!$C:$FM,106)</f>
        <v>28.97</v>
      </c>
      <c r="F17" s="50">
        <f>VLOOKUP($A17,'Data shares'!$C:$FM,108)</f>
        <v>-8.2100000000000009</v>
      </c>
      <c r="G17" s="50">
        <f t="shared" si="0"/>
        <v>0.71660338280980329</v>
      </c>
    </row>
    <row r="18" spans="1:7" x14ac:dyDescent="0.25">
      <c r="A18" s="49" t="str">
        <f>'Data shares'!C13</f>
        <v>AMBER</v>
      </c>
      <c r="B18" s="50">
        <f>VLOOKUP($A18,'Data shares'!$C:$FM,102)</f>
        <v>40.72</v>
      </c>
      <c r="C18" s="50">
        <f>VLOOKUP($A18,'Data shares'!$C:$FM,110)</f>
        <v>40.97</v>
      </c>
      <c r="D18" s="50">
        <f>VLOOKUP($A18,'Data shares'!$C:$FM,114)</f>
        <v>39.49</v>
      </c>
      <c r="E18" s="50">
        <f>VLOOKUP($A18,'Data shares'!$C:$FM,106)</f>
        <v>58.04</v>
      </c>
      <c r="F18" s="50">
        <f>VLOOKUP($A18,'Data shares'!$C:$FM,108)</f>
        <v>-17.32</v>
      </c>
      <c r="G18" s="50">
        <f t="shared" si="0"/>
        <v>0.70158511371467958</v>
      </c>
    </row>
    <row r="19" spans="1:7" x14ac:dyDescent="0.25">
      <c r="A19" s="49" t="str">
        <f>'Data shares'!C14</f>
        <v>AMBUJACEM</v>
      </c>
      <c r="B19" s="50">
        <f>VLOOKUP($A19,'Data shares'!$C:$FM,102)</f>
        <v>23.96</v>
      </c>
      <c r="C19" s="50">
        <f>VLOOKUP($A19,'Data shares'!$C:$FM,110)</f>
        <v>23.8</v>
      </c>
      <c r="D19" s="50">
        <f>VLOOKUP($A19,'Data shares'!$C:$FM,114)</f>
        <v>24.36</v>
      </c>
      <c r="E19" s="50">
        <f>VLOOKUP($A19,'Data shares'!$C:$FM,106)</f>
        <v>37.04</v>
      </c>
      <c r="F19" s="50">
        <f>VLOOKUP($A19,'Data shares'!$C:$FM,108)</f>
        <v>-13.08</v>
      </c>
      <c r="G19" s="50">
        <f t="shared" si="0"/>
        <v>0.64686825053995689</v>
      </c>
    </row>
    <row r="20" spans="1:7" x14ac:dyDescent="0.25">
      <c r="A20" s="49" t="str">
        <f>'Data shares'!C15</f>
        <v>ANGELONE</v>
      </c>
      <c r="B20" s="50">
        <f>VLOOKUP($A20,'Data shares'!$C:$FM,102)</f>
        <v>41.8</v>
      </c>
      <c r="C20" s="50">
        <f>VLOOKUP($A20,'Data shares'!$C:$FM,110)</f>
        <v>41.45</v>
      </c>
      <c r="D20" s="50">
        <f>VLOOKUP($A20,'Data shares'!$C:$FM,114)</f>
        <v>42.83</v>
      </c>
      <c r="E20" s="50">
        <f>VLOOKUP($A20,'Data shares'!$C:$FM,106)</f>
        <v>59.4</v>
      </c>
      <c r="F20" s="50">
        <f>VLOOKUP($A20,'Data shares'!$C:$FM,108)</f>
        <v>-17.600000000000001</v>
      </c>
      <c r="G20" s="50">
        <f t="shared" si="0"/>
        <v>0.70370370370370372</v>
      </c>
    </row>
    <row r="21" spans="1:7" x14ac:dyDescent="0.25">
      <c r="A21" s="49" t="str">
        <f>'Data shares'!C16</f>
        <v>APLAPOLLO</v>
      </c>
      <c r="B21" s="50">
        <f>VLOOKUP($A21,'Data shares'!$C:$FM,102)</f>
        <v>33.409999999999997</v>
      </c>
      <c r="C21" s="50">
        <f>VLOOKUP($A21,'Data shares'!$C:$FM,110)</f>
        <v>34.86</v>
      </c>
      <c r="D21" s="50">
        <f>VLOOKUP($A21,'Data shares'!$C:$FM,114)</f>
        <v>30.75</v>
      </c>
      <c r="E21" s="50">
        <f>VLOOKUP($A21,'Data shares'!$C:$FM,106)</f>
        <v>36.299999999999997</v>
      </c>
      <c r="F21" s="50">
        <f>VLOOKUP($A21,'Data shares'!$C:$FM,108)</f>
        <v>-2.89</v>
      </c>
      <c r="G21" s="50">
        <f t="shared" si="0"/>
        <v>0.92038567493112944</v>
      </c>
    </row>
    <row r="22" spans="1:7" x14ac:dyDescent="0.25">
      <c r="A22" s="49" t="str">
        <f>'Data shares'!C17</f>
        <v>APOLLOHOSP</v>
      </c>
      <c r="B22" s="50">
        <f>VLOOKUP($A22,'Data shares'!$C:$FM,102)</f>
        <v>19.14</v>
      </c>
      <c r="C22" s="50">
        <f>VLOOKUP($A22,'Data shares'!$C:$FM,110)</f>
        <v>19.86</v>
      </c>
      <c r="D22" s="50">
        <f>VLOOKUP($A22,'Data shares'!$C:$FM,114)</f>
        <v>17.600000000000001</v>
      </c>
      <c r="E22" s="50">
        <f>VLOOKUP($A22,'Data shares'!$C:$FM,106)</f>
        <v>26.66</v>
      </c>
      <c r="F22" s="50">
        <f>VLOOKUP($A22,'Data shares'!$C:$FM,108)</f>
        <v>-7.52</v>
      </c>
      <c r="G22" s="50">
        <f t="shared" si="0"/>
        <v>0.71792948237059262</v>
      </c>
    </row>
    <row r="23" spans="1:7" x14ac:dyDescent="0.25">
      <c r="A23" s="49" t="str">
        <f>'Data shares'!C18</f>
        <v>ASHOKLEY</v>
      </c>
      <c r="B23" s="50">
        <f>VLOOKUP($A23,'Data shares'!$C:$FM,102)</f>
        <v>25.02</v>
      </c>
      <c r="C23" s="50">
        <f>VLOOKUP($A23,'Data shares'!$C:$FM,110)</f>
        <v>25.67</v>
      </c>
      <c r="D23" s="50">
        <f>VLOOKUP($A23,'Data shares'!$C:$FM,114)</f>
        <v>24.06</v>
      </c>
      <c r="E23" s="50">
        <f>VLOOKUP($A23,'Data shares'!$C:$FM,106)</f>
        <v>35.42</v>
      </c>
      <c r="F23" s="50">
        <f>VLOOKUP($A23,'Data shares'!$C:$FM,108)</f>
        <v>-10.4</v>
      </c>
      <c r="G23" s="50">
        <f t="shared" si="0"/>
        <v>0.70638057594579329</v>
      </c>
    </row>
    <row r="24" spans="1:7" x14ac:dyDescent="0.25">
      <c r="A24" s="49" t="str">
        <f>'Data shares'!C19</f>
        <v>ASIANPAINT</v>
      </c>
      <c r="B24" s="50">
        <f>VLOOKUP($A24,'Data shares'!$C:$FM,102)</f>
        <v>24.83</v>
      </c>
      <c r="C24" s="50">
        <f>VLOOKUP($A24,'Data shares'!$C:$FM,110)</f>
        <v>25.32</v>
      </c>
      <c r="D24" s="50">
        <f>VLOOKUP($A24,'Data shares'!$C:$FM,114)</f>
        <v>23.57</v>
      </c>
      <c r="E24" s="50">
        <f>VLOOKUP($A24,'Data shares'!$C:$FM,106)</f>
        <v>24.35</v>
      </c>
      <c r="F24" s="50">
        <f>VLOOKUP($A24,'Data shares'!$C:$FM,108)</f>
        <v>0.48</v>
      </c>
      <c r="G24" s="50">
        <f t="shared" si="0"/>
        <v>1.0197125256673509</v>
      </c>
    </row>
    <row r="25" spans="1:7" x14ac:dyDescent="0.25">
      <c r="A25" s="49" t="str">
        <f>'Data shares'!C20</f>
        <v>ASTRAL</v>
      </c>
      <c r="B25" s="50">
        <f>VLOOKUP($A25,'Data shares'!$C:$FM,102)</f>
        <v>29.25</v>
      </c>
      <c r="C25" s="50">
        <f>VLOOKUP($A25,'Data shares'!$C:$FM,110)</f>
        <v>29.79</v>
      </c>
      <c r="D25" s="50">
        <f>VLOOKUP($A25,'Data shares'!$C:$FM,114)</f>
        <v>27.69</v>
      </c>
      <c r="E25" s="50">
        <f>VLOOKUP($A25,'Data shares'!$C:$FM,106)</f>
        <v>33.200000000000003</v>
      </c>
      <c r="F25" s="50">
        <f>VLOOKUP($A25,'Data shares'!$C:$FM,108)</f>
        <v>-3.95</v>
      </c>
      <c r="G25" s="50">
        <f t="shared" si="0"/>
        <v>0.88102409638554213</v>
      </c>
    </row>
    <row r="26" spans="1:7" x14ac:dyDescent="0.25">
      <c r="A26" s="49" t="str">
        <f>'Data shares'!C21</f>
        <v>ATGL</v>
      </c>
      <c r="B26" s="50">
        <f>VLOOKUP($A26,'Data shares'!$C:$FM,102)</f>
        <v>42.96</v>
      </c>
      <c r="C26" s="50">
        <f>VLOOKUP($A26,'Data shares'!$C:$FM,110)</f>
        <v>43.37</v>
      </c>
      <c r="D26" s="50">
        <f>VLOOKUP($A26,'Data shares'!$C:$FM,114)</f>
        <v>41.41</v>
      </c>
      <c r="E26" s="50">
        <f>VLOOKUP($A26,'Data shares'!$C:$FM,106)</f>
        <v>56.52</v>
      </c>
      <c r="F26" s="50">
        <f>VLOOKUP($A26,'Data shares'!$C:$FM,108)</f>
        <v>-13.56</v>
      </c>
      <c r="G26" s="50">
        <f t="shared" si="0"/>
        <v>0.76008492569002117</v>
      </c>
    </row>
    <row r="27" spans="1:7" x14ac:dyDescent="0.25">
      <c r="A27" s="49" t="str">
        <f>'Data shares'!C22</f>
        <v>AUBANK</v>
      </c>
      <c r="B27" s="50">
        <f>VLOOKUP($A27,'Data shares'!$C:$FM,102)</f>
        <v>30.07</v>
      </c>
      <c r="C27" s="50">
        <f>VLOOKUP($A27,'Data shares'!$C:$FM,110)</f>
        <v>31.5</v>
      </c>
      <c r="D27" s="50">
        <f>VLOOKUP($A27,'Data shares'!$C:$FM,114)</f>
        <v>27.7</v>
      </c>
      <c r="E27" s="50">
        <f>VLOOKUP($A27,'Data shares'!$C:$FM,106)</f>
        <v>38.85</v>
      </c>
      <c r="F27" s="50">
        <f>VLOOKUP($A27,'Data shares'!$C:$FM,108)</f>
        <v>-8.7799999999999994</v>
      </c>
      <c r="G27" s="50">
        <f t="shared" si="0"/>
        <v>0.774002574002574</v>
      </c>
    </row>
    <row r="28" spans="1:7" x14ac:dyDescent="0.25">
      <c r="A28" s="49" t="str">
        <f>'Data shares'!C23</f>
        <v>AUROPHARMA</v>
      </c>
      <c r="B28" s="50">
        <f>VLOOKUP($A28,'Data shares'!$C:$FM,102)</f>
        <v>30.45</v>
      </c>
      <c r="C28" s="50">
        <f>VLOOKUP($A28,'Data shares'!$C:$FM,110)</f>
        <v>32.06</v>
      </c>
      <c r="D28" s="50">
        <f>VLOOKUP($A28,'Data shares'!$C:$FM,114)</f>
        <v>28</v>
      </c>
      <c r="E28" s="50">
        <f>VLOOKUP($A28,'Data shares'!$C:$FM,106)</f>
        <v>35.53</v>
      </c>
      <c r="F28" s="50">
        <f>VLOOKUP($A28,'Data shares'!$C:$FM,108)</f>
        <v>-5.08</v>
      </c>
      <c r="G28" s="50">
        <f t="shared" si="0"/>
        <v>0.85702223473121297</v>
      </c>
    </row>
    <row r="29" spans="1:7" x14ac:dyDescent="0.25">
      <c r="A29" s="49" t="str">
        <f>'Data shares'!C24</f>
        <v>AXISBANK</v>
      </c>
      <c r="B29" s="50">
        <f>VLOOKUP($A29,'Data shares'!$C:$FM,102)</f>
        <v>19.77</v>
      </c>
      <c r="C29" s="50">
        <f>VLOOKUP($A29,'Data shares'!$C:$FM,110)</f>
        <v>20.329999999999998</v>
      </c>
      <c r="D29" s="50">
        <f>VLOOKUP($A29,'Data shares'!$C:$FM,114)</f>
        <v>18.510000000000002</v>
      </c>
      <c r="E29" s="50">
        <f>VLOOKUP($A29,'Data shares'!$C:$FM,106)</f>
        <v>28.51</v>
      </c>
      <c r="F29" s="50">
        <f>VLOOKUP($A29,'Data shares'!$C:$FM,108)</f>
        <v>-8.74</v>
      </c>
      <c r="G29" s="50">
        <f t="shared" si="0"/>
        <v>0.69344089793055064</v>
      </c>
    </row>
    <row r="30" spans="1:7" x14ac:dyDescent="0.25">
      <c r="A30" s="49" t="str">
        <f>'Data shares'!C25</f>
        <v>BAJAJ-AUTO</v>
      </c>
      <c r="B30" s="50">
        <f>VLOOKUP($A30,'Data shares'!$C:$FM,102)</f>
        <v>22.65</v>
      </c>
      <c r="C30" s="50">
        <f>VLOOKUP($A30,'Data shares'!$C:$FM,110)</f>
        <v>22.59</v>
      </c>
      <c r="D30" s="50">
        <f>VLOOKUP($A30,'Data shares'!$C:$FM,114)</f>
        <v>22.73</v>
      </c>
      <c r="E30" s="50">
        <f>VLOOKUP($A30,'Data shares'!$C:$FM,106)</f>
        <v>32.06</v>
      </c>
      <c r="F30" s="50">
        <f>VLOOKUP($A30,'Data shares'!$C:$FM,108)</f>
        <v>-9.41</v>
      </c>
      <c r="G30" s="50">
        <f t="shared" si="0"/>
        <v>0.70648783530879589</v>
      </c>
    </row>
    <row r="31" spans="1:7" x14ac:dyDescent="0.25">
      <c r="A31" s="49" t="str">
        <f>'Data shares'!C26</f>
        <v>BAJAJFINSV</v>
      </c>
      <c r="B31" s="50">
        <f>VLOOKUP($A31,'Data shares'!$C:$FM,102)</f>
        <v>27.18</v>
      </c>
      <c r="C31" s="50">
        <f>VLOOKUP($A31,'Data shares'!$C:$FM,110)</f>
        <v>26.3</v>
      </c>
      <c r="D31" s="50">
        <f>VLOOKUP($A31,'Data shares'!$C:$FM,114)</f>
        <v>28.67</v>
      </c>
      <c r="E31" s="50">
        <f>VLOOKUP($A31,'Data shares'!$C:$FM,106)</f>
        <v>30.17</v>
      </c>
      <c r="F31" s="50">
        <f>VLOOKUP($A31,'Data shares'!$C:$FM,108)</f>
        <v>-2.99</v>
      </c>
      <c r="G31" s="50">
        <f t="shared" si="0"/>
        <v>0.90089492873715604</v>
      </c>
    </row>
    <row r="32" spans="1:7" x14ac:dyDescent="0.25">
      <c r="A32" s="49" t="str">
        <f>'Data shares'!C27</f>
        <v>BAJFINANCE</v>
      </c>
      <c r="B32" s="50">
        <f>VLOOKUP($A32,'Data shares'!$C:$FM,102)</f>
        <v>32.06</v>
      </c>
      <c r="C32" s="50">
        <f>VLOOKUP($A32,'Data shares'!$C:$FM,110)</f>
        <v>31.48</v>
      </c>
      <c r="D32" s="50">
        <f>VLOOKUP($A32,'Data shares'!$C:$FM,114)</f>
        <v>33.03</v>
      </c>
      <c r="E32" s="50">
        <f>VLOOKUP($A32,'Data shares'!$C:$FM,106)</f>
        <v>31.02</v>
      </c>
      <c r="F32" s="50">
        <f>VLOOKUP($A32,'Data shares'!$C:$FM,108)</f>
        <v>1.04</v>
      </c>
      <c r="G32" s="50">
        <f t="shared" si="0"/>
        <v>1.0335267569310123</v>
      </c>
    </row>
    <row r="33" spans="1:7" x14ac:dyDescent="0.25">
      <c r="A33" s="49" t="str">
        <f>'Data shares'!C28</f>
        <v>BALKRISIND</v>
      </c>
      <c r="B33" s="50">
        <f>VLOOKUP($A33,'Data shares'!$C:$FM,102)</f>
        <v>32.64</v>
      </c>
      <c r="C33" s="50">
        <f>VLOOKUP($A33,'Data shares'!$C:$FM,110)</f>
        <v>32.75</v>
      </c>
      <c r="D33" s="50">
        <f>VLOOKUP($A33,'Data shares'!$C:$FM,114)</f>
        <v>32.409999999999997</v>
      </c>
      <c r="E33" s="50">
        <f>VLOOKUP($A33,'Data shares'!$C:$FM,106)</f>
        <v>33.799999999999997</v>
      </c>
      <c r="F33" s="50">
        <f>VLOOKUP($A33,'Data shares'!$C:$FM,108)</f>
        <v>-1.1599999999999999</v>
      </c>
      <c r="G33" s="50">
        <f t="shared" si="0"/>
        <v>0.96568047337278118</v>
      </c>
    </row>
    <row r="34" spans="1:7" x14ac:dyDescent="0.25">
      <c r="A34" s="49" t="str">
        <f>'Data shares'!C29</f>
        <v>BANDHANBNK</v>
      </c>
      <c r="B34" s="50">
        <f>VLOOKUP($A34,'Data shares'!$C:$FM,102)</f>
        <v>33.49</v>
      </c>
      <c r="C34" s="50">
        <f>VLOOKUP($A34,'Data shares'!$C:$FM,110)</f>
        <v>33.92</v>
      </c>
      <c r="D34" s="50">
        <f>VLOOKUP($A34,'Data shares'!$C:$FM,114)</f>
        <v>32.22</v>
      </c>
      <c r="E34" s="50">
        <f>VLOOKUP($A34,'Data shares'!$C:$FM,106)</f>
        <v>44.49</v>
      </c>
      <c r="F34" s="50">
        <f>VLOOKUP($A34,'Data shares'!$C:$FM,108)</f>
        <v>-11</v>
      </c>
      <c r="G34" s="50">
        <f t="shared" si="0"/>
        <v>0.75275342773657006</v>
      </c>
    </row>
    <row r="35" spans="1:7" x14ac:dyDescent="0.25">
      <c r="A35" s="49" t="str">
        <f>'Data shares'!C30</f>
        <v>BANKBARODA</v>
      </c>
      <c r="B35" s="50">
        <f>VLOOKUP($A35,'Data shares'!$C:$FM,102)</f>
        <v>35.94</v>
      </c>
      <c r="C35" s="50">
        <f>VLOOKUP($A35,'Data shares'!$C:$FM,110)</f>
        <v>36.130000000000003</v>
      </c>
      <c r="D35" s="50">
        <f>VLOOKUP($A35,'Data shares'!$C:$FM,114)</f>
        <v>35.729999999999997</v>
      </c>
      <c r="E35" s="50">
        <f>VLOOKUP($A35,'Data shares'!$C:$FM,106)</f>
        <v>38.659999999999997</v>
      </c>
      <c r="F35" s="50">
        <f>VLOOKUP($A35,'Data shares'!$C:$FM,108)</f>
        <v>-2.72</v>
      </c>
      <c r="G35" s="50">
        <f t="shared" si="0"/>
        <v>0.92964304190377656</v>
      </c>
    </row>
    <row r="36" spans="1:7" x14ac:dyDescent="0.25">
      <c r="A36" s="49" t="str">
        <f>'Data shares'!C31</f>
        <v>BANKINDIA</v>
      </c>
      <c r="B36" s="50">
        <f>VLOOKUP($A36,'Data shares'!$C:$FM,102)</f>
        <v>37.85</v>
      </c>
      <c r="C36" s="50">
        <f>VLOOKUP($A36,'Data shares'!$C:$FM,110)</f>
        <v>38.94</v>
      </c>
      <c r="D36" s="50">
        <f>VLOOKUP($A36,'Data shares'!$C:$FM,114)</f>
        <v>35.51</v>
      </c>
      <c r="E36" s="50">
        <f>VLOOKUP($A36,'Data shares'!$C:$FM,106)</f>
        <v>42.57</v>
      </c>
      <c r="F36" s="50">
        <f>VLOOKUP($A36,'Data shares'!$C:$FM,108)</f>
        <v>-4.72</v>
      </c>
      <c r="G36" s="50">
        <f t="shared" si="0"/>
        <v>0.88912379610054026</v>
      </c>
    </row>
    <row r="37" spans="1:7" x14ac:dyDescent="0.25">
      <c r="A37" s="49" t="str">
        <f>'Data shares'!C32</f>
        <v>BANKNIFTY</v>
      </c>
      <c r="B37" s="50">
        <f>VLOOKUP($A37,'Data shares'!$C:$FM,102)</f>
        <v>12.25</v>
      </c>
      <c r="C37" s="50">
        <f>VLOOKUP($A37,'Data shares'!$C:$FM,110)</f>
        <v>12.12</v>
      </c>
      <c r="D37" s="50">
        <f>VLOOKUP($A37,'Data shares'!$C:$FM,114)</f>
        <v>12.39</v>
      </c>
      <c r="E37" s="50">
        <f>VLOOKUP($A37,'Data shares'!$C:$FM,106)</f>
        <v>18.84</v>
      </c>
      <c r="F37" s="50">
        <f>VLOOKUP($A37,'Data shares'!$C:$FM,108)</f>
        <v>-6.59</v>
      </c>
      <c r="G37" s="50">
        <f t="shared" si="0"/>
        <v>0.6502123142250531</v>
      </c>
    </row>
    <row r="38" spans="1:7" x14ac:dyDescent="0.25">
      <c r="A38" s="49" t="str">
        <f>'Data shares'!C33</f>
        <v>BDL</v>
      </c>
      <c r="B38" s="50">
        <f>VLOOKUP($A38,'Data shares'!$C:$FM,102)</f>
        <v>42.1</v>
      </c>
      <c r="C38" s="50">
        <f>VLOOKUP($A38,'Data shares'!$C:$FM,110)</f>
        <v>43.46</v>
      </c>
      <c r="D38" s="50">
        <f>VLOOKUP($A38,'Data shares'!$C:$FM,114)</f>
        <v>37.950000000000003</v>
      </c>
      <c r="E38" s="50">
        <f>VLOOKUP($A38,'Data shares'!$C:$FM,106)</f>
        <v>56.45</v>
      </c>
      <c r="F38" s="50">
        <f>VLOOKUP($A38,'Data shares'!$C:$FM,108)</f>
        <v>-14.35</v>
      </c>
      <c r="G38" s="50">
        <f t="shared" si="0"/>
        <v>0.74579273693534098</v>
      </c>
    </row>
    <row r="39" spans="1:7" x14ac:dyDescent="0.25">
      <c r="A39" s="49" t="str">
        <f>'Data shares'!C34</f>
        <v>BEL</v>
      </c>
      <c r="B39" s="50">
        <f>VLOOKUP($A39,'Data shares'!$C:$FM,102)</f>
        <v>30.56</v>
      </c>
      <c r="C39" s="50">
        <f>VLOOKUP($A39,'Data shares'!$C:$FM,110)</f>
        <v>30.85</v>
      </c>
      <c r="D39" s="50">
        <f>VLOOKUP($A39,'Data shares'!$C:$FM,114)</f>
        <v>29.94</v>
      </c>
      <c r="E39" s="50">
        <f>VLOOKUP($A39,'Data shares'!$C:$FM,106)</f>
        <v>40.81</v>
      </c>
      <c r="F39" s="50">
        <f>VLOOKUP($A39,'Data shares'!$C:$FM,108)</f>
        <v>-10.25</v>
      </c>
      <c r="G39" s="50">
        <f t="shared" ref="G39:G70" si="1">B39/E39</f>
        <v>0.74883606959078652</v>
      </c>
    </row>
    <row r="40" spans="1:7" x14ac:dyDescent="0.25">
      <c r="A40" s="49" t="str">
        <f>'Data shares'!C35</f>
        <v>BHARATFORG</v>
      </c>
      <c r="B40" s="50">
        <f>VLOOKUP($A40,'Data shares'!$C:$FM,102)</f>
        <v>27.61</v>
      </c>
      <c r="C40" s="50">
        <f>VLOOKUP($A40,'Data shares'!$C:$FM,110)</f>
        <v>28.76</v>
      </c>
      <c r="D40" s="50">
        <f>VLOOKUP($A40,'Data shares'!$C:$FM,114)</f>
        <v>25.52</v>
      </c>
      <c r="E40" s="50">
        <f>VLOOKUP($A40,'Data shares'!$C:$FM,106)</f>
        <v>39.840000000000003</v>
      </c>
      <c r="F40" s="50">
        <f>VLOOKUP($A40,'Data shares'!$C:$FM,108)</f>
        <v>-12.23</v>
      </c>
      <c r="G40" s="50">
        <f t="shared" si="1"/>
        <v>0.69302208835341361</v>
      </c>
    </row>
    <row r="41" spans="1:7" x14ac:dyDescent="0.25">
      <c r="A41" s="49" t="str">
        <f>'Data shares'!C36</f>
        <v>BHARTIARTL</v>
      </c>
      <c r="B41" s="50">
        <f>VLOOKUP($A41,'Data shares'!$C:$FM,102)</f>
        <v>19.3</v>
      </c>
      <c r="C41" s="50">
        <f>VLOOKUP($A41,'Data shares'!$C:$FM,110)</f>
        <v>19.47</v>
      </c>
      <c r="D41" s="50">
        <f>VLOOKUP($A41,'Data shares'!$C:$FM,114)</f>
        <v>18.88</v>
      </c>
      <c r="E41" s="50">
        <f>VLOOKUP($A41,'Data shares'!$C:$FM,106)</f>
        <v>26.35</v>
      </c>
      <c r="F41" s="50">
        <f>VLOOKUP($A41,'Data shares'!$C:$FM,108)</f>
        <v>-7.05</v>
      </c>
      <c r="G41" s="50">
        <f t="shared" si="1"/>
        <v>0.73244781783681212</v>
      </c>
    </row>
    <row r="42" spans="1:7" x14ac:dyDescent="0.25">
      <c r="A42" s="49" t="str">
        <f>'Data shares'!C37</f>
        <v>BHEL</v>
      </c>
      <c r="B42" s="50">
        <f>VLOOKUP($A42,'Data shares'!$C:$FM,102)</f>
        <v>32.270000000000003</v>
      </c>
      <c r="C42" s="50">
        <f>VLOOKUP($A42,'Data shares'!$C:$FM,110)</f>
        <v>33.25</v>
      </c>
      <c r="D42" s="50">
        <f>VLOOKUP($A42,'Data shares'!$C:$FM,114)</f>
        <v>30.46</v>
      </c>
      <c r="E42" s="50">
        <f>VLOOKUP($A42,'Data shares'!$C:$FM,106)</f>
        <v>49.32</v>
      </c>
      <c r="F42" s="50">
        <f>VLOOKUP($A42,'Data shares'!$C:$FM,108)</f>
        <v>-17.05</v>
      </c>
      <c r="G42" s="50">
        <f t="shared" si="1"/>
        <v>0.65429845904298467</v>
      </c>
    </row>
    <row r="43" spans="1:7" x14ac:dyDescent="0.25">
      <c r="A43" s="49" t="str">
        <f>'Data shares'!C38</f>
        <v>BIOCON</v>
      </c>
      <c r="B43" s="50">
        <f>VLOOKUP($A43,'Data shares'!$C:$FM,102)</f>
        <v>30.2</v>
      </c>
      <c r="C43" s="50">
        <f>VLOOKUP($A43,'Data shares'!$C:$FM,110)</f>
        <v>30.92</v>
      </c>
      <c r="D43" s="50">
        <f>VLOOKUP($A43,'Data shares'!$C:$FM,114)</f>
        <v>29</v>
      </c>
      <c r="E43" s="50">
        <f>VLOOKUP($A43,'Data shares'!$C:$FM,106)</f>
        <v>41.31</v>
      </c>
      <c r="F43" s="50">
        <f>VLOOKUP($A43,'Data shares'!$C:$FM,108)</f>
        <v>-11.11</v>
      </c>
      <c r="G43" s="50">
        <f t="shared" si="1"/>
        <v>0.73105785524086175</v>
      </c>
    </row>
    <row r="44" spans="1:7" x14ac:dyDescent="0.25">
      <c r="A44" s="49" t="str">
        <f>'Data shares'!C39</f>
        <v>BLUESTARCO</v>
      </c>
      <c r="B44" s="50">
        <f>VLOOKUP($A44,'Data shares'!$C:$FM,102)</f>
        <v>32.5</v>
      </c>
      <c r="C44" s="50">
        <f>VLOOKUP($A44,'Data shares'!$C:$FM,110)</f>
        <v>34.76</v>
      </c>
      <c r="D44" s="50">
        <f>VLOOKUP($A44,'Data shares'!$C:$FM,114)</f>
        <v>29.84</v>
      </c>
      <c r="E44" s="50">
        <f>VLOOKUP($A44,'Data shares'!$C:$FM,106)</f>
        <v>45.1</v>
      </c>
      <c r="F44" s="50">
        <f>VLOOKUP($A44,'Data shares'!$C:$FM,108)</f>
        <v>-12.6</v>
      </c>
      <c r="G44" s="50">
        <f t="shared" si="1"/>
        <v>0.72062084257206205</v>
      </c>
    </row>
    <row r="45" spans="1:7" x14ac:dyDescent="0.25">
      <c r="A45" s="49" t="str">
        <f>'Data shares'!C40</f>
        <v>BOSCHLTD</v>
      </c>
      <c r="B45" s="50">
        <f>VLOOKUP($A45,'Data shares'!$C:$FM,102)</f>
        <v>31.64</v>
      </c>
      <c r="C45" s="50">
        <f>VLOOKUP($A45,'Data shares'!$C:$FM,110)</f>
        <v>32.270000000000003</v>
      </c>
      <c r="D45" s="50">
        <f>VLOOKUP($A45,'Data shares'!$C:$FM,114)</f>
        <v>30.43</v>
      </c>
      <c r="E45" s="50">
        <f>VLOOKUP($A45,'Data shares'!$C:$FM,106)</f>
        <v>29.64</v>
      </c>
      <c r="F45" s="50">
        <f>VLOOKUP($A45,'Data shares'!$C:$FM,108)</f>
        <v>2</v>
      </c>
      <c r="G45" s="50">
        <f t="shared" si="1"/>
        <v>1.0674763832658569</v>
      </c>
    </row>
    <row r="46" spans="1:7" x14ac:dyDescent="0.25">
      <c r="A46" s="49" t="str">
        <f>'Data shares'!C41</f>
        <v>BPCL</v>
      </c>
      <c r="B46" s="50">
        <f>VLOOKUP($A46,'Data shares'!$C:$FM,102)</f>
        <v>28.21</v>
      </c>
      <c r="C46" s="50">
        <f>VLOOKUP($A46,'Data shares'!$C:$FM,110)</f>
        <v>29.02</v>
      </c>
      <c r="D46" s="50">
        <f>VLOOKUP($A46,'Data shares'!$C:$FM,114)</f>
        <v>26.7</v>
      </c>
      <c r="E46" s="50">
        <f>VLOOKUP($A46,'Data shares'!$C:$FM,106)</f>
        <v>36.01</v>
      </c>
      <c r="F46" s="50">
        <f>VLOOKUP($A46,'Data shares'!$C:$FM,108)</f>
        <v>-7.8</v>
      </c>
      <c r="G46" s="50">
        <f t="shared" si="1"/>
        <v>0.78339350180505418</v>
      </c>
    </row>
    <row r="47" spans="1:7" x14ac:dyDescent="0.25">
      <c r="A47" s="49" t="str">
        <f>'Data shares'!C42</f>
        <v>BRITANNIA</v>
      </c>
      <c r="B47" s="50">
        <f>VLOOKUP($A47,'Data shares'!$C:$FM,102)</f>
        <v>20.94</v>
      </c>
      <c r="C47" s="50">
        <f>VLOOKUP($A47,'Data shares'!$C:$FM,110)</f>
        <v>21</v>
      </c>
      <c r="D47" s="50">
        <f>VLOOKUP($A47,'Data shares'!$C:$FM,114)</f>
        <v>20.81</v>
      </c>
      <c r="E47" s="50">
        <f>VLOOKUP($A47,'Data shares'!$C:$FM,106)</f>
        <v>23.96</v>
      </c>
      <c r="F47" s="50">
        <f>VLOOKUP($A47,'Data shares'!$C:$FM,108)</f>
        <v>-3.02</v>
      </c>
      <c r="G47" s="50">
        <f t="shared" si="1"/>
        <v>0.87395659432387318</v>
      </c>
    </row>
    <row r="48" spans="1:7" x14ac:dyDescent="0.25">
      <c r="A48" s="49" t="str">
        <f>'Data shares'!C43</f>
        <v>BSE</v>
      </c>
      <c r="B48" s="50">
        <f>VLOOKUP($A48,'Data shares'!$C:$FM,102)</f>
        <v>47.01</v>
      </c>
      <c r="C48" s="50">
        <f>VLOOKUP($A48,'Data shares'!$C:$FM,110)</f>
        <v>47.51</v>
      </c>
      <c r="D48" s="50">
        <f>VLOOKUP($A48,'Data shares'!$C:$FM,114)</f>
        <v>46.06</v>
      </c>
      <c r="E48" s="50">
        <f>VLOOKUP($A48,'Data shares'!$C:$FM,106)</f>
        <v>67.94</v>
      </c>
      <c r="F48" s="50">
        <f>VLOOKUP($A48,'Data shares'!$C:$FM,108)</f>
        <v>-20.93</v>
      </c>
      <c r="G48" s="50">
        <f t="shared" si="1"/>
        <v>0.69193405946423314</v>
      </c>
    </row>
    <row r="49" spans="1:7" x14ac:dyDescent="0.25">
      <c r="A49" s="49" t="str">
        <f>'Data shares'!C44</f>
        <v>BSOFT</v>
      </c>
      <c r="B49" s="50">
        <f>VLOOKUP($A49,'Data shares'!$C:$FM,102)</f>
        <v>40.020000000000003</v>
      </c>
      <c r="C49" s="50">
        <f>VLOOKUP($A49,'Data shares'!$C:$FM,110)</f>
        <v>41.44</v>
      </c>
      <c r="D49" s="50">
        <f>VLOOKUP($A49,'Data shares'!$C:$FM,114)</f>
        <v>34.14</v>
      </c>
      <c r="E49" s="50">
        <f>VLOOKUP($A49,'Data shares'!$C:$FM,106)</f>
        <v>40.98</v>
      </c>
      <c r="F49" s="50">
        <f>VLOOKUP($A49,'Data shares'!$C:$FM,108)</f>
        <v>-0.96</v>
      </c>
      <c r="G49" s="50">
        <f t="shared" si="1"/>
        <v>0.97657393850658869</v>
      </c>
    </row>
    <row r="50" spans="1:7" x14ac:dyDescent="0.25">
      <c r="A50" s="49" t="str">
        <f>'Data shares'!C45</f>
        <v>CAMS</v>
      </c>
      <c r="B50" s="50">
        <f>VLOOKUP($A50,'Data shares'!$C:$FM,102)</f>
        <v>33.67</v>
      </c>
      <c r="C50" s="50">
        <f>VLOOKUP($A50,'Data shares'!$C:$FM,110)</f>
        <v>33.29</v>
      </c>
      <c r="D50" s="50">
        <f>VLOOKUP($A50,'Data shares'!$C:$FM,114)</f>
        <v>34.630000000000003</v>
      </c>
      <c r="E50" s="50">
        <f>VLOOKUP($A50,'Data shares'!$C:$FM,106)</f>
        <v>45.78</v>
      </c>
      <c r="F50" s="50">
        <f>VLOOKUP($A50,'Data shares'!$C:$FM,108)</f>
        <v>-12.11</v>
      </c>
      <c r="G50" s="50">
        <f t="shared" si="1"/>
        <v>0.73547400611620795</v>
      </c>
    </row>
    <row r="51" spans="1:7" x14ac:dyDescent="0.25">
      <c r="A51" s="49" t="str">
        <f>'Data shares'!C46</f>
        <v>CANBK</v>
      </c>
      <c r="B51" s="50">
        <f>VLOOKUP($A51,'Data shares'!$C:$FM,102)</f>
        <v>45.94</v>
      </c>
      <c r="C51" s="50">
        <f>VLOOKUP($A51,'Data shares'!$C:$FM,110)</f>
        <v>47.49</v>
      </c>
      <c r="D51" s="50">
        <f>VLOOKUP($A51,'Data shares'!$C:$FM,114)</f>
        <v>42.65</v>
      </c>
      <c r="E51" s="50">
        <f>VLOOKUP($A51,'Data shares'!$C:$FM,106)</f>
        <v>39.65</v>
      </c>
      <c r="F51" s="50">
        <f>VLOOKUP($A51,'Data shares'!$C:$FM,108)</f>
        <v>6.29</v>
      </c>
      <c r="G51" s="50">
        <f t="shared" si="1"/>
        <v>1.1586380832282472</v>
      </c>
    </row>
    <row r="52" spans="1:7" x14ac:dyDescent="0.25">
      <c r="A52" s="49" t="str">
        <f>'Data shares'!C47</f>
        <v>CDSL</v>
      </c>
      <c r="B52" s="50">
        <f>VLOOKUP($A52,'Data shares'!$C:$FM,102)</f>
        <v>40.19</v>
      </c>
      <c r="C52" s="50">
        <f>VLOOKUP($A52,'Data shares'!$C:$FM,110)</f>
        <v>40.74</v>
      </c>
      <c r="D52" s="50">
        <f>VLOOKUP($A52,'Data shares'!$C:$FM,114)</f>
        <v>38.54</v>
      </c>
      <c r="E52" s="50">
        <f>VLOOKUP($A52,'Data shares'!$C:$FM,106)</f>
        <v>51.25</v>
      </c>
      <c r="F52" s="50">
        <f>VLOOKUP($A52,'Data shares'!$C:$FM,108)</f>
        <v>-11.06</v>
      </c>
      <c r="G52" s="50">
        <f t="shared" si="1"/>
        <v>0.78419512195121943</v>
      </c>
    </row>
    <row r="53" spans="1:7" x14ac:dyDescent="0.25">
      <c r="A53" s="49" t="str">
        <f>'Data shares'!C48</f>
        <v>CESC</v>
      </c>
      <c r="B53" s="50">
        <f>VLOOKUP($A53,'Data shares'!$C:$FM,102)</f>
        <v>29.59</v>
      </c>
      <c r="C53" s="50">
        <f>VLOOKUP($A53,'Data shares'!$C:$FM,110)</f>
        <v>30.36</v>
      </c>
      <c r="D53" s="50">
        <f>VLOOKUP($A53,'Data shares'!$C:$FM,114)</f>
        <v>26.54</v>
      </c>
      <c r="E53" s="50">
        <f>VLOOKUP($A53,'Data shares'!$C:$FM,106)</f>
        <v>43.4</v>
      </c>
      <c r="F53" s="50">
        <f>VLOOKUP($A53,'Data shares'!$C:$FM,108)</f>
        <v>-13.81</v>
      </c>
      <c r="G53" s="50">
        <f t="shared" si="1"/>
        <v>0.68179723502304146</v>
      </c>
    </row>
    <row r="54" spans="1:7" x14ac:dyDescent="0.25">
      <c r="A54" s="49" t="str">
        <f>'Data shares'!C49</f>
        <v>CGPOWER</v>
      </c>
      <c r="B54" s="50">
        <f>VLOOKUP($A54,'Data shares'!$C:$FM,102)</f>
        <v>40.880000000000003</v>
      </c>
      <c r="C54" s="50">
        <f>VLOOKUP($A54,'Data shares'!$C:$FM,110)</f>
        <v>40.700000000000003</v>
      </c>
      <c r="D54" s="50">
        <f>VLOOKUP($A54,'Data shares'!$C:$FM,114)</f>
        <v>41.37</v>
      </c>
      <c r="E54" s="50">
        <f>VLOOKUP($A54,'Data shares'!$C:$FM,106)</f>
        <v>45.45</v>
      </c>
      <c r="F54" s="50">
        <f>VLOOKUP($A54,'Data shares'!$C:$FM,108)</f>
        <v>-4.57</v>
      </c>
      <c r="G54" s="50">
        <f t="shared" si="1"/>
        <v>0.89944994499449948</v>
      </c>
    </row>
    <row r="55" spans="1:7" x14ac:dyDescent="0.25">
      <c r="A55" s="49" t="str">
        <f>'Data shares'!C50</f>
        <v>CHAMBLFERT</v>
      </c>
      <c r="B55" s="50">
        <f>VLOOKUP($A55,'Data shares'!$C:$FM,102)</f>
        <v>31.13</v>
      </c>
      <c r="C55" s="50">
        <f>VLOOKUP($A55,'Data shares'!$C:$FM,110)</f>
        <v>31.73</v>
      </c>
      <c r="D55" s="50">
        <f>VLOOKUP($A55,'Data shares'!$C:$FM,114)</f>
        <v>28.96</v>
      </c>
      <c r="E55" s="50">
        <f>VLOOKUP($A55,'Data shares'!$C:$FM,106)</f>
        <v>46.43</v>
      </c>
      <c r="F55" s="50">
        <f>VLOOKUP($A55,'Data shares'!$C:$FM,108)</f>
        <v>-15.3</v>
      </c>
      <c r="G55" s="50">
        <f t="shared" si="1"/>
        <v>0.67047167779452943</v>
      </c>
    </row>
    <row r="56" spans="1:7" x14ac:dyDescent="0.25">
      <c r="A56" s="49" t="str">
        <f>'Data shares'!C51</f>
        <v>CHOLAFIN</v>
      </c>
      <c r="B56" s="50">
        <f>VLOOKUP($A56,'Data shares'!$C:$FM,102)</f>
        <v>29.28</v>
      </c>
      <c r="C56" s="50">
        <f>VLOOKUP($A56,'Data shares'!$C:$FM,110)</f>
        <v>29.46</v>
      </c>
      <c r="D56" s="50">
        <f>VLOOKUP($A56,'Data shares'!$C:$FM,114)</f>
        <v>28.92</v>
      </c>
      <c r="E56" s="50">
        <f>VLOOKUP($A56,'Data shares'!$C:$FM,106)</f>
        <v>40.43</v>
      </c>
      <c r="F56" s="50">
        <f>VLOOKUP($A56,'Data shares'!$C:$FM,108)</f>
        <v>-11.15</v>
      </c>
      <c r="G56" s="50">
        <f t="shared" si="1"/>
        <v>0.72421469206035127</v>
      </c>
    </row>
    <row r="57" spans="1:7" x14ac:dyDescent="0.25">
      <c r="A57" s="49" t="str">
        <f>'Data shares'!C52</f>
        <v>CIPLA</v>
      </c>
      <c r="B57" s="50">
        <f>VLOOKUP($A57,'Data shares'!$C:$FM,102)</f>
        <v>26.72</v>
      </c>
      <c r="C57" s="50">
        <f>VLOOKUP($A57,'Data shares'!$C:$FM,110)</f>
        <v>26.99</v>
      </c>
      <c r="D57" s="50">
        <f>VLOOKUP($A57,'Data shares'!$C:$FM,114)</f>
        <v>26.35</v>
      </c>
      <c r="E57" s="50">
        <f>VLOOKUP($A57,'Data shares'!$C:$FM,106)</f>
        <v>27.16</v>
      </c>
      <c r="F57" s="50">
        <f>VLOOKUP($A57,'Data shares'!$C:$FM,108)</f>
        <v>-0.44</v>
      </c>
      <c r="G57" s="50">
        <f t="shared" si="1"/>
        <v>0.98379970544918993</v>
      </c>
    </row>
    <row r="58" spans="1:7" x14ac:dyDescent="0.25">
      <c r="A58" s="49" t="str">
        <f>'Data shares'!C53</f>
        <v>COALINDIA</v>
      </c>
      <c r="B58" s="50">
        <f>VLOOKUP($A58,'Data shares'!$C:$FM,102)</f>
        <v>18.920000000000002</v>
      </c>
      <c r="C58" s="50">
        <f>VLOOKUP($A58,'Data shares'!$C:$FM,110)</f>
        <v>18.38</v>
      </c>
      <c r="D58" s="50">
        <f>VLOOKUP($A58,'Data shares'!$C:$FM,114)</f>
        <v>19.93</v>
      </c>
      <c r="E58" s="50">
        <f>VLOOKUP($A58,'Data shares'!$C:$FM,106)</f>
        <v>31.95</v>
      </c>
      <c r="F58" s="50">
        <f>VLOOKUP($A58,'Data shares'!$C:$FM,108)</f>
        <v>-13.03</v>
      </c>
      <c r="G58" s="50">
        <f t="shared" si="1"/>
        <v>0.5921752738654148</v>
      </c>
    </row>
    <row r="59" spans="1:7" x14ac:dyDescent="0.25">
      <c r="A59" s="49" t="str">
        <f>'Data shares'!C54</f>
        <v>COFORGE</v>
      </c>
      <c r="B59" s="50">
        <f>VLOOKUP($A59,'Data shares'!$C:$FM,102)</f>
        <v>46.43</v>
      </c>
      <c r="C59" s="50">
        <f>VLOOKUP($A59,'Data shares'!$C:$FM,110)</f>
        <v>46.67</v>
      </c>
      <c r="D59" s="50">
        <f>VLOOKUP($A59,'Data shares'!$C:$FM,114)</f>
        <v>45.76</v>
      </c>
      <c r="E59" s="50">
        <f>VLOOKUP($A59,'Data shares'!$C:$FM,106)</f>
        <v>42.3</v>
      </c>
      <c r="F59" s="50">
        <f>VLOOKUP($A59,'Data shares'!$C:$FM,108)</f>
        <v>4.13</v>
      </c>
      <c r="G59" s="50">
        <f t="shared" si="1"/>
        <v>1.0976359338061465</v>
      </c>
    </row>
    <row r="60" spans="1:7" x14ac:dyDescent="0.25">
      <c r="A60" s="49" t="str">
        <f>'Data shares'!C55</f>
        <v>COLPAL</v>
      </c>
      <c r="B60" s="50">
        <f>VLOOKUP($A60,'Data shares'!$C:$FM,102)</f>
        <v>24.48</v>
      </c>
      <c r="C60" s="50">
        <f>VLOOKUP($A60,'Data shares'!$C:$FM,110)</f>
        <v>24.81</v>
      </c>
      <c r="D60" s="50">
        <f>VLOOKUP($A60,'Data shares'!$C:$FM,114)</f>
        <v>23.96</v>
      </c>
      <c r="E60" s="50">
        <f>VLOOKUP($A60,'Data shares'!$C:$FM,106)</f>
        <v>28.73</v>
      </c>
      <c r="F60" s="50">
        <f>VLOOKUP($A60,'Data shares'!$C:$FM,108)</f>
        <v>-4.25</v>
      </c>
      <c r="G60" s="50">
        <f t="shared" si="1"/>
        <v>0.85207100591715978</v>
      </c>
    </row>
    <row r="61" spans="1:7" x14ac:dyDescent="0.25">
      <c r="A61" s="49" t="str">
        <f>'Data shares'!C56</f>
        <v>CONCOR</v>
      </c>
      <c r="B61" s="50">
        <f>VLOOKUP($A61,'Data shares'!$C:$FM,102)</f>
        <v>25.25</v>
      </c>
      <c r="C61" s="50">
        <f>VLOOKUP($A61,'Data shares'!$C:$FM,110)</f>
        <v>25.18</v>
      </c>
      <c r="D61" s="50">
        <f>VLOOKUP($A61,'Data shares'!$C:$FM,114)</f>
        <v>25.42</v>
      </c>
      <c r="E61" s="50">
        <f>VLOOKUP($A61,'Data shares'!$C:$FM,106)</f>
        <v>39.56</v>
      </c>
      <c r="F61" s="50">
        <f>VLOOKUP($A61,'Data shares'!$C:$FM,108)</f>
        <v>-14.31</v>
      </c>
      <c r="G61" s="50">
        <f t="shared" si="1"/>
        <v>0.63827098078867539</v>
      </c>
    </row>
    <row r="62" spans="1:7" x14ac:dyDescent="0.25">
      <c r="A62" s="49" t="str">
        <f>'Data shares'!C57</f>
        <v>CROMPTON</v>
      </c>
      <c r="B62" s="50">
        <f>VLOOKUP($A62,'Data shares'!$C:$FM,102)</f>
        <v>30.67</v>
      </c>
      <c r="C62" s="50">
        <f>VLOOKUP($A62,'Data shares'!$C:$FM,110)</f>
        <v>31.39</v>
      </c>
      <c r="D62" s="50">
        <f>VLOOKUP($A62,'Data shares'!$C:$FM,114)</f>
        <v>29.14</v>
      </c>
      <c r="E62" s="50">
        <f>VLOOKUP($A62,'Data shares'!$C:$FM,106)</f>
        <v>35.57</v>
      </c>
      <c r="F62" s="50">
        <f>VLOOKUP($A62,'Data shares'!$C:$FM,108)</f>
        <v>-4.9000000000000004</v>
      </c>
      <c r="G62" s="50">
        <f t="shared" si="1"/>
        <v>0.86224346359291537</v>
      </c>
    </row>
    <row r="63" spans="1:7" x14ac:dyDescent="0.25">
      <c r="A63" s="49" t="str">
        <f>'Data shares'!C58</f>
        <v>CUMMINSIND</v>
      </c>
      <c r="B63" s="50">
        <f>VLOOKUP($A63,'Data shares'!$C:$FM,102)</f>
        <v>26.25</v>
      </c>
      <c r="C63" s="50">
        <f>VLOOKUP($A63,'Data shares'!$C:$FM,110)</f>
        <v>26.31</v>
      </c>
      <c r="D63" s="50">
        <f>VLOOKUP($A63,'Data shares'!$C:$FM,114)</f>
        <v>26.16</v>
      </c>
      <c r="E63" s="50">
        <f>VLOOKUP($A63,'Data shares'!$C:$FM,106)</f>
        <v>38.83</v>
      </c>
      <c r="F63" s="50">
        <f>VLOOKUP($A63,'Data shares'!$C:$FM,108)</f>
        <v>-12.58</v>
      </c>
      <c r="G63" s="50">
        <f t="shared" si="1"/>
        <v>0.67602369302086018</v>
      </c>
    </row>
    <row r="64" spans="1:7" x14ac:dyDescent="0.25">
      <c r="A64" s="49" t="str">
        <f>'Data shares'!C59</f>
        <v>CYIENT</v>
      </c>
      <c r="B64" s="50">
        <f>VLOOKUP($A64,'Data shares'!$C:$FM,102)</f>
        <v>48.67</v>
      </c>
      <c r="C64" s="50">
        <f>VLOOKUP($A64,'Data shares'!$C:$FM,110)</f>
        <v>46.73</v>
      </c>
      <c r="D64" s="50">
        <f>VLOOKUP($A64,'Data shares'!$C:$FM,114)</f>
        <v>51.69</v>
      </c>
      <c r="E64" s="50">
        <f>VLOOKUP($A64,'Data shares'!$C:$FM,106)</f>
        <v>47.85</v>
      </c>
      <c r="F64" s="50">
        <f>VLOOKUP($A64,'Data shares'!$C:$FM,108)</f>
        <v>0.82</v>
      </c>
      <c r="G64" s="50">
        <f t="shared" si="1"/>
        <v>1.0171368861024033</v>
      </c>
    </row>
    <row r="65" spans="1:7" x14ac:dyDescent="0.25">
      <c r="A65" s="49" t="str">
        <f>'Data shares'!C60</f>
        <v>DABUR</v>
      </c>
      <c r="B65" s="50">
        <f>VLOOKUP($A65,'Data shares'!$C:$FM,102)</f>
        <v>17.97</v>
      </c>
      <c r="C65" s="50">
        <f>VLOOKUP($A65,'Data shares'!$C:$FM,110)</f>
        <v>18.23</v>
      </c>
      <c r="D65" s="50">
        <f>VLOOKUP($A65,'Data shares'!$C:$FM,114)</f>
        <v>17.350000000000001</v>
      </c>
      <c r="E65" s="50">
        <f>VLOOKUP($A65,'Data shares'!$C:$FM,106)</f>
        <v>25.27</v>
      </c>
      <c r="F65" s="50">
        <f>VLOOKUP($A65,'Data shares'!$C:$FM,108)</f>
        <v>-7.3</v>
      </c>
      <c r="G65" s="50">
        <f t="shared" si="1"/>
        <v>0.7111199050257222</v>
      </c>
    </row>
    <row r="66" spans="1:7" x14ac:dyDescent="0.25">
      <c r="A66" s="49" t="str">
        <f>'Data shares'!C61</f>
        <v>DALBHARAT</v>
      </c>
      <c r="B66" s="50">
        <f>VLOOKUP($A66,'Data shares'!$C:$FM,102)</f>
        <v>31.42</v>
      </c>
      <c r="C66" s="50">
        <f>VLOOKUP($A66,'Data shares'!$C:$FM,110)</f>
        <v>31.29</v>
      </c>
      <c r="D66" s="50">
        <f>VLOOKUP($A66,'Data shares'!$C:$FM,114)</f>
        <v>31.73</v>
      </c>
      <c r="E66" s="50">
        <f>VLOOKUP($A66,'Data shares'!$C:$FM,106)</f>
        <v>32.94</v>
      </c>
      <c r="F66" s="50">
        <f>VLOOKUP($A66,'Data shares'!$C:$FM,108)</f>
        <v>-1.52</v>
      </c>
      <c r="G66" s="50">
        <f t="shared" si="1"/>
        <v>0.95385549483910148</v>
      </c>
    </row>
    <row r="67" spans="1:7" x14ac:dyDescent="0.25">
      <c r="A67" s="49" t="str">
        <f>'Data shares'!C62</f>
        <v>DELHIVERY</v>
      </c>
      <c r="B67" s="50">
        <f>VLOOKUP($A67,'Data shares'!$C:$FM,102)</f>
        <v>31.9</v>
      </c>
      <c r="C67" s="50">
        <f>VLOOKUP($A67,'Data shares'!$C:$FM,110)</f>
        <v>33.64</v>
      </c>
      <c r="D67" s="50">
        <f>VLOOKUP($A67,'Data shares'!$C:$FM,114)</f>
        <v>28.47</v>
      </c>
      <c r="E67" s="50">
        <f>VLOOKUP($A67,'Data shares'!$C:$FM,106)</f>
        <v>41.87</v>
      </c>
      <c r="F67" s="50">
        <f>VLOOKUP($A67,'Data shares'!$C:$FM,108)</f>
        <v>-9.9700000000000006</v>
      </c>
      <c r="G67" s="50">
        <f t="shared" si="1"/>
        <v>0.76188201576307624</v>
      </c>
    </row>
    <row r="68" spans="1:7" x14ac:dyDescent="0.25">
      <c r="A68" s="49" t="str">
        <f>'Data shares'!C63</f>
        <v>DIVISLAB</v>
      </c>
      <c r="B68" s="50">
        <f>VLOOKUP($A68,'Data shares'!$C:$FM,102)</f>
        <v>23.88</v>
      </c>
      <c r="C68" s="50">
        <f>VLOOKUP($A68,'Data shares'!$C:$FM,110)</f>
        <v>25.19</v>
      </c>
      <c r="D68" s="50">
        <f>VLOOKUP($A68,'Data shares'!$C:$FM,114)</f>
        <v>21.15</v>
      </c>
      <c r="E68" s="50">
        <f>VLOOKUP($A68,'Data shares'!$C:$FM,106)</f>
        <v>32.14</v>
      </c>
      <c r="F68" s="50">
        <f>VLOOKUP($A68,'Data shares'!$C:$FM,108)</f>
        <v>-8.26</v>
      </c>
      <c r="G68" s="50">
        <f t="shared" si="1"/>
        <v>0.74299937772246416</v>
      </c>
    </row>
    <row r="69" spans="1:7" x14ac:dyDescent="0.25">
      <c r="A69" s="49" t="str">
        <f>'Data shares'!C64</f>
        <v>DIXON</v>
      </c>
      <c r="B69" s="50">
        <f>VLOOKUP($A69,'Data shares'!$C:$FM,102)</f>
        <v>50.77</v>
      </c>
      <c r="C69" s="50">
        <f>VLOOKUP($A69,'Data shares'!$C:$FM,110)</f>
        <v>50.21</v>
      </c>
      <c r="D69" s="50">
        <f>VLOOKUP($A69,'Data shares'!$C:$FM,114)</f>
        <v>51.61</v>
      </c>
      <c r="E69" s="50">
        <f>VLOOKUP($A69,'Data shares'!$C:$FM,106)</f>
        <v>48.47</v>
      </c>
      <c r="F69" s="50">
        <f>VLOOKUP($A69,'Data shares'!$C:$FM,108)</f>
        <v>2.2999999999999998</v>
      </c>
      <c r="G69" s="50">
        <f t="shared" si="1"/>
        <v>1.0474520321848566</v>
      </c>
    </row>
    <row r="70" spans="1:7" x14ac:dyDescent="0.25">
      <c r="A70" s="49" t="str">
        <f>'Data shares'!C65</f>
        <v>DLF</v>
      </c>
      <c r="B70" s="50">
        <f>VLOOKUP($A70,'Data shares'!$C:$FM,102)</f>
        <v>30.46</v>
      </c>
      <c r="C70" s="50">
        <f>VLOOKUP($A70,'Data shares'!$C:$FM,110)</f>
        <v>30.46</v>
      </c>
      <c r="D70" s="50">
        <f>VLOOKUP($A70,'Data shares'!$C:$FM,114)</f>
        <v>30.47</v>
      </c>
      <c r="E70" s="50">
        <f>VLOOKUP($A70,'Data shares'!$C:$FM,106)</f>
        <v>39.96</v>
      </c>
      <c r="F70" s="50">
        <f>VLOOKUP($A70,'Data shares'!$C:$FM,108)</f>
        <v>-9.5</v>
      </c>
      <c r="G70" s="50">
        <f t="shared" si="1"/>
        <v>0.76226226226226224</v>
      </c>
    </row>
    <row r="71" spans="1:7" x14ac:dyDescent="0.25">
      <c r="A71" s="49" t="str">
        <f>'Data shares'!C66</f>
        <v>DMART</v>
      </c>
      <c r="B71" s="50">
        <f>VLOOKUP($A71,'Data shares'!$C:$FM,102)</f>
        <v>28.99</v>
      </c>
      <c r="C71" s="50">
        <f>VLOOKUP($A71,'Data shares'!$C:$FM,110)</f>
        <v>29.27</v>
      </c>
      <c r="D71" s="50">
        <f>VLOOKUP($A71,'Data shares'!$C:$FM,114)</f>
        <v>28.09</v>
      </c>
      <c r="E71" s="50">
        <f>VLOOKUP($A71,'Data shares'!$C:$FM,106)</f>
        <v>33.89</v>
      </c>
      <c r="F71" s="50">
        <f>VLOOKUP($A71,'Data shares'!$C:$FM,108)</f>
        <v>-4.9000000000000004</v>
      </c>
      <c r="G71" s="50">
        <f t="shared" ref="G71:G102" si="2">B71/E71</f>
        <v>0.85541457657125985</v>
      </c>
    </row>
    <row r="72" spans="1:7" x14ac:dyDescent="0.25">
      <c r="A72" s="49" t="str">
        <f>'Data shares'!C67</f>
        <v>DRREDDY</v>
      </c>
      <c r="B72" s="50">
        <f>VLOOKUP($A72,'Data shares'!$C:$FM,102)</f>
        <v>31.43</v>
      </c>
      <c r="C72" s="50">
        <f>VLOOKUP($A72,'Data shares'!$C:$FM,110)</f>
        <v>31.66</v>
      </c>
      <c r="D72" s="50">
        <f>VLOOKUP($A72,'Data shares'!$C:$FM,114)</f>
        <v>31.15</v>
      </c>
      <c r="E72" s="50">
        <f>VLOOKUP($A72,'Data shares'!$C:$FM,106)</f>
        <v>25.21</v>
      </c>
      <c r="F72" s="50">
        <f>VLOOKUP($A72,'Data shares'!$C:$FM,108)</f>
        <v>6.22</v>
      </c>
      <c r="G72" s="50">
        <f t="shared" si="2"/>
        <v>1.2467274890916302</v>
      </c>
    </row>
    <row r="73" spans="1:7" x14ac:dyDescent="0.25">
      <c r="A73" s="49" t="str">
        <f>'Data shares'!C68</f>
        <v>EICHERMOT</v>
      </c>
      <c r="B73" s="50">
        <f>VLOOKUP($A73,'Data shares'!$C:$FM,102)</f>
        <v>21.76</v>
      </c>
      <c r="C73" s="50">
        <f>VLOOKUP($A73,'Data shares'!$C:$FM,110)</f>
        <v>22.12</v>
      </c>
      <c r="D73" s="50">
        <f>VLOOKUP($A73,'Data shares'!$C:$FM,114)</f>
        <v>21.2</v>
      </c>
      <c r="E73" s="50">
        <f>VLOOKUP($A73,'Data shares'!$C:$FM,106)</f>
        <v>29.75</v>
      </c>
      <c r="F73" s="50">
        <f>VLOOKUP($A73,'Data shares'!$C:$FM,108)</f>
        <v>-7.99</v>
      </c>
      <c r="G73" s="50">
        <f t="shared" si="2"/>
        <v>0.73142857142857143</v>
      </c>
    </row>
    <row r="74" spans="1:7" x14ac:dyDescent="0.25">
      <c r="A74" s="49" t="str">
        <f>'Data shares'!C69</f>
        <v>ETERNAL</v>
      </c>
      <c r="B74" s="50">
        <f>VLOOKUP($A74,'Data shares'!$C:$FM,102)</f>
        <v>41.13</v>
      </c>
      <c r="C74" s="50">
        <f>VLOOKUP($A74,'Data shares'!$C:$FM,110)</f>
        <v>38.76</v>
      </c>
      <c r="D74" s="50">
        <f>VLOOKUP($A74,'Data shares'!$C:$FM,114)</f>
        <v>44.21</v>
      </c>
      <c r="E74" s="50">
        <f>VLOOKUP($A74,'Data shares'!$C:$FM,106)</f>
        <v>50.72</v>
      </c>
      <c r="F74" s="50">
        <f>VLOOKUP($A74,'Data shares'!$C:$FM,108)</f>
        <v>-9.59</v>
      </c>
      <c r="G74" s="50">
        <f t="shared" si="2"/>
        <v>0.81092271293375406</v>
      </c>
    </row>
    <row r="75" spans="1:7" x14ac:dyDescent="0.25">
      <c r="A75" s="49" t="str">
        <f>'Data shares'!C70</f>
        <v>EXIDEIND</v>
      </c>
      <c r="B75" s="50">
        <f>VLOOKUP($A75,'Data shares'!$C:$FM,102)</f>
        <v>27.63</v>
      </c>
      <c r="C75" s="50">
        <f>VLOOKUP($A75,'Data shares'!$C:$FM,110)</f>
        <v>27.74</v>
      </c>
      <c r="D75" s="50">
        <f>VLOOKUP($A75,'Data shares'!$C:$FM,114)</f>
        <v>27.06</v>
      </c>
      <c r="E75" s="50">
        <f>VLOOKUP($A75,'Data shares'!$C:$FM,106)</f>
        <v>37.479999999999997</v>
      </c>
      <c r="F75" s="50">
        <f>VLOOKUP($A75,'Data shares'!$C:$FM,108)</f>
        <v>-9.85</v>
      </c>
      <c r="G75" s="50">
        <f t="shared" si="2"/>
        <v>0.73719316969050164</v>
      </c>
    </row>
    <row r="76" spans="1:7" x14ac:dyDescent="0.25">
      <c r="A76" s="49" t="str">
        <f>'Data shares'!C71</f>
        <v>FEDERALBNK</v>
      </c>
      <c r="B76" s="50">
        <f>VLOOKUP($A76,'Data shares'!$C:$FM,102)</f>
        <v>23.98</v>
      </c>
      <c r="C76" s="50">
        <f>VLOOKUP($A76,'Data shares'!$C:$FM,110)</f>
        <v>24.16</v>
      </c>
      <c r="D76" s="50">
        <f>VLOOKUP($A76,'Data shares'!$C:$FM,114)</f>
        <v>23.72</v>
      </c>
      <c r="E76" s="50">
        <f>VLOOKUP($A76,'Data shares'!$C:$FM,106)</f>
        <v>30.75</v>
      </c>
      <c r="F76" s="50">
        <f>VLOOKUP($A76,'Data shares'!$C:$FM,108)</f>
        <v>-6.77</v>
      </c>
      <c r="G76" s="50">
        <f t="shared" si="2"/>
        <v>0.7798373983739838</v>
      </c>
    </row>
    <row r="77" spans="1:7" x14ac:dyDescent="0.25">
      <c r="A77" s="49" t="str">
        <f>'Data shares'!C72</f>
        <v>FINNIFTY</v>
      </c>
      <c r="B77" s="50">
        <f>VLOOKUP($A77,'Data shares'!$C:$FM,102)</f>
        <v>12.13</v>
      </c>
      <c r="C77" s="50">
        <f>VLOOKUP($A77,'Data shares'!$C:$FM,110)</f>
        <v>11.88</v>
      </c>
      <c r="D77" s="50">
        <f>VLOOKUP($A77,'Data shares'!$C:$FM,114)</f>
        <v>12.41</v>
      </c>
      <c r="E77" s="50">
        <f>VLOOKUP($A77,'Data shares'!$C:$FM,106)</f>
        <v>19.309999999999999</v>
      </c>
      <c r="F77" s="50">
        <f>VLOOKUP($A77,'Data shares'!$C:$FM,108)</f>
        <v>-7.18</v>
      </c>
      <c r="G77" s="50">
        <f t="shared" si="2"/>
        <v>0.62817193164163654</v>
      </c>
    </row>
    <row r="78" spans="1:7" x14ac:dyDescent="0.25">
      <c r="A78" s="49" t="str">
        <f>'Data shares'!C73</f>
        <v>FORTIS</v>
      </c>
      <c r="B78" s="50">
        <f>VLOOKUP($A78,'Data shares'!$C:$FM,102)</f>
        <v>30.47</v>
      </c>
      <c r="C78" s="50">
        <f>VLOOKUP($A78,'Data shares'!$C:$FM,110)</f>
        <v>30.06</v>
      </c>
      <c r="D78" s="50">
        <f>VLOOKUP($A78,'Data shares'!$C:$FM,114)</f>
        <v>31.61</v>
      </c>
      <c r="E78" s="50">
        <f>VLOOKUP($A78,'Data shares'!$C:$FM,106)</f>
        <v>38.049999999999997</v>
      </c>
      <c r="F78" s="50">
        <f>VLOOKUP($A78,'Data shares'!$C:$FM,108)</f>
        <v>-7.58</v>
      </c>
      <c r="G78" s="50">
        <f t="shared" si="2"/>
        <v>0.80078843626806839</v>
      </c>
    </row>
    <row r="79" spans="1:7" x14ac:dyDescent="0.25">
      <c r="A79" s="49" t="str">
        <f>'Data shares'!C74</f>
        <v>GAIL</v>
      </c>
      <c r="B79" s="50">
        <f>VLOOKUP($A79,'Data shares'!$C:$FM,102)</f>
        <v>32.06</v>
      </c>
      <c r="C79" s="50">
        <f>VLOOKUP($A79,'Data shares'!$C:$FM,110)</f>
        <v>32.61</v>
      </c>
      <c r="D79" s="50">
        <f>VLOOKUP($A79,'Data shares'!$C:$FM,114)</f>
        <v>31.09</v>
      </c>
      <c r="E79" s="50">
        <f>VLOOKUP($A79,'Data shares'!$C:$FM,106)</f>
        <v>39.770000000000003</v>
      </c>
      <c r="F79" s="50">
        <f>VLOOKUP($A79,'Data shares'!$C:$FM,108)</f>
        <v>-7.71</v>
      </c>
      <c r="G79" s="50">
        <f t="shared" si="2"/>
        <v>0.80613527784762384</v>
      </c>
    </row>
    <row r="80" spans="1:7" x14ac:dyDescent="0.25">
      <c r="A80" s="49" t="str">
        <f>'Data shares'!C75</f>
        <v>GLENMARK</v>
      </c>
      <c r="B80" s="50">
        <f>VLOOKUP($A80,'Data shares'!$C:$FM,102)</f>
        <v>32.44</v>
      </c>
      <c r="C80" s="50">
        <f>VLOOKUP($A80,'Data shares'!$C:$FM,110)</f>
        <v>31.86</v>
      </c>
      <c r="D80" s="50">
        <f>VLOOKUP($A80,'Data shares'!$C:$FM,114)</f>
        <v>33.06</v>
      </c>
      <c r="E80" s="50">
        <f>VLOOKUP($A80,'Data shares'!$C:$FM,106)</f>
        <v>40.99</v>
      </c>
      <c r="F80" s="50">
        <f>VLOOKUP($A80,'Data shares'!$C:$FM,108)</f>
        <v>-8.5500000000000007</v>
      </c>
      <c r="G80" s="50">
        <f t="shared" si="2"/>
        <v>0.79141253964381542</v>
      </c>
    </row>
    <row r="81" spans="1:7" x14ac:dyDescent="0.25">
      <c r="A81" s="49" t="str">
        <f>'Data shares'!C76</f>
        <v>GMRAIRPORT</v>
      </c>
      <c r="B81" s="50">
        <f>VLOOKUP($A81,'Data shares'!$C:$FM,102)</f>
        <v>25.65</v>
      </c>
      <c r="C81" s="50">
        <f>VLOOKUP($A81,'Data shares'!$C:$FM,110)</f>
        <v>26.25</v>
      </c>
      <c r="D81" s="50">
        <f>VLOOKUP($A81,'Data shares'!$C:$FM,114)</f>
        <v>24.04</v>
      </c>
      <c r="E81" s="50">
        <f>VLOOKUP($A81,'Data shares'!$C:$FM,106)</f>
        <v>40.61</v>
      </c>
      <c r="F81" s="50">
        <f>VLOOKUP($A81,'Data shares'!$C:$FM,108)</f>
        <v>-14.96</v>
      </c>
      <c r="G81" s="50">
        <f t="shared" si="2"/>
        <v>0.63161782812115241</v>
      </c>
    </row>
    <row r="82" spans="1:7" x14ac:dyDescent="0.25">
      <c r="A82" s="49" t="str">
        <f>'Data shares'!C77</f>
        <v>GODREJCP</v>
      </c>
      <c r="B82" s="50">
        <f>VLOOKUP($A82,'Data shares'!$C:$FM,102)</f>
        <v>23.75</v>
      </c>
      <c r="C82" s="50">
        <f>VLOOKUP($A82,'Data shares'!$C:$FM,110)</f>
        <v>23.81</v>
      </c>
      <c r="D82" s="50">
        <f>VLOOKUP($A82,'Data shares'!$C:$FM,114)</f>
        <v>23.6</v>
      </c>
      <c r="E82" s="50">
        <f>VLOOKUP($A82,'Data shares'!$C:$FM,106)</f>
        <v>31.4</v>
      </c>
      <c r="F82" s="50">
        <f>VLOOKUP($A82,'Data shares'!$C:$FM,108)</f>
        <v>-7.65</v>
      </c>
      <c r="G82" s="50">
        <f t="shared" si="2"/>
        <v>0.75636942675159236</v>
      </c>
    </row>
    <row r="83" spans="1:7" x14ac:dyDescent="0.25">
      <c r="A83" s="49" t="str">
        <f>'Data shares'!C78</f>
        <v>GODREJPROP</v>
      </c>
      <c r="B83" s="50">
        <f>VLOOKUP($A83,'Data shares'!$C:$FM,102)</f>
        <v>30.4</v>
      </c>
      <c r="C83" s="50">
        <f>VLOOKUP($A83,'Data shares'!$C:$FM,110)</f>
        <v>30.18</v>
      </c>
      <c r="D83" s="50">
        <f>VLOOKUP($A83,'Data shares'!$C:$FM,114)</f>
        <v>30.71</v>
      </c>
      <c r="E83" s="50">
        <f>VLOOKUP($A83,'Data shares'!$C:$FM,106)</f>
        <v>46.4</v>
      </c>
      <c r="F83" s="50">
        <f>VLOOKUP($A83,'Data shares'!$C:$FM,108)</f>
        <v>-16</v>
      </c>
      <c r="G83" s="50">
        <f t="shared" si="2"/>
        <v>0.65517241379310343</v>
      </c>
    </row>
    <row r="84" spans="1:7" x14ac:dyDescent="0.25">
      <c r="A84" s="49" t="str">
        <f>'Data shares'!C79</f>
        <v>GRANULES</v>
      </c>
      <c r="B84" s="50">
        <f>VLOOKUP($A84,'Data shares'!$C:$FM,102)</f>
        <v>36.9</v>
      </c>
      <c r="C84" s="50">
        <f>VLOOKUP($A84,'Data shares'!$C:$FM,110)</f>
        <v>37.909999999999997</v>
      </c>
      <c r="D84" s="50">
        <f>VLOOKUP($A84,'Data shares'!$C:$FM,114)</f>
        <v>35.21</v>
      </c>
      <c r="E84" s="50">
        <f>VLOOKUP($A84,'Data shares'!$C:$FM,106)</f>
        <v>45.66</v>
      </c>
      <c r="F84" s="50">
        <f>VLOOKUP($A84,'Data shares'!$C:$FM,108)</f>
        <v>-8.76</v>
      </c>
      <c r="G84" s="50">
        <f t="shared" si="2"/>
        <v>0.8081471747700395</v>
      </c>
    </row>
    <row r="85" spans="1:7" x14ac:dyDescent="0.25">
      <c r="A85" s="49" t="str">
        <f>'Data shares'!C80</f>
        <v>GRASIM</v>
      </c>
      <c r="B85" s="50">
        <f>VLOOKUP($A85,'Data shares'!$C:$FM,102)</f>
        <v>22.94</v>
      </c>
      <c r="C85" s="50">
        <f>VLOOKUP($A85,'Data shares'!$C:$FM,110)</f>
        <v>23.76</v>
      </c>
      <c r="D85" s="50">
        <f>VLOOKUP($A85,'Data shares'!$C:$FM,114)</f>
        <v>20.79</v>
      </c>
      <c r="E85" s="50">
        <f>VLOOKUP($A85,'Data shares'!$C:$FM,106)</f>
        <v>27.4</v>
      </c>
      <c r="F85" s="50">
        <f>VLOOKUP($A85,'Data shares'!$C:$FM,108)</f>
        <v>-4.46</v>
      </c>
      <c r="G85" s="50">
        <f t="shared" si="2"/>
        <v>0.83722627737226285</v>
      </c>
    </row>
    <row r="86" spans="1:7" x14ac:dyDescent="0.25">
      <c r="A86" s="49" t="str">
        <f>'Data shares'!C81</f>
        <v>HAL</v>
      </c>
      <c r="B86" s="50">
        <f>VLOOKUP($A86,'Data shares'!$C:$FM,102)</f>
        <v>29.68</v>
      </c>
      <c r="C86" s="50">
        <f>VLOOKUP($A86,'Data shares'!$C:$FM,110)</f>
        <v>30.26</v>
      </c>
      <c r="D86" s="50">
        <f>VLOOKUP($A86,'Data shares'!$C:$FM,114)</f>
        <v>28.07</v>
      </c>
      <c r="E86" s="50">
        <f>VLOOKUP($A86,'Data shares'!$C:$FM,106)</f>
        <v>43.96</v>
      </c>
      <c r="F86" s="50">
        <f>VLOOKUP($A86,'Data shares'!$C:$FM,108)</f>
        <v>-14.28</v>
      </c>
      <c r="G86" s="50">
        <f t="shared" si="2"/>
        <v>0.67515923566878977</v>
      </c>
    </row>
    <row r="87" spans="1:7" x14ac:dyDescent="0.25">
      <c r="A87" s="49" t="str">
        <f>'Data shares'!C82</f>
        <v>HAVELLS</v>
      </c>
      <c r="B87" s="50">
        <f>VLOOKUP($A87,'Data shares'!$C:$FM,102)</f>
        <v>25.69</v>
      </c>
      <c r="C87" s="50">
        <f>VLOOKUP($A87,'Data shares'!$C:$FM,110)</f>
        <v>24.46</v>
      </c>
      <c r="D87" s="50">
        <f>VLOOKUP($A87,'Data shares'!$C:$FM,114)</f>
        <v>27.8</v>
      </c>
      <c r="E87" s="50">
        <f>VLOOKUP($A87,'Data shares'!$C:$FM,106)</f>
        <v>30.15</v>
      </c>
      <c r="F87" s="50">
        <f>VLOOKUP($A87,'Data shares'!$C:$FM,108)</f>
        <v>-4.46</v>
      </c>
      <c r="G87" s="50">
        <f t="shared" si="2"/>
        <v>0.85207296849087899</v>
      </c>
    </row>
    <row r="88" spans="1:7" x14ac:dyDescent="0.25">
      <c r="A88" s="49" t="str">
        <f>'Data shares'!C83</f>
        <v>HCLTECH</v>
      </c>
      <c r="B88" s="50">
        <f>VLOOKUP($A88,'Data shares'!$C:$FM,102)</f>
        <v>24.26</v>
      </c>
      <c r="C88" s="50">
        <f>VLOOKUP($A88,'Data shares'!$C:$FM,110)</f>
        <v>24.99</v>
      </c>
      <c r="D88" s="50">
        <f>VLOOKUP($A88,'Data shares'!$C:$FM,114)</f>
        <v>22.14</v>
      </c>
      <c r="E88" s="50">
        <f>VLOOKUP($A88,'Data shares'!$C:$FM,106)</f>
        <v>30.78</v>
      </c>
      <c r="F88" s="50">
        <f>VLOOKUP($A88,'Data shares'!$C:$FM,108)</f>
        <v>-6.52</v>
      </c>
      <c r="G88" s="50">
        <f t="shared" si="2"/>
        <v>0.78817413905133205</v>
      </c>
    </row>
    <row r="89" spans="1:7" x14ac:dyDescent="0.25">
      <c r="A89" s="49" t="str">
        <f>'Data shares'!C84</f>
        <v>HDFCAMC</v>
      </c>
      <c r="B89" s="50">
        <f>VLOOKUP($A89,'Data shares'!$C:$FM,102)</f>
        <v>23.62</v>
      </c>
      <c r="C89" s="50">
        <f>VLOOKUP($A89,'Data shares'!$C:$FM,110)</f>
        <v>22.39</v>
      </c>
      <c r="D89" s="50">
        <f>VLOOKUP($A89,'Data shares'!$C:$FM,114)</f>
        <v>25.23</v>
      </c>
      <c r="E89" s="50">
        <f>VLOOKUP($A89,'Data shares'!$C:$FM,106)</f>
        <v>37.58</v>
      </c>
      <c r="F89" s="50">
        <f>VLOOKUP($A89,'Data shares'!$C:$FM,108)</f>
        <v>-13.96</v>
      </c>
      <c r="G89" s="50">
        <f t="shared" si="2"/>
        <v>0.62852581160191601</v>
      </c>
    </row>
    <row r="90" spans="1:7" x14ac:dyDescent="0.25">
      <c r="A90" s="49" t="str">
        <f>'Data shares'!C85</f>
        <v>HDFCBANK</v>
      </c>
      <c r="B90" s="50">
        <f>VLOOKUP($A90,'Data shares'!$C:$FM,102)</f>
        <v>14.52</v>
      </c>
      <c r="C90" s="50">
        <f>VLOOKUP($A90,'Data shares'!$C:$FM,110)</f>
        <v>13.48</v>
      </c>
      <c r="D90" s="50">
        <f>VLOOKUP($A90,'Data shares'!$C:$FM,114)</f>
        <v>16.02</v>
      </c>
      <c r="E90" s="50">
        <f>VLOOKUP($A90,'Data shares'!$C:$FM,106)</f>
        <v>23.35</v>
      </c>
      <c r="F90" s="50">
        <f>VLOOKUP($A90,'Data shares'!$C:$FM,108)</f>
        <v>-8.83</v>
      </c>
      <c r="G90" s="50">
        <f t="shared" si="2"/>
        <v>0.62184154175588857</v>
      </c>
    </row>
    <row r="91" spans="1:7" x14ac:dyDescent="0.25">
      <c r="A91" s="49" t="str">
        <f>'Data shares'!C86</f>
        <v>HDFCLIFE</v>
      </c>
      <c r="B91" s="50">
        <f>VLOOKUP($A91,'Data shares'!$C:$FM,102)</f>
        <v>21.52</v>
      </c>
      <c r="C91" s="50">
        <f>VLOOKUP($A91,'Data shares'!$C:$FM,110)</f>
        <v>21.45</v>
      </c>
      <c r="D91" s="50">
        <f>VLOOKUP($A91,'Data shares'!$C:$FM,114)</f>
        <v>21.71</v>
      </c>
      <c r="E91" s="50">
        <f>VLOOKUP($A91,'Data shares'!$C:$FM,106)</f>
        <v>27.93</v>
      </c>
      <c r="F91" s="50">
        <f>VLOOKUP($A91,'Data shares'!$C:$FM,108)</f>
        <v>-6.41</v>
      </c>
      <c r="G91" s="50">
        <f t="shared" si="2"/>
        <v>0.77049767275331182</v>
      </c>
    </row>
    <row r="92" spans="1:7" x14ac:dyDescent="0.25">
      <c r="A92" s="49" t="str">
        <f>'Data shares'!C87</f>
        <v>HEROMOTOCO</v>
      </c>
      <c r="B92" s="50">
        <f>VLOOKUP($A92,'Data shares'!$C:$FM,102)</f>
        <v>27.36</v>
      </c>
      <c r="C92" s="50">
        <f>VLOOKUP($A92,'Data shares'!$C:$FM,110)</f>
        <v>28.24</v>
      </c>
      <c r="D92" s="50">
        <f>VLOOKUP($A92,'Data shares'!$C:$FM,114)</f>
        <v>24.94</v>
      </c>
      <c r="E92" s="50">
        <f>VLOOKUP($A92,'Data shares'!$C:$FM,106)</f>
        <v>30.64</v>
      </c>
      <c r="F92" s="50">
        <f>VLOOKUP($A92,'Data shares'!$C:$FM,108)</f>
        <v>-3.28</v>
      </c>
      <c r="G92" s="50">
        <f t="shared" si="2"/>
        <v>0.89295039164490864</v>
      </c>
    </row>
    <row r="93" spans="1:7" x14ac:dyDescent="0.25">
      <c r="A93" s="49" t="str">
        <f>'Data shares'!C88</f>
        <v>HFCL</v>
      </c>
      <c r="B93" s="50">
        <f>VLOOKUP($A93,'Data shares'!$C:$FM,102)</f>
        <v>44.31</v>
      </c>
      <c r="C93" s="50">
        <f>VLOOKUP($A93,'Data shares'!$C:$FM,110)</f>
        <v>45.3</v>
      </c>
      <c r="D93" s="50">
        <f>VLOOKUP($A93,'Data shares'!$C:$FM,114)</f>
        <v>41.86</v>
      </c>
      <c r="E93" s="50">
        <f>VLOOKUP($A93,'Data shares'!$C:$FM,106)</f>
        <v>58.28</v>
      </c>
      <c r="F93" s="50">
        <f>VLOOKUP($A93,'Data shares'!$C:$FM,108)</f>
        <v>-13.97</v>
      </c>
      <c r="G93" s="50">
        <f t="shared" si="2"/>
        <v>0.76029512697323265</v>
      </c>
    </row>
    <row r="94" spans="1:7" x14ac:dyDescent="0.25">
      <c r="A94" s="49" t="str">
        <f>'Data shares'!C89</f>
        <v>HINDALCO</v>
      </c>
      <c r="B94" s="50">
        <f>VLOOKUP($A94,'Data shares'!$C:$FM,102)</f>
        <v>23.22</v>
      </c>
      <c r="C94" s="50">
        <f>VLOOKUP($A94,'Data shares'!$C:$FM,110)</f>
        <v>22.85</v>
      </c>
      <c r="D94" s="50">
        <f>VLOOKUP($A94,'Data shares'!$C:$FM,114)</f>
        <v>24.04</v>
      </c>
      <c r="E94" s="50">
        <f>VLOOKUP($A94,'Data shares'!$C:$FM,106)</f>
        <v>35.85</v>
      </c>
      <c r="F94" s="50">
        <f>VLOOKUP($A94,'Data shares'!$C:$FM,108)</f>
        <v>-12.63</v>
      </c>
      <c r="G94" s="50">
        <f t="shared" si="2"/>
        <v>0.64769874476987443</v>
      </c>
    </row>
    <row r="95" spans="1:7" x14ac:dyDescent="0.25">
      <c r="A95" s="49" t="str">
        <f>'Data shares'!C90</f>
        <v>HINDCOPPER</v>
      </c>
      <c r="B95" s="50">
        <f>VLOOKUP($A95,'Data shares'!$C:$FM,102)</f>
        <v>38.43</v>
      </c>
      <c r="C95" s="50">
        <f>VLOOKUP($A95,'Data shares'!$C:$FM,110)</f>
        <v>38.58</v>
      </c>
      <c r="D95" s="50">
        <f>VLOOKUP($A95,'Data shares'!$C:$FM,114)</f>
        <v>38.049999999999997</v>
      </c>
      <c r="E95" s="50">
        <f>VLOOKUP($A95,'Data shares'!$C:$FM,106)</f>
        <v>55.3</v>
      </c>
      <c r="F95" s="50">
        <f>VLOOKUP($A95,'Data shares'!$C:$FM,108)</f>
        <v>-16.87</v>
      </c>
      <c r="G95" s="50">
        <f t="shared" si="2"/>
        <v>0.69493670886075953</v>
      </c>
    </row>
    <row r="96" spans="1:7" x14ac:dyDescent="0.25">
      <c r="A96" s="49" t="str">
        <f>'Data shares'!C91</f>
        <v>HINDPETRO</v>
      </c>
      <c r="B96" s="50">
        <f>VLOOKUP($A96,'Data shares'!$C:$FM,102)</f>
        <v>33.75</v>
      </c>
      <c r="C96" s="50">
        <f>VLOOKUP($A96,'Data shares'!$C:$FM,110)</f>
        <v>34.51</v>
      </c>
      <c r="D96" s="50">
        <f>VLOOKUP($A96,'Data shares'!$C:$FM,114)</f>
        <v>32.409999999999997</v>
      </c>
      <c r="E96" s="50">
        <f>VLOOKUP($A96,'Data shares'!$C:$FM,106)</f>
        <v>44.22</v>
      </c>
      <c r="F96" s="50">
        <f>VLOOKUP($A96,'Data shares'!$C:$FM,108)</f>
        <v>-10.47</v>
      </c>
      <c r="G96" s="50">
        <f t="shared" si="2"/>
        <v>0.76322930800542743</v>
      </c>
    </row>
    <row r="97" spans="1:7" x14ac:dyDescent="0.25">
      <c r="A97" s="49" t="str">
        <f>'Data shares'!C92</f>
        <v>HINDUNILVR</v>
      </c>
      <c r="B97" s="50">
        <f>VLOOKUP($A97,'Data shares'!$C:$FM,102)</f>
        <v>14.77</v>
      </c>
      <c r="C97" s="50">
        <f>VLOOKUP($A97,'Data shares'!$C:$FM,110)</f>
        <v>14.72</v>
      </c>
      <c r="D97" s="50">
        <f>VLOOKUP($A97,'Data shares'!$C:$FM,114)</f>
        <v>14.89</v>
      </c>
      <c r="E97" s="50">
        <f>VLOOKUP($A97,'Data shares'!$C:$FM,106)</f>
        <v>23.14</v>
      </c>
      <c r="F97" s="50">
        <f>VLOOKUP($A97,'Data shares'!$C:$FM,108)</f>
        <v>-8.3699999999999992</v>
      </c>
      <c r="G97" s="50">
        <f t="shared" si="2"/>
        <v>0.63828867761452024</v>
      </c>
    </row>
    <row r="98" spans="1:7" x14ac:dyDescent="0.25">
      <c r="A98" s="49" t="str">
        <f>'Data shares'!C93</f>
        <v>HINDZINC</v>
      </c>
      <c r="B98" s="50">
        <f>VLOOKUP($A98,'Data shares'!$C:$FM,102)</f>
        <v>28.17</v>
      </c>
      <c r="C98" s="50">
        <f>VLOOKUP($A98,'Data shares'!$C:$FM,110)</f>
        <v>28.31</v>
      </c>
      <c r="D98" s="50">
        <f>VLOOKUP($A98,'Data shares'!$C:$FM,114)</f>
        <v>27.88</v>
      </c>
      <c r="E98" s="50">
        <f>VLOOKUP($A98,'Data shares'!$C:$FM,106)</f>
        <v>47.43</v>
      </c>
      <c r="F98" s="50">
        <f>VLOOKUP($A98,'Data shares'!$C:$FM,108)</f>
        <v>-19.260000000000002</v>
      </c>
      <c r="G98" s="50">
        <f t="shared" si="2"/>
        <v>0.59392789373814048</v>
      </c>
    </row>
    <row r="99" spans="1:7" x14ac:dyDescent="0.25">
      <c r="A99" s="49" t="str">
        <f>'Data shares'!C94</f>
        <v>HUDCO</v>
      </c>
      <c r="B99" s="50">
        <f>VLOOKUP($A99,'Data shares'!$C:$FM,102)</f>
        <v>38.74</v>
      </c>
      <c r="C99" s="50">
        <f>VLOOKUP($A99,'Data shares'!$C:$FM,110)</f>
        <v>39.49</v>
      </c>
      <c r="D99" s="50">
        <f>VLOOKUP($A99,'Data shares'!$C:$FM,114)</f>
        <v>37.08</v>
      </c>
      <c r="E99" s="50">
        <f>VLOOKUP($A99,'Data shares'!$C:$FM,106)</f>
        <v>58.46</v>
      </c>
      <c r="F99" s="50">
        <f>VLOOKUP($A99,'Data shares'!$C:$FM,108)</f>
        <v>-19.72</v>
      </c>
      <c r="G99" s="50">
        <f t="shared" si="2"/>
        <v>0.66267533356140951</v>
      </c>
    </row>
    <row r="100" spans="1:7" x14ac:dyDescent="0.25">
      <c r="A100" s="49" t="str">
        <f>'Data shares'!C95</f>
        <v>ICICIBANK</v>
      </c>
      <c r="B100" s="50">
        <f>VLOOKUP($A100,'Data shares'!$C:$FM,102)</f>
        <v>14.74</v>
      </c>
      <c r="C100" s="50">
        <f>VLOOKUP($A100,'Data shares'!$C:$FM,110)</f>
        <v>13.96</v>
      </c>
      <c r="D100" s="50">
        <f>VLOOKUP($A100,'Data shares'!$C:$FM,114)</f>
        <v>15.95</v>
      </c>
      <c r="E100" s="50">
        <f>VLOOKUP($A100,'Data shares'!$C:$FM,106)</f>
        <v>22.98</v>
      </c>
      <c r="F100" s="50">
        <f>VLOOKUP($A100,'Data shares'!$C:$FM,108)</f>
        <v>-8.24</v>
      </c>
      <c r="G100" s="50">
        <f t="shared" si="2"/>
        <v>0.64142732811140124</v>
      </c>
    </row>
    <row r="101" spans="1:7" x14ac:dyDescent="0.25">
      <c r="A101" s="49" t="str">
        <f>'Data shares'!C96</f>
        <v>ICICIGI</v>
      </c>
      <c r="B101" s="50">
        <f>VLOOKUP($A101,'Data shares'!$C:$FM,102)</f>
        <v>23.28</v>
      </c>
      <c r="C101" s="50">
        <f>VLOOKUP($A101,'Data shares'!$C:$FM,110)</f>
        <v>23.6</v>
      </c>
      <c r="D101" s="50">
        <f>VLOOKUP($A101,'Data shares'!$C:$FM,114)</f>
        <v>22.47</v>
      </c>
      <c r="E101" s="50">
        <f>VLOOKUP($A101,'Data shares'!$C:$FM,106)</f>
        <v>29.81</v>
      </c>
      <c r="F101" s="50">
        <f>VLOOKUP($A101,'Data shares'!$C:$FM,108)</f>
        <v>-6.53</v>
      </c>
      <c r="G101" s="50">
        <f t="shared" si="2"/>
        <v>0.78094599127809472</v>
      </c>
    </row>
    <row r="102" spans="1:7" x14ac:dyDescent="0.25">
      <c r="A102" s="49" t="str">
        <f>'Data shares'!C97</f>
        <v>ICICIPRULI</v>
      </c>
      <c r="B102" s="50">
        <f>VLOOKUP($A102,'Data shares'!$C:$FM,102)</f>
        <v>27.42</v>
      </c>
      <c r="C102" s="50">
        <f>VLOOKUP($A102,'Data shares'!$C:$FM,110)</f>
        <v>28.29</v>
      </c>
      <c r="D102" s="50">
        <f>VLOOKUP($A102,'Data shares'!$C:$FM,114)</f>
        <v>24.07</v>
      </c>
      <c r="E102" s="50">
        <f>VLOOKUP($A102,'Data shares'!$C:$FM,106)</f>
        <v>30.76</v>
      </c>
      <c r="F102" s="50">
        <f>VLOOKUP($A102,'Data shares'!$C:$FM,108)</f>
        <v>-3.34</v>
      </c>
      <c r="G102" s="50">
        <f t="shared" si="2"/>
        <v>0.89141742522756828</v>
      </c>
    </row>
    <row r="103" spans="1:7" x14ac:dyDescent="0.25">
      <c r="A103" s="49" t="str">
        <f>'Data shares'!C98</f>
        <v>IDEA</v>
      </c>
      <c r="B103" s="50">
        <f>VLOOKUP($A103,'Data shares'!$C:$FM,102)</f>
        <v>49.92</v>
      </c>
      <c r="C103" s="50">
        <f>VLOOKUP($A103,'Data shares'!$C:$FM,110)</f>
        <v>49.76</v>
      </c>
      <c r="D103" s="50">
        <f>VLOOKUP($A103,'Data shares'!$C:$FM,114)</f>
        <v>50.97</v>
      </c>
      <c r="E103" s="50">
        <f>VLOOKUP($A103,'Data shares'!$C:$FM,106)</f>
        <v>67.58</v>
      </c>
      <c r="F103" s="50">
        <f>VLOOKUP($A103,'Data shares'!$C:$FM,108)</f>
        <v>-17.66</v>
      </c>
      <c r="G103" s="50">
        <f t="shared" ref="G103:G134" si="3">B103/E103</f>
        <v>0.73868008286475295</v>
      </c>
    </row>
    <row r="104" spans="1:7" x14ac:dyDescent="0.25">
      <c r="A104" s="49" t="str">
        <f>'Data shares'!C99</f>
        <v>IDFCFIRSTB</v>
      </c>
      <c r="B104" s="50">
        <f>VLOOKUP($A104,'Data shares'!$C:$FM,102)</f>
        <v>38</v>
      </c>
      <c r="C104" s="50">
        <f>VLOOKUP($A104,'Data shares'!$C:$FM,110)</f>
        <v>38.76</v>
      </c>
      <c r="D104" s="50">
        <f>VLOOKUP($A104,'Data shares'!$C:$FM,114)</f>
        <v>36.22</v>
      </c>
      <c r="E104" s="50">
        <f>VLOOKUP($A104,'Data shares'!$C:$FM,106)</f>
        <v>36.56</v>
      </c>
      <c r="F104" s="50">
        <f>VLOOKUP($A104,'Data shares'!$C:$FM,108)</f>
        <v>1.44</v>
      </c>
      <c r="G104" s="50">
        <f t="shared" si="3"/>
        <v>1.0393873085339167</v>
      </c>
    </row>
    <row r="105" spans="1:7" x14ac:dyDescent="0.25">
      <c r="A105" s="49" t="str">
        <f>'Data shares'!C100</f>
        <v>IEX</v>
      </c>
      <c r="B105" s="50">
        <f>VLOOKUP($A105,'Data shares'!$C:$FM,102)</f>
        <v>67.400000000000006</v>
      </c>
      <c r="C105" s="50">
        <f>VLOOKUP($A105,'Data shares'!$C:$FM,110)</f>
        <v>53.77</v>
      </c>
      <c r="D105" s="50">
        <f>VLOOKUP($A105,'Data shares'!$C:$FM,114)</f>
        <v>73.72</v>
      </c>
      <c r="E105" s="50">
        <f>VLOOKUP($A105,'Data shares'!$C:$FM,106)</f>
        <v>42.42</v>
      </c>
      <c r="F105" s="50">
        <f>VLOOKUP($A105,'Data shares'!$C:$FM,108)</f>
        <v>24.98</v>
      </c>
      <c r="G105" s="50">
        <f t="shared" si="3"/>
        <v>1.588873173031589</v>
      </c>
    </row>
    <row r="106" spans="1:7" x14ac:dyDescent="0.25">
      <c r="A106" s="49" t="str">
        <f>'Data shares'!C101</f>
        <v>IGL</v>
      </c>
      <c r="B106" s="50">
        <f>VLOOKUP($A106,'Data shares'!$C:$FM,102)</f>
        <v>37.869999999999997</v>
      </c>
      <c r="C106" s="50">
        <f>VLOOKUP($A106,'Data shares'!$C:$FM,110)</f>
        <v>36.21</v>
      </c>
      <c r="D106" s="50">
        <f>VLOOKUP($A106,'Data shares'!$C:$FM,114)</f>
        <v>39.43</v>
      </c>
      <c r="E106" s="50">
        <f>VLOOKUP($A106,'Data shares'!$C:$FM,106)</f>
        <v>45.84</v>
      </c>
      <c r="F106" s="50">
        <f>VLOOKUP($A106,'Data shares'!$C:$FM,108)</f>
        <v>-7.97</v>
      </c>
      <c r="G106" s="50">
        <f t="shared" si="3"/>
        <v>0.82613438045375209</v>
      </c>
    </row>
    <row r="107" spans="1:7" x14ac:dyDescent="0.25">
      <c r="A107" s="49" t="str">
        <f>'Data shares'!C102</f>
        <v>IIFL</v>
      </c>
      <c r="B107" s="50">
        <f>VLOOKUP($A107,'Data shares'!$C:$FM,102)</f>
        <v>28.34</v>
      </c>
      <c r="C107" s="50">
        <f>VLOOKUP($A107,'Data shares'!$C:$FM,110)</f>
        <v>27.25</v>
      </c>
      <c r="D107" s="50">
        <f>VLOOKUP($A107,'Data shares'!$C:$FM,114)</f>
        <v>29.84</v>
      </c>
      <c r="E107" s="50">
        <f>VLOOKUP($A107,'Data shares'!$C:$FM,106)</f>
        <v>53.19</v>
      </c>
      <c r="F107" s="50">
        <f>VLOOKUP($A107,'Data shares'!$C:$FM,108)</f>
        <v>-24.85</v>
      </c>
      <c r="G107" s="50">
        <f t="shared" si="3"/>
        <v>0.53280691859372065</v>
      </c>
    </row>
    <row r="108" spans="1:7" x14ac:dyDescent="0.25">
      <c r="A108" s="49" t="str">
        <f>'Data shares'!C103</f>
        <v>INDHOTEL</v>
      </c>
      <c r="B108" s="50">
        <f>VLOOKUP($A108,'Data shares'!$C:$FM,102)</f>
        <v>25.37</v>
      </c>
      <c r="C108" s="50">
        <f>VLOOKUP($A108,'Data shares'!$C:$FM,110)</f>
        <v>26.2</v>
      </c>
      <c r="D108" s="50">
        <f>VLOOKUP($A108,'Data shares'!$C:$FM,114)</f>
        <v>23.65</v>
      </c>
      <c r="E108" s="50">
        <f>VLOOKUP($A108,'Data shares'!$C:$FM,106)</f>
        <v>39.06</v>
      </c>
      <c r="F108" s="50">
        <f>VLOOKUP($A108,'Data shares'!$C:$FM,108)</f>
        <v>-13.69</v>
      </c>
      <c r="G108" s="50">
        <f t="shared" si="3"/>
        <v>0.64951356886840761</v>
      </c>
    </row>
    <row r="109" spans="1:7" x14ac:dyDescent="0.25">
      <c r="A109" s="49" t="str">
        <f>'Data shares'!C104</f>
        <v>INDIANB</v>
      </c>
      <c r="B109" s="50">
        <f>VLOOKUP($A109,'Data shares'!$C:$FM,102)</f>
        <v>39.380000000000003</v>
      </c>
      <c r="C109" s="50">
        <f>VLOOKUP($A109,'Data shares'!$C:$FM,110)</f>
        <v>39.83</v>
      </c>
      <c r="D109" s="50">
        <f>VLOOKUP($A109,'Data shares'!$C:$FM,114)</f>
        <v>38.54</v>
      </c>
      <c r="E109" s="50">
        <f>VLOOKUP($A109,'Data shares'!$C:$FM,106)</f>
        <v>41.12</v>
      </c>
      <c r="F109" s="50">
        <f>VLOOKUP($A109,'Data shares'!$C:$FM,108)</f>
        <v>-1.74</v>
      </c>
      <c r="G109" s="50">
        <f t="shared" si="3"/>
        <v>0.95768482490272389</v>
      </c>
    </row>
    <row r="110" spans="1:7" x14ac:dyDescent="0.25">
      <c r="A110" s="49" t="str">
        <f>'Data shares'!C105</f>
        <v>INDIAVIX</v>
      </c>
      <c r="B110" s="50">
        <f>VLOOKUP($A110,'Data shares'!$C:$FM,102)</f>
        <v>0</v>
      </c>
      <c r="C110" s="50">
        <f>VLOOKUP($A110,'Data shares'!$C:$FM,110)</f>
        <v>0</v>
      </c>
      <c r="D110" s="50">
        <f>VLOOKUP($A110,'Data shares'!$C:$FM,114)</f>
        <v>0</v>
      </c>
      <c r="E110" s="50">
        <f>VLOOKUP($A110,'Data shares'!$C:$FM,106)</f>
        <v>0</v>
      </c>
      <c r="F110" s="50">
        <f>VLOOKUP($A110,'Data shares'!$C:$FM,108)</f>
        <v>0</v>
      </c>
      <c r="G110" s="50" t="e">
        <f t="shared" si="3"/>
        <v>#DIV/0!</v>
      </c>
    </row>
    <row r="111" spans="1:7" x14ac:dyDescent="0.25">
      <c r="A111" s="49" t="str">
        <f>'Data shares'!C106</f>
        <v>INDIGO</v>
      </c>
      <c r="B111" s="50">
        <f>VLOOKUP($A111,'Data shares'!$C:$FM,102)</f>
        <v>28.75</v>
      </c>
      <c r="C111" s="50">
        <f>VLOOKUP($A111,'Data shares'!$C:$FM,110)</f>
        <v>26.85</v>
      </c>
      <c r="D111" s="50">
        <f>VLOOKUP($A111,'Data shares'!$C:$FM,114)</f>
        <v>33.35</v>
      </c>
      <c r="E111" s="50">
        <f>VLOOKUP($A111,'Data shares'!$C:$FM,106)</f>
        <v>35.04</v>
      </c>
      <c r="F111" s="50">
        <f>VLOOKUP($A111,'Data shares'!$C:$FM,108)</f>
        <v>-6.29</v>
      </c>
      <c r="G111" s="50">
        <f t="shared" si="3"/>
        <v>0.82049086757990874</v>
      </c>
    </row>
    <row r="112" spans="1:7" x14ac:dyDescent="0.25">
      <c r="A112" s="49" t="str">
        <f>'Data shares'!C107</f>
        <v>INDUSINDBK</v>
      </c>
      <c r="B112" s="50">
        <f>VLOOKUP($A112,'Data shares'!$C:$FM,102)</f>
        <v>39.99</v>
      </c>
      <c r="C112" s="50">
        <f>VLOOKUP($A112,'Data shares'!$C:$FM,110)</f>
        <v>39.94</v>
      </c>
      <c r="D112" s="50">
        <f>VLOOKUP($A112,'Data shares'!$C:$FM,114)</f>
        <v>40.07</v>
      </c>
      <c r="E112" s="50">
        <f>VLOOKUP($A112,'Data shares'!$C:$FM,106)</f>
        <v>52.19</v>
      </c>
      <c r="F112" s="50">
        <f>VLOOKUP($A112,'Data shares'!$C:$FM,108)</f>
        <v>-12.2</v>
      </c>
      <c r="G112" s="50">
        <f t="shared" si="3"/>
        <v>0.76623874305422501</v>
      </c>
    </row>
    <row r="113" spans="1:7" x14ac:dyDescent="0.25">
      <c r="A113" s="49" t="str">
        <f>'Data shares'!C108</f>
        <v>INDUSTOWER</v>
      </c>
      <c r="B113" s="50">
        <f>VLOOKUP($A113,'Data shares'!$C:$FM,102)</f>
        <v>30.98</v>
      </c>
      <c r="C113" s="50">
        <f>VLOOKUP($A113,'Data shares'!$C:$FM,110)</f>
        <v>31.8</v>
      </c>
      <c r="D113" s="50">
        <f>VLOOKUP($A113,'Data shares'!$C:$FM,114)</f>
        <v>29.09</v>
      </c>
      <c r="E113" s="50">
        <f>VLOOKUP($A113,'Data shares'!$C:$FM,106)</f>
        <v>41.61</v>
      </c>
      <c r="F113" s="50">
        <f>VLOOKUP($A113,'Data shares'!$C:$FM,108)</f>
        <v>-10.63</v>
      </c>
      <c r="G113" s="50">
        <f t="shared" si="3"/>
        <v>0.74453256428743098</v>
      </c>
    </row>
    <row r="114" spans="1:7" x14ac:dyDescent="0.25">
      <c r="A114" s="49" t="str">
        <f>'Data shares'!C109</f>
        <v>INFY</v>
      </c>
      <c r="B114" s="50">
        <f>VLOOKUP($A114,'Data shares'!$C:$FM,102)</f>
        <v>38.380000000000003</v>
      </c>
      <c r="C114" s="50">
        <f>VLOOKUP($A114,'Data shares'!$C:$FM,110)</f>
        <v>37.64</v>
      </c>
      <c r="D114" s="50">
        <f>VLOOKUP($A114,'Data shares'!$C:$FM,114)</f>
        <v>39.71</v>
      </c>
      <c r="E114" s="50">
        <f>VLOOKUP($A114,'Data shares'!$C:$FM,106)</f>
        <v>29.64</v>
      </c>
      <c r="F114" s="50">
        <f>VLOOKUP($A114,'Data shares'!$C:$FM,108)</f>
        <v>8.74</v>
      </c>
      <c r="G114" s="50">
        <f t="shared" si="3"/>
        <v>1.2948717948717949</v>
      </c>
    </row>
    <row r="115" spans="1:7" x14ac:dyDescent="0.25">
      <c r="A115" s="49" t="str">
        <f>'Data shares'!C110</f>
        <v>INOXWIND</v>
      </c>
      <c r="B115" s="50">
        <f>VLOOKUP($A115,'Data shares'!$C:$FM,102)</f>
        <v>37.200000000000003</v>
      </c>
      <c r="C115" s="50">
        <f>VLOOKUP($A115,'Data shares'!$C:$FM,110)</f>
        <v>37.18</v>
      </c>
      <c r="D115" s="50">
        <f>VLOOKUP($A115,'Data shares'!$C:$FM,114)</f>
        <v>37.22</v>
      </c>
      <c r="E115" s="50">
        <f>VLOOKUP($A115,'Data shares'!$C:$FM,106)</f>
        <v>62.93</v>
      </c>
      <c r="F115" s="50">
        <f>VLOOKUP($A115,'Data shares'!$C:$FM,108)</f>
        <v>-25.73</v>
      </c>
      <c r="G115" s="50">
        <f t="shared" si="3"/>
        <v>0.59113300492610843</v>
      </c>
    </row>
    <row r="116" spans="1:7" x14ac:dyDescent="0.25">
      <c r="A116" s="49" t="str">
        <f>'Data shares'!C111</f>
        <v>IOC</v>
      </c>
      <c r="B116" s="50">
        <f>VLOOKUP($A116,'Data shares'!$C:$FM,102)</f>
        <v>27.21</v>
      </c>
      <c r="C116" s="50">
        <f>VLOOKUP($A116,'Data shares'!$C:$FM,110)</f>
        <v>27.04</v>
      </c>
      <c r="D116" s="50">
        <f>VLOOKUP($A116,'Data shares'!$C:$FM,114)</f>
        <v>27.43</v>
      </c>
      <c r="E116" s="50">
        <f>VLOOKUP($A116,'Data shares'!$C:$FM,106)</f>
        <v>34.78</v>
      </c>
      <c r="F116" s="50">
        <f>VLOOKUP($A116,'Data shares'!$C:$FM,108)</f>
        <v>-7.57</v>
      </c>
      <c r="G116" s="50">
        <f t="shared" si="3"/>
        <v>0.78234617596319722</v>
      </c>
    </row>
    <row r="117" spans="1:7" x14ac:dyDescent="0.25">
      <c r="A117" s="49" t="str">
        <f>'Data shares'!C112</f>
        <v>IRB</v>
      </c>
      <c r="B117" s="50">
        <f>VLOOKUP($A117,'Data shares'!$C:$FM,102)</f>
        <v>38.69</v>
      </c>
      <c r="C117" s="50">
        <f>VLOOKUP($A117,'Data shares'!$C:$FM,110)</f>
        <v>39.17</v>
      </c>
      <c r="D117" s="50">
        <f>VLOOKUP($A117,'Data shares'!$C:$FM,114)</f>
        <v>33.68</v>
      </c>
      <c r="E117" s="50">
        <f>VLOOKUP($A117,'Data shares'!$C:$FM,106)</f>
        <v>50.07</v>
      </c>
      <c r="F117" s="50">
        <f>VLOOKUP($A117,'Data shares'!$C:$FM,108)</f>
        <v>-11.38</v>
      </c>
      <c r="G117" s="50">
        <f t="shared" si="3"/>
        <v>0.77271819452766122</v>
      </c>
    </row>
    <row r="118" spans="1:7" x14ac:dyDescent="0.25">
      <c r="A118" s="49" t="str">
        <f>'Data shares'!C113</f>
        <v>IRCTC</v>
      </c>
      <c r="B118" s="50">
        <f>VLOOKUP($A118,'Data shares'!$C:$FM,102)</f>
        <v>23.87</v>
      </c>
      <c r="C118" s="50">
        <f>VLOOKUP($A118,'Data shares'!$C:$FM,110)</f>
        <v>24.8</v>
      </c>
      <c r="D118" s="50">
        <f>VLOOKUP($A118,'Data shares'!$C:$FM,114)</f>
        <v>21.83</v>
      </c>
      <c r="E118" s="50">
        <f>VLOOKUP($A118,'Data shares'!$C:$FM,106)</f>
        <v>34.47</v>
      </c>
      <c r="F118" s="50">
        <f>VLOOKUP($A118,'Data shares'!$C:$FM,108)</f>
        <v>-10.6</v>
      </c>
      <c r="G118" s="50">
        <f t="shared" si="3"/>
        <v>0.69248621990136361</v>
      </c>
    </row>
    <row r="119" spans="1:7" x14ac:dyDescent="0.25">
      <c r="A119" s="49" t="str">
        <f>'Data shares'!C114</f>
        <v>IREDA</v>
      </c>
      <c r="B119" s="50">
        <f>VLOOKUP($A119,'Data shares'!$C:$FM,102)</f>
        <v>40.65</v>
      </c>
      <c r="C119" s="50">
        <f>VLOOKUP($A119,'Data shares'!$C:$FM,110)</f>
        <v>41.4</v>
      </c>
      <c r="D119" s="50">
        <f>VLOOKUP($A119,'Data shares'!$C:$FM,114)</f>
        <v>37.020000000000003</v>
      </c>
      <c r="E119" s="50">
        <f>VLOOKUP($A119,'Data shares'!$C:$FM,106)</f>
        <v>57.92</v>
      </c>
      <c r="F119" s="50">
        <f>VLOOKUP($A119,'Data shares'!$C:$FM,108)</f>
        <v>-17.27</v>
      </c>
      <c r="G119" s="50">
        <f t="shared" si="3"/>
        <v>0.70183011049723754</v>
      </c>
    </row>
    <row r="120" spans="1:7" x14ac:dyDescent="0.25">
      <c r="A120" s="49" t="str">
        <f>'Data shares'!C115</f>
        <v>IRFC</v>
      </c>
      <c r="B120" s="50">
        <f>VLOOKUP($A120,'Data shares'!$C:$FM,102)</f>
        <v>44.94</v>
      </c>
      <c r="C120" s="50">
        <f>VLOOKUP($A120,'Data shares'!$C:$FM,110)</f>
        <v>46.14</v>
      </c>
      <c r="D120" s="50">
        <f>VLOOKUP($A120,'Data shares'!$C:$FM,114)</f>
        <v>42.67</v>
      </c>
      <c r="E120" s="50">
        <f>VLOOKUP($A120,'Data shares'!$C:$FM,106)</f>
        <v>52.87</v>
      </c>
      <c r="F120" s="50">
        <f>VLOOKUP($A120,'Data shares'!$C:$FM,108)</f>
        <v>-7.93</v>
      </c>
      <c r="G120" s="50">
        <f t="shared" si="3"/>
        <v>0.85000945715906939</v>
      </c>
    </row>
    <row r="121" spans="1:7" x14ac:dyDescent="0.25">
      <c r="A121" s="49" t="str">
        <f>'Data shares'!C116</f>
        <v>ITC</v>
      </c>
      <c r="B121" s="50">
        <f>VLOOKUP($A121,'Data shares'!$C:$FM,102)</f>
        <v>13.8</v>
      </c>
      <c r="C121" s="50">
        <f>VLOOKUP($A121,'Data shares'!$C:$FM,110)</f>
        <v>14.07</v>
      </c>
      <c r="D121" s="50">
        <f>VLOOKUP($A121,'Data shares'!$C:$FM,114)</f>
        <v>13.32</v>
      </c>
      <c r="E121" s="50">
        <f>VLOOKUP($A121,'Data shares'!$C:$FM,106)</f>
        <v>20.82</v>
      </c>
      <c r="F121" s="50">
        <f>VLOOKUP($A121,'Data shares'!$C:$FM,108)</f>
        <v>-7.02</v>
      </c>
      <c r="G121" s="50">
        <f t="shared" si="3"/>
        <v>0.66282420749279536</v>
      </c>
    </row>
    <row r="122" spans="1:7" x14ac:dyDescent="0.25">
      <c r="A122" s="49" t="str">
        <f>'Data shares'!C117</f>
        <v>JINDALSTEL</v>
      </c>
      <c r="B122" s="50">
        <f>VLOOKUP($A122,'Data shares'!$C:$FM,102)</f>
        <v>31.47</v>
      </c>
      <c r="C122" s="50">
        <f>VLOOKUP($A122,'Data shares'!$C:$FM,110)</f>
        <v>31.29</v>
      </c>
      <c r="D122" s="50">
        <f>VLOOKUP($A122,'Data shares'!$C:$FM,114)</f>
        <v>31.75</v>
      </c>
      <c r="E122" s="50">
        <f>VLOOKUP($A122,'Data shares'!$C:$FM,106)</f>
        <v>37.590000000000003</v>
      </c>
      <c r="F122" s="50">
        <f>VLOOKUP($A122,'Data shares'!$C:$FM,108)</f>
        <v>-6.12</v>
      </c>
      <c r="G122" s="50">
        <f t="shared" si="3"/>
        <v>0.83719074221867507</v>
      </c>
    </row>
    <row r="123" spans="1:7" x14ac:dyDescent="0.25">
      <c r="A123" s="49" t="str">
        <f>'Data shares'!C118</f>
        <v>JIOFIN</v>
      </c>
      <c r="B123" s="50">
        <f>VLOOKUP($A123,'Data shares'!$C:$FM,102)</f>
        <v>29.52</v>
      </c>
      <c r="C123" s="50">
        <f>VLOOKUP($A123,'Data shares'!$C:$FM,110)</f>
        <v>30.49</v>
      </c>
      <c r="D123" s="50">
        <f>VLOOKUP($A123,'Data shares'!$C:$FM,114)</f>
        <v>27.29</v>
      </c>
      <c r="E123" s="50">
        <f>VLOOKUP($A123,'Data shares'!$C:$FM,106)</f>
        <v>39.26</v>
      </c>
      <c r="F123" s="50">
        <f>VLOOKUP($A123,'Data shares'!$C:$FM,108)</f>
        <v>-9.74</v>
      </c>
      <c r="G123" s="50">
        <f t="shared" si="3"/>
        <v>0.75191034131431489</v>
      </c>
    </row>
    <row r="124" spans="1:7" x14ac:dyDescent="0.25">
      <c r="A124" s="49" t="str">
        <f>'Data shares'!C119</f>
        <v>JSL</v>
      </c>
      <c r="B124" s="50">
        <f>VLOOKUP($A124,'Data shares'!$C:$FM,102)</f>
        <v>34.54</v>
      </c>
      <c r="C124" s="50">
        <f>VLOOKUP($A124,'Data shares'!$C:$FM,110)</f>
        <v>35.369999999999997</v>
      </c>
      <c r="D124" s="50">
        <f>VLOOKUP($A124,'Data shares'!$C:$FM,114)</f>
        <v>33.549999999999997</v>
      </c>
      <c r="E124" s="50">
        <f>VLOOKUP($A124,'Data shares'!$C:$FM,106)</f>
        <v>44.99</v>
      </c>
      <c r="F124" s="50">
        <f>VLOOKUP($A124,'Data shares'!$C:$FM,108)</f>
        <v>-10.45</v>
      </c>
      <c r="G124" s="50">
        <f t="shared" si="3"/>
        <v>0.76772616136919314</v>
      </c>
    </row>
    <row r="125" spans="1:7" x14ac:dyDescent="0.25">
      <c r="A125" s="49" t="str">
        <f>'Data shares'!C120</f>
        <v>JSWENERGY</v>
      </c>
      <c r="B125" s="50">
        <f>VLOOKUP($A125,'Data shares'!$C:$FM,102)</f>
        <v>35.01</v>
      </c>
      <c r="C125" s="50">
        <f>VLOOKUP($A125,'Data shares'!$C:$FM,110)</f>
        <v>34.869999999999997</v>
      </c>
      <c r="D125" s="50">
        <f>VLOOKUP($A125,'Data shares'!$C:$FM,114)</f>
        <v>35.479999999999997</v>
      </c>
      <c r="E125" s="50">
        <f>VLOOKUP($A125,'Data shares'!$C:$FM,106)</f>
        <v>49.56</v>
      </c>
      <c r="F125" s="50">
        <f>VLOOKUP($A125,'Data shares'!$C:$FM,108)</f>
        <v>-14.55</v>
      </c>
      <c r="G125" s="50">
        <f t="shared" si="3"/>
        <v>0.70641646489104104</v>
      </c>
    </row>
    <row r="126" spans="1:7" x14ac:dyDescent="0.25">
      <c r="A126" s="49" t="str">
        <f>'Data shares'!C121</f>
        <v>JSWSTEEL</v>
      </c>
      <c r="B126" s="50">
        <f>VLOOKUP($A126,'Data shares'!$C:$FM,102)</f>
        <v>24.59</v>
      </c>
      <c r="C126" s="50">
        <f>VLOOKUP($A126,'Data shares'!$C:$FM,110)</f>
        <v>24.88</v>
      </c>
      <c r="D126" s="50">
        <f>VLOOKUP($A126,'Data shares'!$C:$FM,114)</f>
        <v>23.91</v>
      </c>
      <c r="E126" s="50">
        <f>VLOOKUP($A126,'Data shares'!$C:$FM,106)</f>
        <v>31.46</v>
      </c>
      <c r="F126" s="50">
        <f>VLOOKUP($A126,'Data shares'!$C:$FM,108)</f>
        <v>-6.87</v>
      </c>
      <c r="G126" s="50">
        <f t="shared" si="3"/>
        <v>0.78162746344564527</v>
      </c>
    </row>
    <row r="127" spans="1:7" x14ac:dyDescent="0.25">
      <c r="A127" s="49" t="str">
        <f>'Data shares'!C122</f>
        <v>JUBLFOOD</v>
      </c>
      <c r="B127" s="50">
        <f>VLOOKUP($A127,'Data shares'!$C:$FM,102)</f>
        <v>30.75</v>
      </c>
      <c r="C127" s="50">
        <f>VLOOKUP($A127,'Data shares'!$C:$FM,110)</f>
        <v>31.81</v>
      </c>
      <c r="D127" s="50">
        <f>VLOOKUP($A127,'Data shares'!$C:$FM,114)</f>
        <v>28.34</v>
      </c>
      <c r="E127" s="50">
        <f>VLOOKUP($A127,'Data shares'!$C:$FM,106)</f>
        <v>36.520000000000003</v>
      </c>
      <c r="F127" s="50">
        <f>VLOOKUP($A127,'Data shares'!$C:$FM,108)</f>
        <v>-5.77</v>
      </c>
      <c r="G127" s="50">
        <f t="shared" si="3"/>
        <v>0.84200438116100762</v>
      </c>
    </row>
    <row r="128" spans="1:7" x14ac:dyDescent="0.25">
      <c r="A128" s="49" t="str">
        <f>'Data shares'!C123</f>
        <v>KALYANKJIL</v>
      </c>
      <c r="B128" s="50">
        <f>VLOOKUP($A128,'Data shares'!$C:$FM,102)</f>
        <v>33.57</v>
      </c>
      <c r="C128" s="50">
        <f>VLOOKUP($A128,'Data shares'!$C:$FM,110)</f>
        <v>33.4</v>
      </c>
      <c r="D128" s="50">
        <f>VLOOKUP($A128,'Data shares'!$C:$FM,114)</f>
        <v>34.01</v>
      </c>
      <c r="E128" s="50">
        <f>VLOOKUP($A128,'Data shares'!$C:$FM,106)</f>
        <v>54.12</v>
      </c>
      <c r="F128" s="50">
        <f>VLOOKUP($A128,'Data shares'!$C:$FM,108)</f>
        <v>-20.55</v>
      </c>
      <c r="G128" s="50">
        <f t="shared" si="3"/>
        <v>0.62028824833702889</v>
      </c>
    </row>
    <row r="129" spans="1:7" x14ac:dyDescent="0.25">
      <c r="A129" s="49" t="str">
        <f>'Data shares'!C124</f>
        <v>KAYNES</v>
      </c>
      <c r="B129" s="50">
        <f>VLOOKUP($A129,'Data shares'!$C:$FM,102)</f>
        <v>45.09</v>
      </c>
      <c r="C129" s="50">
        <f>VLOOKUP($A129,'Data shares'!$C:$FM,110)</f>
        <v>45.7</v>
      </c>
      <c r="D129" s="50">
        <f>VLOOKUP($A129,'Data shares'!$C:$FM,114)</f>
        <v>42.26</v>
      </c>
      <c r="E129" s="50">
        <f>VLOOKUP($A129,'Data shares'!$C:$FM,106)</f>
        <v>58.1</v>
      </c>
      <c r="F129" s="50">
        <f>VLOOKUP($A129,'Data shares'!$C:$FM,108)</f>
        <v>-13.01</v>
      </c>
      <c r="G129" s="50">
        <f t="shared" si="3"/>
        <v>0.77607573149741826</v>
      </c>
    </row>
    <row r="130" spans="1:7" x14ac:dyDescent="0.25">
      <c r="A130" s="49" t="str">
        <f>'Data shares'!C125</f>
        <v>KEI</v>
      </c>
      <c r="B130" s="50">
        <f>VLOOKUP($A130,'Data shares'!$C:$FM,102)</f>
        <v>43.43</v>
      </c>
      <c r="C130" s="50">
        <f>VLOOKUP($A130,'Data shares'!$C:$FM,110)</f>
        <v>43.57</v>
      </c>
      <c r="D130" s="50">
        <f>VLOOKUP($A130,'Data shares'!$C:$FM,114)</f>
        <v>43.03</v>
      </c>
      <c r="E130" s="50">
        <f>VLOOKUP($A130,'Data shares'!$C:$FM,106)</f>
        <v>53.92</v>
      </c>
      <c r="F130" s="50">
        <f>VLOOKUP($A130,'Data shares'!$C:$FM,108)</f>
        <v>-10.49</v>
      </c>
      <c r="G130" s="50">
        <f t="shared" si="3"/>
        <v>0.80545252225519282</v>
      </c>
    </row>
    <row r="131" spans="1:7" x14ac:dyDescent="0.25">
      <c r="A131" s="49" t="str">
        <f>'Data shares'!C126</f>
        <v>KFINTECH</v>
      </c>
      <c r="B131" s="50">
        <f>VLOOKUP($A131,'Data shares'!$C:$FM,102)</f>
        <v>50.39</v>
      </c>
      <c r="C131" s="50">
        <f>VLOOKUP($A131,'Data shares'!$C:$FM,110)</f>
        <v>50.39</v>
      </c>
      <c r="D131" s="50">
        <f>VLOOKUP($A131,'Data shares'!$C:$FM,114)</f>
        <v>50.44</v>
      </c>
      <c r="E131" s="50">
        <f>VLOOKUP($A131,'Data shares'!$C:$FM,106)</f>
        <v>60.53</v>
      </c>
      <c r="F131" s="50">
        <f>VLOOKUP($A131,'Data shares'!$C:$FM,108)</f>
        <v>-10.14</v>
      </c>
      <c r="G131" s="50">
        <f t="shared" si="3"/>
        <v>0.83247976210143726</v>
      </c>
    </row>
    <row r="132" spans="1:7" x14ac:dyDescent="0.25">
      <c r="A132" s="49" t="str">
        <f>'Data shares'!C127</f>
        <v>KOTAKBANK</v>
      </c>
      <c r="B132" s="50">
        <f>VLOOKUP($A132,'Data shares'!$C:$FM,102)</f>
        <v>27.97</v>
      </c>
      <c r="C132" s="50">
        <f>VLOOKUP($A132,'Data shares'!$C:$FM,110)</f>
        <v>27.67</v>
      </c>
      <c r="D132" s="50">
        <f>VLOOKUP($A132,'Data shares'!$C:$FM,114)</f>
        <v>28.45</v>
      </c>
      <c r="E132" s="50">
        <f>VLOOKUP($A132,'Data shares'!$C:$FM,106)</f>
        <v>27.59</v>
      </c>
      <c r="F132" s="50">
        <f>VLOOKUP($A132,'Data shares'!$C:$FM,108)</f>
        <v>0.38</v>
      </c>
      <c r="G132" s="50">
        <f t="shared" si="3"/>
        <v>1.0137731061978978</v>
      </c>
    </row>
    <row r="133" spans="1:7" x14ac:dyDescent="0.25">
      <c r="A133" s="49" t="str">
        <f>'Data shares'!C128</f>
        <v>KPITTECH</v>
      </c>
      <c r="B133" s="50">
        <f>VLOOKUP($A133,'Data shares'!$C:$FM,102)</f>
        <v>38.92</v>
      </c>
      <c r="C133" s="50">
        <f>VLOOKUP($A133,'Data shares'!$C:$FM,110)</f>
        <v>39.76</v>
      </c>
      <c r="D133" s="50">
        <f>VLOOKUP($A133,'Data shares'!$C:$FM,114)</f>
        <v>37.15</v>
      </c>
      <c r="E133" s="50">
        <f>VLOOKUP($A133,'Data shares'!$C:$FM,106)</f>
        <v>46.4</v>
      </c>
      <c r="F133" s="50">
        <f>VLOOKUP($A133,'Data shares'!$C:$FM,108)</f>
        <v>-7.48</v>
      </c>
      <c r="G133" s="50">
        <f t="shared" si="3"/>
        <v>0.83879310344827596</v>
      </c>
    </row>
    <row r="134" spans="1:7" x14ac:dyDescent="0.25">
      <c r="A134" s="49" t="str">
        <f>'Data shares'!C129</f>
        <v>LAURUSLABS</v>
      </c>
      <c r="B134" s="50">
        <f>VLOOKUP($A134,'Data shares'!$C:$FM,102)</f>
        <v>39.65</v>
      </c>
      <c r="C134" s="50">
        <f>VLOOKUP($A134,'Data shares'!$C:$FM,110)</f>
        <v>38.14</v>
      </c>
      <c r="D134" s="50">
        <f>VLOOKUP($A134,'Data shares'!$C:$FM,114)</f>
        <v>41.55</v>
      </c>
      <c r="E134" s="50">
        <f>VLOOKUP($A134,'Data shares'!$C:$FM,106)</f>
        <v>42.46</v>
      </c>
      <c r="F134" s="50">
        <f>VLOOKUP($A134,'Data shares'!$C:$FM,108)</f>
        <v>-2.81</v>
      </c>
      <c r="G134" s="50">
        <f t="shared" si="3"/>
        <v>0.93382006594441824</v>
      </c>
    </row>
    <row r="135" spans="1:7" x14ac:dyDescent="0.25">
      <c r="A135" s="49" t="str">
        <f>'Data shares'!C130</f>
        <v>LICHSGFIN</v>
      </c>
      <c r="B135" s="50">
        <f>VLOOKUP($A135,'Data shares'!$C:$FM,102)</f>
        <v>24.89</v>
      </c>
      <c r="C135" s="50">
        <f>VLOOKUP($A135,'Data shares'!$C:$FM,110)</f>
        <v>24.92</v>
      </c>
      <c r="D135" s="50">
        <f>VLOOKUP($A135,'Data shares'!$C:$FM,114)</f>
        <v>24.78</v>
      </c>
      <c r="E135" s="50">
        <f>VLOOKUP($A135,'Data shares'!$C:$FM,106)</f>
        <v>37.729999999999997</v>
      </c>
      <c r="F135" s="50">
        <f>VLOOKUP($A135,'Data shares'!$C:$FM,108)</f>
        <v>-12.84</v>
      </c>
      <c r="G135" s="50">
        <f t="shared" ref="G135:G166" si="4">B135/E135</f>
        <v>0.65968725152398633</v>
      </c>
    </row>
    <row r="136" spans="1:7" x14ac:dyDescent="0.25">
      <c r="A136" s="49" t="str">
        <f>'Data shares'!C131</f>
        <v>LICI</v>
      </c>
      <c r="B136" s="50">
        <f>VLOOKUP($A136,'Data shares'!$C:$FM,102)</f>
        <v>25.48</v>
      </c>
      <c r="C136" s="50">
        <f>VLOOKUP($A136,'Data shares'!$C:$FM,110)</f>
        <v>26.41</v>
      </c>
      <c r="D136" s="50">
        <f>VLOOKUP($A136,'Data shares'!$C:$FM,114)</f>
        <v>22.17</v>
      </c>
      <c r="E136" s="50">
        <f>VLOOKUP($A136,'Data shares'!$C:$FM,106)</f>
        <v>35.229999999999997</v>
      </c>
      <c r="F136" s="50">
        <f>VLOOKUP($A136,'Data shares'!$C:$FM,108)</f>
        <v>-9.75</v>
      </c>
      <c r="G136" s="50">
        <f t="shared" si="4"/>
        <v>0.72324723247232481</v>
      </c>
    </row>
    <row r="137" spans="1:7" x14ac:dyDescent="0.25">
      <c r="A137" s="49" t="str">
        <f>'Data shares'!C132</f>
        <v>LODHA</v>
      </c>
      <c r="B137" s="50">
        <f>VLOOKUP($A137,'Data shares'!$C:$FM,102)</f>
        <v>34.54</v>
      </c>
      <c r="C137" s="50">
        <f>VLOOKUP($A137,'Data shares'!$C:$FM,110)</f>
        <v>34.57</v>
      </c>
      <c r="D137" s="50">
        <f>VLOOKUP($A137,'Data shares'!$C:$FM,114)</f>
        <v>34.479999999999997</v>
      </c>
      <c r="E137" s="50">
        <f>VLOOKUP($A137,'Data shares'!$C:$FM,106)</f>
        <v>50.63</v>
      </c>
      <c r="F137" s="50">
        <f>VLOOKUP($A137,'Data shares'!$C:$FM,108)</f>
        <v>-16.09</v>
      </c>
      <c r="G137" s="50">
        <f t="shared" si="4"/>
        <v>0.68220422674303771</v>
      </c>
    </row>
    <row r="138" spans="1:7" x14ac:dyDescent="0.25">
      <c r="A138" s="49" t="str">
        <f>'Data shares'!C133</f>
        <v>LT</v>
      </c>
      <c r="B138" s="50">
        <f>VLOOKUP($A138,'Data shares'!$C:$FM,102)</f>
        <v>22.97</v>
      </c>
      <c r="C138" s="50">
        <f>VLOOKUP($A138,'Data shares'!$C:$FM,110)</f>
        <v>23.36</v>
      </c>
      <c r="D138" s="50">
        <f>VLOOKUP($A138,'Data shares'!$C:$FM,114)</f>
        <v>21.51</v>
      </c>
      <c r="E138" s="50">
        <f>VLOOKUP($A138,'Data shares'!$C:$FM,106)</f>
        <v>30.01</v>
      </c>
      <c r="F138" s="50">
        <f>VLOOKUP($A138,'Data shares'!$C:$FM,108)</f>
        <v>-7.04</v>
      </c>
      <c r="G138" s="50">
        <f t="shared" si="4"/>
        <v>0.76541152949016988</v>
      </c>
    </row>
    <row r="139" spans="1:7" x14ac:dyDescent="0.25">
      <c r="A139" s="49" t="str">
        <f>'Data shares'!C134</f>
        <v>LTF</v>
      </c>
      <c r="B139" s="50">
        <f>VLOOKUP($A139,'Data shares'!$C:$FM,102)</f>
        <v>30.91</v>
      </c>
      <c r="C139" s="50">
        <f>VLOOKUP($A139,'Data shares'!$C:$FM,110)</f>
        <v>30.09</v>
      </c>
      <c r="D139" s="50">
        <f>VLOOKUP($A139,'Data shares'!$C:$FM,114)</f>
        <v>32.47</v>
      </c>
      <c r="E139" s="50">
        <f>VLOOKUP($A139,'Data shares'!$C:$FM,106)</f>
        <v>40.39</v>
      </c>
      <c r="F139" s="50">
        <f>VLOOKUP($A139,'Data shares'!$C:$FM,108)</f>
        <v>-9.48</v>
      </c>
      <c r="G139" s="50">
        <f t="shared" si="4"/>
        <v>0.76528843773211186</v>
      </c>
    </row>
    <row r="140" spans="1:7" x14ac:dyDescent="0.25">
      <c r="A140" s="49" t="str">
        <f>'Data shares'!C135</f>
        <v>LTIM</v>
      </c>
      <c r="B140" s="50">
        <f>VLOOKUP($A140,'Data shares'!$C:$FM,102)</f>
        <v>25.97</v>
      </c>
      <c r="C140" s="50">
        <f>VLOOKUP($A140,'Data shares'!$C:$FM,110)</f>
        <v>25.97</v>
      </c>
      <c r="D140" s="50">
        <f>VLOOKUP($A140,'Data shares'!$C:$FM,114)</f>
        <v>25.97</v>
      </c>
      <c r="E140" s="50">
        <f>VLOOKUP($A140,'Data shares'!$C:$FM,106)</f>
        <v>35.24</v>
      </c>
      <c r="F140" s="50">
        <f>VLOOKUP($A140,'Data shares'!$C:$FM,108)</f>
        <v>-9.27</v>
      </c>
      <c r="G140" s="50">
        <f t="shared" si="4"/>
        <v>0.73694665153234951</v>
      </c>
    </row>
    <row r="141" spans="1:7" x14ac:dyDescent="0.25">
      <c r="A141" s="49" t="str">
        <f>'Data shares'!C136</f>
        <v>LUPIN</v>
      </c>
      <c r="B141" s="50">
        <f>VLOOKUP($A141,'Data shares'!$C:$FM,102)</f>
        <v>25.53</v>
      </c>
      <c r="C141" s="50">
        <f>VLOOKUP($A141,'Data shares'!$C:$FM,110)</f>
        <v>25.75</v>
      </c>
      <c r="D141" s="50">
        <f>VLOOKUP($A141,'Data shares'!$C:$FM,114)</f>
        <v>25.15</v>
      </c>
      <c r="E141" s="50">
        <f>VLOOKUP($A141,'Data shares'!$C:$FM,106)</f>
        <v>33.49</v>
      </c>
      <c r="F141" s="50">
        <f>VLOOKUP($A141,'Data shares'!$C:$FM,108)</f>
        <v>-7.96</v>
      </c>
      <c r="G141" s="50">
        <f t="shared" si="4"/>
        <v>0.76231710958495069</v>
      </c>
    </row>
    <row r="142" spans="1:7" x14ac:dyDescent="0.25">
      <c r="A142" s="49" t="str">
        <f>'Data shares'!C137</f>
        <v>M&amp;M</v>
      </c>
      <c r="B142" s="50">
        <f>VLOOKUP($A142,'Data shares'!$C:$FM,102)</f>
        <v>28.62</v>
      </c>
      <c r="C142" s="50">
        <f>VLOOKUP($A142,'Data shares'!$C:$FM,110)</f>
        <v>27.88</v>
      </c>
      <c r="D142" s="50">
        <f>VLOOKUP($A142,'Data shares'!$C:$FM,114)</f>
        <v>30.37</v>
      </c>
      <c r="E142" s="50">
        <f>VLOOKUP($A142,'Data shares'!$C:$FM,106)</f>
        <v>34.93</v>
      </c>
      <c r="F142" s="50">
        <f>VLOOKUP($A142,'Data shares'!$C:$FM,108)</f>
        <v>-6.31</v>
      </c>
      <c r="G142" s="50">
        <f t="shared" si="4"/>
        <v>0.81935299169768117</v>
      </c>
    </row>
    <row r="143" spans="1:7" x14ac:dyDescent="0.25">
      <c r="A143" s="49" t="str">
        <f>'Data shares'!C138</f>
        <v>M&amp;MFIN</v>
      </c>
      <c r="B143" s="50">
        <f>VLOOKUP($A143,'Data shares'!$C:$FM,102)</f>
        <v>36.11</v>
      </c>
      <c r="C143" s="50">
        <f>VLOOKUP($A143,'Data shares'!$C:$FM,110)</f>
        <v>36.17</v>
      </c>
      <c r="D143" s="50">
        <f>VLOOKUP($A143,'Data shares'!$C:$FM,114)</f>
        <v>35.97</v>
      </c>
      <c r="E143" s="50">
        <f>VLOOKUP($A143,'Data shares'!$C:$FM,106)</f>
        <v>36.97</v>
      </c>
      <c r="F143" s="50">
        <f>VLOOKUP($A143,'Data shares'!$C:$FM,108)</f>
        <v>-0.86</v>
      </c>
      <c r="G143" s="50">
        <f t="shared" si="4"/>
        <v>0.97673789559101976</v>
      </c>
    </row>
    <row r="144" spans="1:7" x14ac:dyDescent="0.25">
      <c r="A144" s="49" t="str">
        <f>'Data shares'!C139</f>
        <v>MANAPPURAM</v>
      </c>
      <c r="B144" s="50">
        <f>VLOOKUP($A144,'Data shares'!$C:$FM,102)</f>
        <v>23.66</v>
      </c>
      <c r="C144" s="50">
        <f>VLOOKUP($A144,'Data shares'!$C:$FM,110)</f>
        <v>23.79</v>
      </c>
      <c r="D144" s="50">
        <f>VLOOKUP($A144,'Data shares'!$C:$FM,114)</f>
        <v>23.33</v>
      </c>
      <c r="E144" s="50">
        <f>VLOOKUP($A144,'Data shares'!$C:$FM,106)</f>
        <v>45.89</v>
      </c>
      <c r="F144" s="50">
        <f>VLOOKUP($A144,'Data shares'!$C:$FM,108)</f>
        <v>-22.23</v>
      </c>
      <c r="G144" s="50">
        <f t="shared" si="4"/>
        <v>0.51558073654390935</v>
      </c>
    </row>
    <row r="145" spans="1:7" x14ac:dyDescent="0.25">
      <c r="A145" s="49" t="str">
        <f>'Data shares'!C140</f>
        <v>MANKIND</v>
      </c>
      <c r="B145" s="50">
        <f>VLOOKUP($A145,'Data shares'!$C:$FM,102)</f>
        <v>38.31</v>
      </c>
      <c r="C145" s="50">
        <f>VLOOKUP($A145,'Data shares'!$C:$FM,110)</f>
        <v>38.630000000000003</v>
      </c>
      <c r="D145" s="50">
        <f>VLOOKUP($A145,'Data shares'!$C:$FM,114)</f>
        <v>36.83</v>
      </c>
      <c r="E145" s="50">
        <f>VLOOKUP($A145,'Data shares'!$C:$FM,106)</f>
        <v>37.32</v>
      </c>
      <c r="F145" s="50">
        <f>VLOOKUP($A145,'Data shares'!$C:$FM,108)</f>
        <v>0.99</v>
      </c>
      <c r="G145" s="50">
        <f t="shared" si="4"/>
        <v>1.0265273311897107</v>
      </c>
    </row>
    <row r="146" spans="1:7" x14ac:dyDescent="0.25">
      <c r="A146" s="49" t="str">
        <f>'Data shares'!C141</f>
        <v>MARICO</v>
      </c>
      <c r="B146" s="50">
        <f>VLOOKUP($A146,'Data shares'!$C:$FM,102)</f>
        <v>21.82</v>
      </c>
      <c r="C146" s="50">
        <f>VLOOKUP($A146,'Data shares'!$C:$FM,110)</f>
        <v>22.61</v>
      </c>
      <c r="D146" s="50">
        <f>VLOOKUP($A146,'Data shares'!$C:$FM,114)</f>
        <v>19.98</v>
      </c>
      <c r="E146" s="50">
        <f>VLOOKUP($A146,'Data shares'!$C:$FM,106)</f>
        <v>27.57</v>
      </c>
      <c r="F146" s="50">
        <f>VLOOKUP($A146,'Data shares'!$C:$FM,108)</f>
        <v>-5.75</v>
      </c>
      <c r="G146" s="50">
        <f t="shared" si="4"/>
        <v>0.79143997098295249</v>
      </c>
    </row>
    <row r="147" spans="1:7" x14ac:dyDescent="0.25">
      <c r="A147" s="49" t="str">
        <f>'Data shares'!C142</f>
        <v>MARUTI</v>
      </c>
      <c r="B147" s="50">
        <f>VLOOKUP($A147,'Data shares'!$C:$FM,102)</f>
        <v>17.649999999999999</v>
      </c>
      <c r="C147" s="50">
        <f>VLOOKUP($A147,'Data shares'!$C:$FM,110)</f>
        <v>16.760000000000002</v>
      </c>
      <c r="D147" s="50">
        <f>VLOOKUP($A147,'Data shares'!$C:$FM,114)</f>
        <v>19.420000000000002</v>
      </c>
      <c r="E147" s="50">
        <f>VLOOKUP($A147,'Data shares'!$C:$FM,106)</f>
        <v>24.92</v>
      </c>
      <c r="F147" s="50">
        <f>VLOOKUP($A147,'Data shares'!$C:$FM,108)</f>
        <v>-7.27</v>
      </c>
      <c r="G147" s="50">
        <f t="shared" si="4"/>
        <v>0.70826645264847499</v>
      </c>
    </row>
    <row r="148" spans="1:7" x14ac:dyDescent="0.25">
      <c r="A148" s="49" t="str">
        <f>'Data shares'!C143</f>
        <v>MAXHEALTH</v>
      </c>
      <c r="B148" s="50">
        <f>VLOOKUP($A148,'Data shares'!$C:$FM,102)</f>
        <v>35.15</v>
      </c>
      <c r="C148" s="50">
        <f>VLOOKUP($A148,'Data shares'!$C:$FM,110)</f>
        <v>35.79</v>
      </c>
      <c r="D148" s="50">
        <f>VLOOKUP($A148,'Data shares'!$C:$FM,114)</f>
        <v>32.89</v>
      </c>
      <c r="E148" s="50">
        <f>VLOOKUP($A148,'Data shares'!$C:$FM,106)</f>
        <v>43.76</v>
      </c>
      <c r="F148" s="50">
        <f>VLOOKUP($A148,'Data shares'!$C:$FM,108)</f>
        <v>-8.61</v>
      </c>
      <c r="G148" s="50">
        <f t="shared" si="4"/>
        <v>0.80324497257769656</v>
      </c>
    </row>
    <row r="149" spans="1:7" x14ac:dyDescent="0.25">
      <c r="A149" s="49" t="str">
        <f>'Data shares'!C144</f>
        <v>MAZDOCK</v>
      </c>
      <c r="B149" s="50">
        <f>VLOOKUP($A149,'Data shares'!$C:$FM,102)</f>
        <v>43.3</v>
      </c>
      <c r="C149" s="50">
        <f>VLOOKUP($A149,'Data shares'!$C:$FM,110)</f>
        <v>44.26</v>
      </c>
      <c r="D149" s="50">
        <f>VLOOKUP($A149,'Data shares'!$C:$FM,114)</f>
        <v>38.86</v>
      </c>
      <c r="E149" s="50">
        <f>VLOOKUP($A149,'Data shares'!$C:$FM,106)</f>
        <v>65.930000000000007</v>
      </c>
      <c r="F149" s="50">
        <f>VLOOKUP($A149,'Data shares'!$C:$FM,108)</f>
        <v>-22.63</v>
      </c>
      <c r="G149" s="50">
        <f t="shared" si="4"/>
        <v>0.65675716669194584</v>
      </c>
    </row>
    <row r="150" spans="1:7" x14ac:dyDescent="0.25">
      <c r="A150" s="49" t="str">
        <f>'Data shares'!C145</f>
        <v>MCX</v>
      </c>
      <c r="B150" s="50">
        <f>VLOOKUP($A150,'Data shares'!$C:$FM,102)</f>
        <v>35.76</v>
      </c>
      <c r="C150" s="50">
        <f>VLOOKUP($A150,'Data shares'!$C:$FM,110)</f>
        <v>36.450000000000003</v>
      </c>
      <c r="D150" s="50">
        <f>VLOOKUP($A150,'Data shares'!$C:$FM,114)</f>
        <v>33.950000000000003</v>
      </c>
      <c r="E150" s="50">
        <f>VLOOKUP($A150,'Data shares'!$C:$FM,106)</f>
        <v>48.97</v>
      </c>
      <c r="F150" s="50">
        <f>VLOOKUP($A150,'Data shares'!$C:$FM,108)</f>
        <v>-13.21</v>
      </c>
      <c r="G150" s="50">
        <f t="shared" si="4"/>
        <v>0.73024300592199298</v>
      </c>
    </row>
    <row r="151" spans="1:7" x14ac:dyDescent="0.25">
      <c r="A151" s="49" t="str">
        <f>'Data shares'!C146</f>
        <v>MFSL</v>
      </c>
      <c r="B151" s="50">
        <f>VLOOKUP($A151,'Data shares'!$C:$FM,102)</f>
        <v>25.9</v>
      </c>
      <c r="C151" s="50">
        <f>VLOOKUP($A151,'Data shares'!$C:$FM,110)</f>
        <v>25.61</v>
      </c>
      <c r="D151" s="50">
        <f>VLOOKUP($A151,'Data shares'!$C:$FM,114)</f>
        <v>26.63</v>
      </c>
      <c r="E151" s="50">
        <f>VLOOKUP($A151,'Data shares'!$C:$FM,106)</f>
        <v>32.26</v>
      </c>
      <c r="F151" s="50">
        <f>VLOOKUP($A151,'Data shares'!$C:$FM,108)</f>
        <v>-6.36</v>
      </c>
      <c r="G151" s="50">
        <f t="shared" si="4"/>
        <v>0.80285182889026663</v>
      </c>
    </row>
    <row r="152" spans="1:7" x14ac:dyDescent="0.25">
      <c r="A152" s="49" t="str">
        <f>'Data shares'!C147</f>
        <v>MGL</v>
      </c>
      <c r="B152" s="50">
        <f>VLOOKUP($A152,'Data shares'!$C:$FM,102)</f>
        <v>38.229999999999997</v>
      </c>
      <c r="C152" s="50">
        <f>VLOOKUP($A152,'Data shares'!$C:$FM,110)</f>
        <v>38.96</v>
      </c>
      <c r="D152" s="50">
        <f>VLOOKUP($A152,'Data shares'!$C:$FM,114)</f>
        <v>36.520000000000003</v>
      </c>
      <c r="E152" s="50">
        <f>VLOOKUP($A152,'Data shares'!$C:$FM,106)</f>
        <v>45.12</v>
      </c>
      <c r="F152" s="50">
        <f>VLOOKUP($A152,'Data shares'!$C:$FM,108)</f>
        <v>-6.89</v>
      </c>
      <c r="G152" s="50">
        <f t="shared" si="4"/>
        <v>0.84729609929078009</v>
      </c>
    </row>
    <row r="153" spans="1:7" x14ac:dyDescent="0.25">
      <c r="A153" s="49" t="str">
        <f>'Data shares'!C148</f>
        <v>MIDCPNIFTY</v>
      </c>
      <c r="B153" s="50">
        <f>VLOOKUP($A153,'Data shares'!$C:$FM,102)</f>
        <v>16.14</v>
      </c>
      <c r="C153" s="50">
        <f>VLOOKUP($A153,'Data shares'!$C:$FM,110)</f>
        <v>15.95</v>
      </c>
      <c r="D153" s="50">
        <f>VLOOKUP($A153,'Data shares'!$C:$FM,114)</f>
        <v>16.36</v>
      </c>
      <c r="E153" s="50">
        <f>VLOOKUP($A153,'Data shares'!$C:$FM,106)</f>
        <v>24.2</v>
      </c>
      <c r="F153" s="50">
        <f>VLOOKUP($A153,'Data shares'!$C:$FM,108)</f>
        <v>-8.06</v>
      </c>
      <c r="G153" s="50">
        <f t="shared" si="4"/>
        <v>0.66694214876033064</v>
      </c>
    </row>
    <row r="154" spans="1:7" x14ac:dyDescent="0.25">
      <c r="A154" s="49" t="str">
        <f>'Data shares'!C149</f>
        <v>MOTHERSON</v>
      </c>
      <c r="B154" s="50">
        <f>VLOOKUP($A154,'Data shares'!$C:$FM,102)</f>
        <v>33.65</v>
      </c>
      <c r="C154" s="50">
        <f>VLOOKUP($A154,'Data shares'!$C:$FM,110)</f>
        <v>34.85</v>
      </c>
      <c r="D154" s="50">
        <f>VLOOKUP($A154,'Data shares'!$C:$FM,114)</f>
        <v>31.41</v>
      </c>
      <c r="E154" s="50">
        <f>VLOOKUP($A154,'Data shares'!$C:$FM,106)</f>
        <v>41.62</v>
      </c>
      <c r="F154" s="50">
        <f>VLOOKUP($A154,'Data shares'!$C:$FM,108)</f>
        <v>-7.97</v>
      </c>
      <c r="G154" s="50">
        <f t="shared" si="4"/>
        <v>0.80850552618933202</v>
      </c>
    </row>
    <row r="155" spans="1:7" x14ac:dyDescent="0.25">
      <c r="A155" s="49" t="str">
        <f>'Data shares'!C150</f>
        <v>MPHASIS</v>
      </c>
      <c r="B155" s="50">
        <f>VLOOKUP($A155,'Data shares'!$C:$FM,102)</f>
        <v>38.6</v>
      </c>
      <c r="C155" s="50">
        <f>VLOOKUP($A155,'Data shares'!$C:$FM,110)</f>
        <v>38.67</v>
      </c>
      <c r="D155" s="50">
        <f>VLOOKUP($A155,'Data shares'!$C:$FM,114)</f>
        <v>38.5</v>
      </c>
      <c r="E155" s="50">
        <f>VLOOKUP($A155,'Data shares'!$C:$FM,106)</f>
        <v>38.67</v>
      </c>
      <c r="F155" s="50">
        <f>VLOOKUP($A155,'Data shares'!$C:$FM,108)</f>
        <v>-7.0000000000000007E-2</v>
      </c>
      <c r="G155" s="50">
        <f t="shared" si="4"/>
        <v>0.99818981122317041</v>
      </c>
    </row>
    <row r="156" spans="1:7" x14ac:dyDescent="0.25">
      <c r="A156" s="49" t="str">
        <f>'Data shares'!C151</f>
        <v>MUTHOOTFIN</v>
      </c>
      <c r="B156" s="50">
        <f>VLOOKUP($A156,'Data shares'!$C:$FM,102)</f>
        <v>26.28</v>
      </c>
      <c r="C156" s="50">
        <f>VLOOKUP($A156,'Data shares'!$C:$FM,110)</f>
        <v>25.88</v>
      </c>
      <c r="D156" s="50">
        <f>VLOOKUP($A156,'Data shares'!$C:$FM,114)</f>
        <v>27.23</v>
      </c>
      <c r="E156" s="50">
        <f>VLOOKUP($A156,'Data shares'!$C:$FM,106)</f>
        <v>36.65</v>
      </c>
      <c r="F156" s="50">
        <f>VLOOKUP($A156,'Data shares'!$C:$FM,108)</f>
        <v>-10.37</v>
      </c>
      <c r="G156" s="50">
        <f t="shared" si="4"/>
        <v>0.71705320600272859</v>
      </c>
    </row>
    <row r="157" spans="1:7" x14ac:dyDescent="0.25">
      <c r="A157" s="49" t="str">
        <f>'Data shares'!C152</f>
        <v>NATIONALUM</v>
      </c>
      <c r="B157" s="50">
        <f>VLOOKUP($A157,'Data shares'!$C:$FM,102)</f>
        <v>32.229999999999997</v>
      </c>
      <c r="C157" s="50">
        <f>VLOOKUP($A157,'Data shares'!$C:$FM,110)</f>
        <v>31.88</v>
      </c>
      <c r="D157" s="50">
        <f>VLOOKUP($A157,'Data shares'!$C:$FM,114)</f>
        <v>32.97</v>
      </c>
      <c r="E157" s="50">
        <f>VLOOKUP($A157,'Data shares'!$C:$FM,106)</f>
        <v>51.32</v>
      </c>
      <c r="F157" s="50">
        <f>VLOOKUP($A157,'Data shares'!$C:$FM,108)</f>
        <v>-19.09</v>
      </c>
      <c r="G157" s="50">
        <f t="shared" si="4"/>
        <v>0.62802026500389707</v>
      </c>
    </row>
    <row r="158" spans="1:7" x14ac:dyDescent="0.25">
      <c r="A158" s="49" t="str">
        <f>'Data shares'!C153</f>
        <v>NAUKRI</v>
      </c>
      <c r="B158" s="50">
        <f>VLOOKUP($A158,'Data shares'!$C:$FM,102)</f>
        <v>33.53</v>
      </c>
      <c r="C158" s="50">
        <f>VLOOKUP($A158,'Data shares'!$C:$FM,110)</f>
        <v>34.1</v>
      </c>
      <c r="D158" s="50">
        <f>VLOOKUP($A158,'Data shares'!$C:$FM,114)</f>
        <v>31.64</v>
      </c>
      <c r="E158" s="50">
        <f>VLOOKUP($A158,'Data shares'!$C:$FM,106)</f>
        <v>40.75</v>
      </c>
      <c r="F158" s="50">
        <f>VLOOKUP($A158,'Data shares'!$C:$FM,108)</f>
        <v>-7.22</v>
      </c>
      <c r="G158" s="50">
        <f t="shared" si="4"/>
        <v>0.82282208588957062</v>
      </c>
    </row>
    <row r="159" spans="1:7" x14ac:dyDescent="0.25">
      <c r="A159" s="49" t="str">
        <f>'Data shares'!C154</f>
        <v>NBCC</v>
      </c>
      <c r="B159" s="50">
        <f>VLOOKUP($A159,'Data shares'!$C:$FM,102)</f>
        <v>31.06</v>
      </c>
      <c r="C159" s="50">
        <f>VLOOKUP($A159,'Data shares'!$C:$FM,110)</f>
        <v>31.56</v>
      </c>
      <c r="D159" s="50">
        <f>VLOOKUP($A159,'Data shares'!$C:$FM,114)</f>
        <v>29.75</v>
      </c>
      <c r="E159" s="50">
        <f>VLOOKUP($A159,'Data shares'!$C:$FM,106)</f>
        <v>57.33</v>
      </c>
      <c r="F159" s="50">
        <f>VLOOKUP($A159,'Data shares'!$C:$FM,108)</f>
        <v>-26.27</v>
      </c>
      <c r="G159" s="50">
        <f t="shared" si="4"/>
        <v>0.54177568463282744</v>
      </c>
    </row>
    <row r="160" spans="1:7" x14ac:dyDescent="0.25">
      <c r="A160" s="49" t="str">
        <f>'Data shares'!C155</f>
        <v>NCC</v>
      </c>
      <c r="B160" s="50">
        <f>VLOOKUP($A160,'Data shares'!$C:$FM,102)</f>
        <v>36.75</v>
      </c>
      <c r="C160" s="50">
        <f>VLOOKUP($A160,'Data shares'!$C:$FM,110)</f>
        <v>36.92</v>
      </c>
      <c r="D160" s="50">
        <f>VLOOKUP($A160,'Data shares'!$C:$FM,114)</f>
        <v>36.130000000000003</v>
      </c>
      <c r="E160" s="50">
        <f>VLOOKUP($A160,'Data shares'!$C:$FM,106)</f>
        <v>51.77</v>
      </c>
      <c r="F160" s="50">
        <f>VLOOKUP($A160,'Data shares'!$C:$FM,108)</f>
        <v>-15.02</v>
      </c>
      <c r="G160" s="50">
        <f t="shared" si="4"/>
        <v>0.70987058141780945</v>
      </c>
    </row>
    <row r="161" spans="1:7" x14ac:dyDescent="0.25">
      <c r="A161" s="49" t="str">
        <f>'Data shares'!C156</f>
        <v>NESTLEIND</v>
      </c>
      <c r="B161" s="50">
        <f>VLOOKUP($A161,'Data shares'!$C:$FM,102)</f>
        <v>26.87</v>
      </c>
      <c r="C161" s="50">
        <f>VLOOKUP($A161,'Data shares'!$C:$FM,110)</f>
        <v>26.95</v>
      </c>
      <c r="D161" s="50">
        <f>VLOOKUP($A161,'Data shares'!$C:$FM,114)</f>
        <v>26.77</v>
      </c>
      <c r="E161" s="50">
        <f>VLOOKUP($A161,'Data shares'!$C:$FM,106)</f>
        <v>22.21</v>
      </c>
      <c r="F161" s="50">
        <f>VLOOKUP($A161,'Data shares'!$C:$FM,108)</f>
        <v>4.66</v>
      </c>
      <c r="G161" s="50">
        <f t="shared" si="4"/>
        <v>1.209815398469158</v>
      </c>
    </row>
    <row r="162" spans="1:7" x14ac:dyDescent="0.25">
      <c r="A162" s="49" t="str">
        <f>'Data shares'!C157</f>
        <v>NHPC</v>
      </c>
      <c r="B162" s="50">
        <f>VLOOKUP($A162,'Data shares'!$C:$FM,102)</f>
        <v>30.99</v>
      </c>
      <c r="C162" s="50">
        <f>VLOOKUP($A162,'Data shares'!$C:$FM,110)</f>
        <v>31.79</v>
      </c>
      <c r="D162" s="50">
        <f>VLOOKUP($A162,'Data shares'!$C:$FM,114)</f>
        <v>28.04</v>
      </c>
      <c r="E162" s="50">
        <f>VLOOKUP($A162,'Data shares'!$C:$FM,106)</f>
        <v>42.95</v>
      </c>
      <c r="F162" s="50">
        <f>VLOOKUP($A162,'Data shares'!$C:$FM,108)</f>
        <v>-11.96</v>
      </c>
      <c r="G162" s="50">
        <f t="shared" si="4"/>
        <v>0.72153667054714776</v>
      </c>
    </row>
    <row r="163" spans="1:7" x14ac:dyDescent="0.25">
      <c r="A163" s="49" t="str">
        <f>'Data shares'!C158</f>
        <v>NIFTY</v>
      </c>
      <c r="B163" s="50">
        <f>VLOOKUP($A163,'Data shares'!$C:$FM,102)</f>
        <v>10.76</v>
      </c>
      <c r="C163" s="50">
        <f>VLOOKUP($A163,'Data shares'!$C:$FM,110)</f>
        <v>10.44</v>
      </c>
      <c r="D163" s="50">
        <f>VLOOKUP($A163,'Data shares'!$C:$FM,114)</f>
        <v>11.12</v>
      </c>
      <c r="E163" s="50">
        <f>VLOOKUP($A163,'Data shares'!$C:$FM,106)</f>
        <v>16.37</v>
      </c>
      <c r="F163" s="50">
        <f>VLOOKUP($A163,'Data shares'!$C:$FM,108)</f>
        <v>-5.61</v>
      </c>
      <c r="G163" s="50">
        <f t="shared" si="4"/>
        <v>0.65729993891264504</v>
      </c>
    </row>
    <row r="164" spans="1:7" x14ac:dyDescent="0.25">
      <c r="A164" s="49" t="str">
        <f>'Data shares'!C159</f>
        <v>NIFTYNXT50</v>
      </c>
      <c r="B164" s="50">
        <f>VLOOKUP($A164,'Data shares'!$C:$FM,102)</f>
        <v>11.16</v>
      </c>
      <c r="C164" s="50">
        <f>VLOOKUP($A164,'Data shares'!$C:$FM,110)</f>
        <v>11.16</v>
      </c>
      <c r="D164" s="50">
        <f>VLOOKUP($A164,'Data shares'!$C:$FM,114)</f>
        <v>11.15</v>
      </c>
      <c r="E164" s="50">
        <f>VLOOKUP($A164,'Data shares'!$C:$FM,106)</f>
        <v>23.25</v>
      </c>
      <c r="F164" s="50">
        <f>VLOOKUP($A164,'Data shares'!$C:$FM,108)</f>
        <v>-12.09</v>
      </c>
      <c r="G164" s="50">
        <f t="shared" si="4"/>
        <v>0.48</v>
      </c>
    </row>
    <row r="165" spans="1:7" x14ac:dyDescent="0.25">
      <c r="A165" s="49" t="str">
        <f>'Data shares'!C160</f>
        <v>NMDC</v>
      </c>
      <c r="B165" s="50">
        <f>VLOOKUP($A165,'Data shares'!$C:$FM,102)</f>
        <v>28.85</v>
      </c>
      <c r="C165" s="50">
        <f>VLOOKUP($A165,'Data shares'!$C:$FM,110)</f>
        <v>28.15</v>
      </c>
      <c r="D165" s="50">
        <f>VLOOKUP($A165,'Data shares'!$C:$FM,114)</f>
        <v>30.27</v>
      </c>
      <c r="E165" s="50">
        <f>VLOOKUP($A165,'Data shares'!$C:$FM,106)</f>
        <v>42.94</v>
      </c>
      <c r="F165" s="50">
        <f>VLOOKUP($A165,'Data shares'!$C:$FM,108)</f>
        <v>-14.09</v>
      </c>
      <c r="G165" s="50">
        <f t="shared" si="4"/>
        <v>0.67186772240335357</v>
      </c>
    </row>
    <row r="166" spans="1:7" x14ac:dyDescent="0.25">
      <c r="A166" s="49" t="str">
        <f>'Data shares'!C161</f>
        <v>NTPC</v>
      </c>
      <c r="B166" s="50">
        <f>VLOOKUP($A166,'Data shares'!$C:$FM,102)</f>
        <v>14.92</v>
      </c>
      <c r="C166" s="50">
        <f>VLOOKUP($A166,'Data shares'!$C:$FM,110)</f>
        <v>14.35</v>
      </c>
      <c r="D166" s="50">
        <f>VLOOKUP($A166,'Data shares'!$C:$FM,114)</f>
        <v>16.21</v>
      </c>
      <c r="E166" s="50">
        <f>VLOOKUP($A166,'Data shares'!$C:$FM,106)</f>
        <v>31.63</v>
      </c>
      <c r="F166" s="50">
        <f>VLOOKUP($A166,'Data shares'!$C:$FM,108)</f>
        <v>-16.71</v>
      </c>
      <c r="G166" s="50">
        <f t="shared" si="4"/>
        <v>0.47170407840657602</v>
      </c>
    </row>
    <row r="167" spans="1:7" x14ac:dyDescent="0.25">
      <c r="A167" s="49" t="str">
        <f>'Data shares'!C162</f>
        <v>NYKAA</v>
      </c>
      <c r="B167" s="50">
        <f>VLOOKUP($A167,'Data shares'!$C:$FM,102)</f>
        <v>35.880000000000003</v>
      </c>
      <c r="C167" s="50">
        <f>VLOOKUP($A167,'Data shares'!$C:$FM,110)</f>
        <v>36.26</v>
      </c>
      <c r="D167" s="50">
        <f>VLOOKUP($A167,'Data shares'!$C:$FM,114)</f>
        <v>34.020000000000003</v>
      </c>
      <c r="E167" s="50">
        <f>VLOOKUP($A167,'Data shares'!$C:$FM,106)</f>
        <v>38.33</v>
      </c>
      <c r="F167" s="50">
        <f>VLOOKUP($A167,'Data shares'!$C:$FM,108)</f>
        <v>-2.4500000000000002</v>
      </c>
      <c r="G167" s="50">
        <f t="shared" ref="G167:G189" si="5">B167/E167</f>
        <v>0.93608139838246818</v>
      </c>
    </row>
    <row r="168" spans="1:7" x14ac:dyDescent="0.25">
      <c r="A168" s="49" t="str">
        <f>'Data shares'!C163</f>
        <v>OBEROIRLTY</v>
      </c>
      <c r="B168" s="50">
        <f>VLOOKUP($A168,'Data shares'!$C:$FM,102)</f>
        <v>30.51</v>
      </c>
      <c r="C168" s="50">
        <f>VLOOKUP($A168,'Data shares'!$C:$FM,110)</f>
        <v>31.21</v>
      </c>
      <c r="D168" s="50">
        <f>VLOOKUP($A168,'Data shares'!$C:$FM,114)</f>
        <v>29.61</v>
      </c>
      <c r="E168" s="50">
        <f>VLOOKUP($A168,'Data shares'!$C:$FM,106)</f>
        <v>41.08</v>
      </c>
      <c r="F168" s="50">
        <f>VLOOKUP($A168,'Data shares'!$C:$FM,108)</f>
        <v>-10.57</v>
      </c>
      <c r="G168" s="50">
        <f t="shared" si="5"/>
        <v>0.74269717624148013</v>
      </c>
    </row>
    <row r="169" spans="1:7" x14ac:dyDescent="0.25">
      <c r="A169" s="49" t="str">
        <f>'Data shares'!C164</f>
        <v>OFSS</v>
      </c>
      <c r="B169" s="50">
        <f>VLOOKUP($A169,'Data shares'!$C:$FM,102)</f>
        <v>44.96</v>
      </c>
      <c r="C169" s="50">
        <f>VLOOKUP($A169,'Data shares'!$C:$FM,110)</f>
        <v>45.71</v>
      </c>
      <c r="D169" s="50">
        <f>VLOOKUP($A169,'Data shares'!$C:$FM,114)</f>
        <v>43.5</v>
      </c>
      <c r="E169" s="50">
        <f>VLOOKUP($A169,'Data shares'!$C:$FM,106)</f>
        <v>42.81</v>
      </c>
      <c r="F169" s="50">
        <f>VLOOKUP($A169,'Data shares'!$C:$FM,108)</f>
        <v>2.15</v>
      </c>
      <c r="G169" s="50">
        <f t="shared" si="5"/>
        <v>1.050221910768512</v>
      </c>
    </row>
    <row r="170" spans="1:7" x14ac:dyDescent="0.25">
      <c r="A170" s="49" t="str">
        <f>'Data shares'!C165</f>
        <v>OIL</v>
      </c>
      <c r="B170" s="50">
        <f>VLOOKUP($A170,'Data shares'!$C:$FM,102)</f>
        <v>31.92</v>
      </c>
      <c r="C170" s="50">
        <f>VLOOKUP($A170,'Data shares'!$C:$FM,110)</f>
        <v>31.75</v>
      </c>
      <c r="D170" s="50">
        <f>VLOOKUP($A170,'Data shares'!$C:$FM,114)</f>
        <v>32.450000000000003</v>
      </c>
      <c r="E170" s="50">
        <f>VLOOKUP($A170,'Data shares'!$C:$FM,106)</f>
        <v>49.25</v>
      </c>
      <c r="F170" s="50">
        <f>VLOOKUP($A170,'Data shares'!$C:$FM,108)</f>
        <v>-17.329999999999998</v>
      </c>
      <c r="G170" s="50">
        <f t="shared" si="5"/>
        <v>0.64812182741116753</v>
      </c>
    </row>
    <row r="171" spans="1:7" x14ac:dyDescent="0.25">
      <c r="A171" s="49" t="str">
        <f>'Data shares'!C166</f>
        <v>ONGC</v>
      </c>
      <c r="B171" s="50">
        <f>VLOOKUP($A171,'Data shares'!$C:$FM,102)</f>
        <v>18.059999999999999</v>
      </c>
      <c r="C171" s="50">
        <f>VLOOKUP($A171,'Data shares'!$C:$FM,110)</f>
        <v>17.91</v>
      </c>
      <c r="D171" s="50">
        <f>VLOOKUP($A171,'Data shares'!$C:$FM,114)</f>
        <v>18.41</v>
      </c>
      <c r="E171" s="50">
        <f>VLOOKUP($A171,'Data shares'!$C:$FM,106)</f>
        <v>36.35</v>
      </c>
      <c r="F171" s="50">
        <f>VLOOKUP($A171,'Data shares'!$C:$FM,108)</f>
        <v>-18.29</v>
      </c>
      <c r="G171" s="50">
        <f t="shared" si="5"/>
        <v>0.49683631361760655</v>
      </c>
    </row>
    <row r="172" spans="1:7" x14ac:dyDescent="0.25">
      <c r="A172" s="49" t="str">
        <f>'Data shares'!C167</f>
        <v>PAGEIND</v>
      </c>
      <c r="B172" s="50">
        <f>VLOOKUP($A172,'Data shares'!$C:$FM,102)</f>
        <v>31.76</v>
      </c>
      <c r="C172" s="50">
        <f>VLOOKUP($A172,'Data shares'!$C:$FM,110)</f>
        <v>32.03</v>
      </c>
      <c r="D172" s="50">
        <f>VLOOKUP($A172,'Data shares'!$C:$FM,114)</f>
        <v>26.92</v>
      </c>
      <c r="E172" s="50">
        <f>VLOOKUP($A172,'Data shares'!$C:$FM,106)</f>
        <v>29.36</v>
      </c>
      <c r="F172" s="50">
        <f>VLOOKUP($A172,'Data shares'!$C:$FM,108)</f>
        <v>2.4</v>
      </c>
      <c r="G172" s="50">
        <f t="shared" si="5"/>
        <v>1.0817438692098094</v>
      </c>
    </row>
    <row r="173" spans="1:7" x14ac:dyDescent="0.25">
      <c r="A173" s="49" t="str">
        <f>'Data shares'!C168</f>
        <v>PATANJALI</v>
      </c>
      <c r="B173" s="50">
        <f>VLOOKUP($A173,'Data shares'!$C:$FM,102)</f>
        <v>35.590000000000003</v>
      </c>
      <c r="C173" s="50">
        <f>VLOOKUP($A173,'Data shares'!$C:$FM,110)</f>
        <v>34.83</v>
      </c>
      <c r="D173" s="50">
        <f>VLOOKUP($A173,'Data shares'!$C:$FM,114)</f>
        <v>36.9</v>
      </c>
      <c r="E173" s="50">
        <f>VLOOKUP($A173,'Data shares'!$C:$FM,106)</f>
        <v>37.700000000000003</v>
      </c>
      <c r="F173" s="50">
        <f>VLOOKUP($A173,'Data shares'!$C:$FM,108)</f>
        <v>-2.11</v>
      </c>
      <c r="G173" s="50">
        <f t="shared" si="5"/>
        <v>0.94403183023872683</v>
      </c>
    </row>
    <row r="174" spans="1:7" x14ac:dyDescent="0.25">
      <c r="A174" s="49" t="str">
        <f>'Data shares'!C169</f>
        <v>PAYTM</v>
      </c>
      <c r="B174" s="50">
        <f>VLOOKUP($A174,'Data shares'!$C:$FM,102)</f>
        <v>63.89</v>
      </c>
      <c r="C174" s="50">
        <f>VLOOKUP($A174,'Data shares'!$C:$FM,110)</f>
        <v>64.040000000000006</v>
      </c>
      <c r="D174" s="50">
        <f>VLOOKUP($A174,'Data shares'!$C:$FM,114)</f>
        <v>63.51</v>
      </c>
      <c r="E174" s="50">
        <f>VLOOKUP($A174,'Data shares'!$C:$FM,106)</f>
        <v>60.87</v>
      </c>
      <c r="F174" s="50">
        <f>VLOOKUP($A174,'Data shares'!$C:$FM,108)</f>
        <v>3.02</v>
      </c>
      <c r="G174" s="50">
        <f t="shared" si="5"/>
        <v>1.049613931329062</v>
      </c>
    </row>
    <row r="175" spans="1:7" x14ac:dyDescent="0.25">
      <c r="A175" s="49" t="str">
        <f>'Data shares'!C170</f>
        <v>PEL</v>
      </c>
      <c r="B175" s="50">
        <f>VLOOKUP($A175,'Data shares'!$C:$FM,102)</f>
        <v>35.67</v>
      </c>
      <c r="C175" s="50">
        <f>VLOOKUP($A175,'Data shares'!$C:$FM,110)</f>
        <v>35.11</v>
      </c>
      <c r="D175" s="50">
        <f>VLOOKUP($A175,'Data shares'!$C:$FM,114)</f>
        <v>36.409999999999997</v>
      </c>
      <c r="E175" s="50">
        <f>VLOOKUP($A175,'Data shares'!$C:$FM,106)</f>
        <v>45.77</v>
      </c>
      <c r="F175" s="50">
        <f>VLOOKUP($A175,'Data shares'!$C:$FM,108)</f>
        <v>-10.1</v>
      </c>
      <c r="G175" s="50">
        <f t="shared" si="5"/>
        <v>0.77933143980773434</v>
      </c>
    </row>
    <row r="176" spans="1:7" x14ac:dyDescent="0.25">
      <c r="A176" s="49" t="str">
        <f>'Data shares'!C171</f>
        <v>PERSISTENT</v>
      </c>
      <c r="B176" s="50">
        <f>VLOOKUP($A176,'Data shares'!$C:$FM,102)</f>
        <v>46.21</v>
      </c>
      <c r="C176" s="50">
        <f>VLOOKUP($A176,'Data shares'!$C:$FM,110)</f>
        <v>46.77</v>
      </c>
      <c r="D176" s="50">
        <f>VLOOKUP($A176,'Data shares'!$C:$FM,114)</f>
        <v>44.82</v>
      </c>
      <c r="E176" s="50">
        <f>VLOOKUP($A176,'Data shares'!$C:$FM,106)</f>
        <v>42.51</v>
      </c>
      <c r="F176" s="50">
        <f>VLOOKUP($A176,'Data shares'!$C:$FM,108)</f>
        <v>3.7</v>
      </c>
      <c r="G176" s="50">
        <f t="shared" si="5"/>
        <v>1.0870383439190778</v>
      </c>
    </row>
    <row r="177" spans="1:7" x14ac:dyDescent="0.25">
      <c r="A177" s="49" t="str">
        <f>'Data shares'!C172</f>
        <v>PETRONET</v>
      </c>
      <c r="B177" s="50">
        <f>VLOOKUP($A177,'Data shares'!$C:$FM,102)</f>
        <v>27.74</v>
      </c>
      <c r="C177" s="50">
        <f>VLOOKUP($A177,'Data shares'!$C:$FM,110)</f>
        <v>27.46</v>
      </c>
      <c r="D177" s="50">
        <f>VLOOKUP($A177,'Data shares'!$C:$FM,114)</f>
        <v>28.45</v>
      </c>
      <c r="E177" s="50">
        <f>VLOOKUP($A177,'Data shares'!$C:$FM,106)</f>
        <v>34.5</v>
      </c>
      <c r="F177" s="50">
        <f>VLOOKUP($A177,'Data shares'!$C:$FM,108)</f>
        <v>-6.76</v>
      </c>
      <c r="G177" s="50">
        <f t="shared" si="5"/>
        <v>0.80405797101449272</v>
      </c>
    </row>
    <row r="178" spans="1:7" x14ac:dyDescent="0.25">
      <c r="A178" s="49" t="str">
        <f>'Data shares'!C173</f>
        <v>PFC</v>
      </c>
      <c r="B178" s="50">
        <f>VLOOKUP($A178,'Data shares'!$C:$FM,102)</f>
        <v>30.89</v>
      </c>
      <c r="C178" s="50">
        <f>VLOOKUP($A178,'Data shares'!$C:$FM,110)</f>
        <v>31.61</v>
      </c>
      <c r="D178" s="50">
        <f>VLOOKUP($A178,'Data shares'!$C:$FM,114)</f>
        <v>29.72</v>
      </c>
      <c r="E178" s="50">
        <f>VLOOKUP($A178,'Data shares'!$C:$FM,106)</f>
        <v>49.48</v>
      </c>
      <c r="F178" s="50">
        <f>VLOOKUP($A178,'Data shares'!$C:$FM,108)</f>
        <v>-18.59</v>
      </c>
      <c r="G178" s="50">
        <f t="shared" si="5"/>
        <v>0.62429264349232017</v>
      </c>
    </row>
    <row r="179" spans="1:7" x14ac:dyDescent="0.25">
      <c r="A179" s="49" t="str">
        <f>'Data shares'!C174</f>
        <v>PGEL</v>
      </c>
      <c r="B179" s="50">
        <f>VLOOKUP($A179,'Data shares'!$C:$FM,102)</f>
        <v>38.31</v>
      </c>
      <c r="C179" s="50">
        <f>VLOOKUP($A179,'Data shares'!$C:$FM,110)</f>
        <v>38.880000000000003</v>
      </c>
      <c r="D179" s="50">
        <f>VLOOKUP($A179,'Data shares'!$C:$FM,114)</f>
        <v>36.86</v>
      </c>
      <c r="E179" s="50">
        <f>VLOOKUP($A179,'Data shares'!$C:$FM,106)</f>
        <v>65.58</v>
      </c>
      <c r="F179" s="50">
        <f>VLOOKUP($A179,'Data shares'!$C:$FM,108)</f>
        <v>-27.27</v>
      </c>
      <c r="G179" s="50">
        <f t="shared" si="5"/>
        <v>0.58417200365965238</v>
      </c>
    </row>
    <row r="180" spans="1:7" x14ac:dyDescent="0.25">
      <c r="A180" s="49" t="str">
        <f>'Data shares'!C175</f>
        <v>PHOENIXLTD</v>
      </c>
      <c r="B180" s="50">
        <f>VLOOKUP($A180,'Data shares'!$C:$FM,102)</f>
        <v>43.05</v>
      </c>
      <c r="C180" s="50">
        <f>VLOOKUP($A180,'Data shares'!$C:$FM,110)</f>
        <v>43.12</v>
      </c>
      <c r="D180" s="50">
        <f>VLOOKUP($A180,'Data shares'!$C:$FM,114)</f>
        <v>42.92</v>
      </c>
      <c r="E180" s="50">
        <f>VLOOKUP($A180,'Data shares'!$C:$FM,106)</f>
        <v>47.97</v>
      </c>
      <c r="F180" s="50">
        <f>VLOOKUP($A180,'Data shares'!$C:$FM,108)</f>
        <v>-4.92</v>
      </c>
      <c r="G180" s="50">
        <f t="shared" si="5"/>
        <v>0.89743589743589736</v>
      </c>
    </row>
    <row r="181" spans="1:7" x14ac:dyDescent="0.25">
      <c r="A181" s="49" t="str">
        <f>'Data shares'!C176</f>
        <v>PIDILITIND</v>
      </c>
      <c r="B181" s="50">
        <f>VLOOKUP($A181,'Data shares'!$C:$FM,102)</f>
        <v>22.79</v>
      </c>
      <c r="C181" s="50">
        <f>VLOOKUP($A181,'Data shares'!$C:$FM,110)</f>
        <v>23.7</v>
      </c>
      <c r="D181" s="50">
        <f>VLOOKUP($A181,'Data shares'!$C:$FM,114)</f>
        <v>20.23</v>
      </c>
      <c r="E181" s="50">
        <f>VLOOKUP($A181,'Data shares'!$C:$FM,106)</f>
        <v>23.31</v>
      </c>
      <c r="F181" s="50">
        <f>VLOOKUP($A181,'Data shares'!$C:$FM,108)</f>
        <v>-0.52</v>
      </c>
      <c r="G181" s="50">
        <f t="shared" si="5"/>
        <v>0.97769197769197769</v>
      </c>
    </row>
    <row r="182" spans="1:7" x14ac:dyDescent="0.25">
      <c r="A182" s="49" t="str">
        <f>'Data shares'!C177</f>
        <v>PIIND</v>
      </c>
      <c r="B182" s="50">
        <f>VLOOKUP($A182,'Data shares'!$C:$FM,102)</f>
        <v>27.6</v>
      </c>
      <c r="C182" s="50">
        <f>VLOOKUP($A182,'Data shares'!$C:$FM,110)</f>
        <v>27.79</v>
      </c>
      <c r="D182" s="50">
        <f>VLOOKUP($A182,'Data shares'!$C:$FM,114)</f>
        <v>27.04</v>
      </c>
      <c r="E182" s="50">
        <f>VLOOKUP($A182,'Data shares'!$C:$FM,106)</f>
        <v>31.63</v>
      </c>
      <c r="F182" s="50">
        <f>VLOOKUP($A182,'Data shares'!$C:$FM,108)</f>
        <v>-4.03</v>
      </c>
      <c r="G182" s="50">
        <f t="shared" si="5"/>
        <v>0.87258931394245975</v>
      </c>
    </row>
    <row r="183" spans="1:7" x14ac:dyDescent="0.25">
      <c r="A183" s="49" t="str">
        <f>'Data shares'!C178</f>
        <v>PNB</v>
      </c>
      <c r="B183" s="50">
        <f>VLOOKUP($A183,'Data shares'!$C:$FM,102)</f>
        <v>33.21</v>
      </c>
      <c r="C183" s="50">
        <f>VLOOKUP($A183,'Data shares'!$C:$FM,110)</f>
        <v>34</v>
      </c>
      <c r="D183" s="50">
        <f>VLOOKUP($A183,'Data shares'!$C:$FM,114)</f>
        <v>31.75</v>
      </c>
      <c r="E183" s="50">
        <f>VLOOKUP($A183,'Data shares'!$C:$FM,106)</f>
        <v>39.97</v>
      </c>
      <c r="F183" s="50">
        <f>VLOOKUP($A183,'Data shares'!$C:$FM,108)</f>
        <v>-6.76</v>
      </c>
      <c r="G183" s="50">
        <f t="shared" si="5"/>
        <v>0.83087315486614965</v>
      </c>
    </row>
    <row r="184" spans="1:7" x14ac:dyDescent="0.25">
      <c r="A184" s="49" t="str">
        <f>'Data shares'!C179</f>
        <v>PNBHOUSING</v>
      </c>
      <c r="B184" s="50">
        <f>VLOOKUP($A184,'Data shares'!$C:$FM,102)</f>
        <v>34.270000000000003</v>
      </c>
      <c r="C184" s="50">
        <f>VLOOKUP($A184,'Data shares'!$C:$FM,110)</f>
        <v>34.119999999999997</v>
      </c>
      <c r="D184" s="50">
        <f>VLOOKUP($A184,'Data shares'!$C:$FM,114)</f>
        <v>34.68</v>
      </c>
      <c r="E184" s="50">
        <f>VLOOKUP($A184,'Data shares'!$C:$FM,106)</f>
        <v>46.3</v>
      </c>
      <c r="F184" s="50">
        <f>VLOOKUP($A184,'Data shares'!$C:$FM,108)</f>
        <v>-12.03</v>
      </c>
      <c r="G184" s="50">
        <f t="shared" si="5"/>
        <v>0.74017278617710591</v>
      </c>
    </row>
    <row r="185" spans="1:7" x14ac:dyDescent="0.25">
      <c r="A185" s="49" t="str">
        <f>'Data shares'!C180</f>
        <v>POLICYBZR</v>
      </c>
      <c r="B185" s="50">
        <f>VLOOKUP($A185,'Data shares'!$C:$FM,102)</f>
        <v>35.28</v>
      </c>
      <c r="C185" s="50">
        <f>VLOOKUP($A185,'Data shares'!$C:$FM,110)</f>
        <v>35.32</v>
      </c>
      <c r="D185" s="50">
        <f>VLOOKUP($A185,'Data shares'!$C:$FM,114)</f>
        <v>35.200000000000003</v>
      </c>
      <c r="E185" s="50">
        <f>VLOOKUP($A185,'Data shares'!$C:$FM,106)</f>
        <v>51.82</v>
      </c>
      <c r="F185" s="50">
        <f>VLOOKUP($A185,'Data shares'!$C:$FM,108)</f>
        <v>-16.54</v>
      </c>
      <c r="G185" s="50">
        <f t="shared" si="5"/>
        <v>0.68081821690467004</v>
      </c>
    </row>
    <row r="186" spans="1:7" x14ac:dyDescent="0.25">
      <c r="A186" s="49" t="str">
        <f>'Data shares'!C181</f>
        <v>POLYCAB</v>
      </c>
      <c r="B186" s="50">
        <f>VLOOKUP($A186,'Data shares'!$C:$FM,102)</f>
        <v>29.51</v>
      </c>
      <c r="C186" s="50">
        <f>VLOOKUP($A186,'Data shares'!$C:$FM,110)</f>
        <v>29.46</v>
      </c>
      <c r="D186" s="50">
        <f>VLOOKUP($A186,'Data shares'!$C:$FM,114)</f>
        <v>29.6</v>
      </c>
      <c r="E186" s="50">
        <f>VLOOKUP($A186,'Data shares'!$C:$FM,106)</f>
        <v>45.46</v>
      </c>
      <c r="F186" s="50">
        <f>VLOOKUP($A186,'Data shares'!$C:$FM,108)</f>
        <v>-15.95</v>
      </c>
      <c r="G186" s="50">
        <f t="shared" si="5"/>
        <v>0.64914210294764629</v>
      </c>
    </row>
    <row r="187" spans="1:7" x14ac:dyDescent="0.25">
      <c r="A187" s="49" t="str">
        <f>'Data shares'!C182</f>
        <v>POONAWALLA</v>
      </c>
      <c r="B187" s="50">
        <f>VLOOKUP($A187,'Data shares'!$C:$FM,102)</f>
        <v>43.4</v>
      </c>
      <c r="C187" s="50">
        <f>VLOOKUP($A187,'Data shares'!$C:$FM,110)</f>
        <v>43.95</v>
      </c>
      <c r="D187" s="50">
        <f>VLOOKUP($A187,'Data shares'!$C:$FM,114)</f>
        <v>41.73</v>
      </c>
      <c r="E187" s="50">
        <f>VLOOKUP($A187,'Data shares'!$C:$FM,106)</f>
        <v>44.83</v>
      </c>
      <c r="F187" s="50">
        <f>VLOOKUP($A187,'Data shares'!$C:$FM,108)</f>
        <v>-1.43</v>
      </c>
      <c r="G187" s="50">
        <f t="shared" si="5"/>
        <v>0.96810171759982155</v>
      </c>
    </row>
    <row r="188" spans="1:7" x14ac:dyDescent="0.25">
      <c r="A188" s="49" t="str">
        <f>'Data shares'!C183</f>
        <v>POWERGRID</v>
      </c>
      <c r="B188" s="50">
        <f>VLOOKUP($A188,'Data shares'!$C:$FM,102)</f>
        <v>23.4</v>
      </c>
      <c r="C188" s="50">
        <f>VLOOKUP($A188,'Data shares'!$C:$FM,110)</f>
        <v>23.2</v>
      </c>
      <c r="D188" s="50">
        <f>VLOOKUP($A188,'Data shares'!$C:$FM,114)</f>
        <v>23.71</v>
      </c>
      <c r="E188" s="50">
        <f>VLOOKUP($A188,'Data shares'!$C:$FM,106)</f>
        <v>31.76</v>
      </c>
      <c r="F188" s="50">
        <f>VLOOKUP($A188,'Data shares'!$C:$FM,108)</f>
        <v>-8.36</v>
      </c>
      <c r="G188" s="50">
        <f t="shared" si="5"/>
        <v>0.73677581863979835</v>
      </c>
    </row>
    <row r="189" spans="1:7" x14ac:dyDescent="0.25">
      <c r="A189" s="49" t="str">
        <f>'Data shares'!C231</f>
        <v>ZYDUSLIFE</v>
      </c>
      <c r="B189" s="50">
        <f>VLOOKUP($A189,'Data shares'!$C:$FM,102)</f>
        <v>25.02</v>
      </c>
      <c r="C189" s="50">
        <f>VLOOKUP($A189,'Data shares'!$C:$FM,110)</f>
        <v>26.07</v>
      </c>
      <c r="D189" s="50">
        <f>VLOOKUP($A189,'Data shares'!$C:$FM,114)</f>
        <v>22.9</v>
      </c>
      <c r="E189" s="50">
        <f>VLOOKUP($A189,'Data shares'!$C:$FM,106)</f>
        <v>30.67</v>
      </c>
      <c r="F189" s="50">
        <f>VLOOKUP($A189,'Data shares'!$C:$FM,108)</f>
        <v>-5.65</v>
      </c>
      <c r="G189" s="50">
        <f t="shared" si="5"/>
        <v>0.81578089338115412</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35" activePane="bottomLeft" state="frozen"/>
      <selection pane="bottomLeft" activeCell="K43" sqref="K43:L43"/>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684</v>
      </c>
      <c r="B5" s="49">
        <v>72384900</v>
      </c>
      <c r="C5" s="49">
        <v>7727000</v>
      </c>
      <c r="D5" s="49">
        <v>1103798</v>
      </c>
      <c r="E5" s="50">
        <f>VLOOKUP($A5,'Data shares'!$C:$FA,154)*100</f>
        <v>11</v>
      </c>
      <c r="F5" s="173">
        <f>C5/B5</f>
        <v>0.10674878324070351</v>
      </c>
    </row>
    <row r="6" spans="1:6" x14ac:dyDescent="0.25">
      <c r="A6" s="99" t="s">
        <v>476</v>
      </c>
      <c r="B6" s="49">
        <v>41876170</v>
      </c>
      <c r="C6" s="49">
        <v>34983975</v>
      </c>
      <c r="D6" s="49">
        <v>93986696</v>
      </c>
      <c r="E6" s="50">
        <f>VLOOKUP($A6,'Data shares'!$C:$FA,154)*100</f>
        <v>85.06</v>
      </c>
      <c r="F6" s="173">
        <f>C6/B6</f>
        <v>0.83541486721445635</v>
      </c>
    </row>
    <row r="7" spans="1:6" x14ac:dyDescent="0.25">
      <c r="A7" s="99" t="s">
        <v>553</v>
      </c>
      <c r="B7" s="49">
        <v>10595418</v>
      </c>
      <c r="C7" s="49">
        <v>5575125</v>
      </c>
      <c r="D7" s="49">
        <v>39234980</v>
      </c>
      <c r="E7" s="50">
        <f>VLOOKUP($A7,'Data shares'!$C:$FA,154)*100</f>
        <v>54.769999999999996</v>
      </c>
      <c r="F7" s="173">
        <f>C7/B7</f>
        <v>0.52618263857074821</v>
      </c>
    </row>
    <row r="8" spans="1:6" x14ac:dyDescent="0.25">
      <c r="A8" s="99" t="s">
        <v>544</v>
      </c>
      <c r="B8" s="49">
        <v>162442174</v>
      </c>
      <c r="C8" s="49">
        <v>89918600</v>
      </c>
      <c r="D8" s="49">
        <v>36024043</v>
      </c>
      <c r="E8" s="50">
        <f>VLOOKUP($A8,'Data shares'!$C:$FA,154)*100</f>
        <v>56.410000000000004</v>
      </c>
      <c r="F8" s="173">
        <f>C8/B8</f>
        <v>0.55354221004207937</v>
      </c>
    </row>
    <row r="9" spans="1:6" x14ac:dyDescent="0.25">
      <c r="A9" s="99" t="s">
        <v>499</v>
      </c>
      <c r="B9" s="49">
        <v>121580965</v>
      </c>
      <c r="C9" s="49">
        <v>107226600</v>
      </c>
      <c r="D9" s="49">
        <v>745195777</v>
      </c>
      <c r="E9" s="50">
        <f>VLOOKUP($A9,'Data shares'!$C:$FA,154)*100</f>
        <v>91.06</v>
      </c>
      <c r="F9" s="173">
        <f>C9/B9</f>
        <v>0.88193575367657262</v>
      </c>
    </row>
    <row r="10" spans="1:6" x14ac:dyDescent="0.25">
      <c r="A10" s="99" t="s">
        <v>158</v>
      </c>
      <c r="B10" s="49">
        <v>16266067</v>
      </c>
      <c r="C10" s="49">
        <v>6616500</v>
      </c>
      <c r="D10" s="49">
        <v>28026693</v>
      </c>
      <c r="E10" s="50">
        <f>VLOOKUP($A10,'Data shares'!$C:$FA,154)*100</f>
        <v>41.53</v>
      </c>
      <c r="F10" s="173">
        <f>C10/B10</f>
        <v>0.40676704454740042</v>
      </c>
    </row>
    <row r="11" spans="1:6" x14ac:dyDescent="0.25">
      <c r="A11" s="99" t="s">
        <v>580</v>
      </c>
      <c r="B11" s="49">
        <v>72215231</v>
      </c>
      <c r="C11" s="49">
        <v>25519050</v>
      </c>
      <c r="D11" s="49">
        <v>2967236</v>
      </c>
      <c r="E11" s="50">
        <f>VLOOKUP($A11,'Data shares'!$C:$FA,154)*100</f>
        <v>35.980000000000004</v>
      </c>
      <c r="F11" s="173">
        <f>C11/B11</f>
        <v>0.3533748995416216</v>
      </c>
    </row>
    <row r="12" spans="1:6" x14ac:dyDescent="0.25">
      <c r="A12" s="99" t="s">
        <v>159</v>
      </c>
      <c r="B12" s="49">
        <v>60081955</v>
      </c>
      <c r="C12" s="49">
        <v>32696700</v>
      </c>
      <c r="D12" s="49">
        <v>8124736</v>
      </c>
      <c r="E12" s="50">
        <f>VLOOKUP($A12,'Data shares'!$C:$FA,154)*100</f>
        <v>55.300000000000004</v>
      </c>
      <c r="F12" s="173">
        <f>C12/B12</f>
        <v>0.54420166587455421</v>
      </c>
    </row>
    <row r="13" spans="1:6" x14ac:dyDescent="0.25">
      <c r="A13" s="99" t="s">
        <v>607</v>
      </c>
      <c r="B13" s="49">
        <v>123755903</v>
      </c>
      <c r="C13" s="49">
        <v>31889400</v>
      </c>
      <c r="D13" s="49">
        <v>91060943</v>
      </c>
      <c r="E13" s="50">
        <f>VLOOKUP($A13,'Data shares'!$C:$FA,154)*100</f>
        <v>26.02</v>
      </c>
      <c r="F13" s="173">
        <f>C13/B13</f>
        <v>0.25767982962396552</v>
      </c>
    </row>
    <row r="14" spans="1:6" x14ac:dyDescent="0.25">
      <c r="A14" s="99" t="s">
        <v>160</v>
      </c>
      <c r="B14" s="49">
        <v>147352572</v>
      </c>
      <c r="C14" s="49">
        <v>35994075</v>
      </c>
      <c r="D14" s="49">
        <v>32837084</v>
      </c>
      <c r="E14" s="50">
        <f>VLOOKUP($A14,'Data shares'!$C:$FA,154)*100</f>
        <v>24.86</v>
      </c>
      <c r="F14" s="173">
        <f>C14/B14</f>
        <v>0.24427177966055455</v>
      </c>
    </row>
    <row r="15" spans="1:6" x14ac:dyDescent="0.25">
      <c r="A15" s="99" t="s">
        <v>497</v>
      </c>
      <c r="B15" s="49">
        <v>10730378</v>
      </c>
      <c r="C15" s="49">
        <v>1740750</v>
      </c>
      <c r="D15" s="49">
        <v>8939728</v>
      </c>
      <c r="E15" s="50">
        <f>VLOOKUP($A15,'Data shares'!$C:$FA,154)*100</f>
        <v>16.43</v>
      </c>
      <c r="F15" s="173">
        <f>C15/B15</f>
        <v>0.1622263446823588</v>
      </c>
    </row>
    <row r="16" spans="1:6" x14ac:dyDescent="0.25">
      <c r="A16" s="99" t="s">
        <v>683</v>
      </c>
      <c r="B16" s="49">
        <v>4078053</v>
      </c>
      <c r="C16" s="49">
        <v>772200</v>
      </c>
      <c r="D16" s="49">
        <v>104695482</v>
      </c>
      <c r="E16" s="50">
        <f>VLOOKUP($A16,'Data shares'!$C:$FA,154)*100</f>
        <v>19.78</v>
      </c>
      <c r="F16" s="173">
        <f>C16/B16</f>
        <v>0.18935506723429049</v>
      </c>
    </row>
    <row r="17" spans="1:6" x14ac:dyDescent="0.25">
      <c r="A17" s="99" t="s">
        <v>164</v>
      </c>
      <c r="B17" s="49">
        <v>159683698</v>
      </c>
      <c r="C17" s="49">
        <v>44192400</v>
      </c>
      <c r="D17" s="49">
        <v>19772239</v>
      </c>
      <c r="E17" s="50">
        <f>VLOOKUP($A17,'Data shares'!$C:$FA,154)*100</f>
        <v>28.34</v>
      </c>
      <c r="F17" s="173">
        <f>C17/B17</f>
        <v>0.27674960283046551</v>
      </c>
    </row>
    <row r="18" spans="1:6" x14ac:dyDescent="0.25">
      <c r="A18" s="99" t="s">
        <v>610</v>
      </c>
      <c r="B18" s="49">
        <v>11638502</v>
      </c>
      <c r="C18" s="49">
        <v>8248250</v>
      </c>
      <c r="D18" s="49">
        <v>280397198</v>
      </c>
      <c r="E18" s="50">
        <f>VLOOKUP($A18,'Data shares'!$C:$FA,154)*100</f>
        <v>76.8</v>
      </c>
      <c r="F18" s="173">
        <f>C18/B18</f>
        <v>0.70870374898762745</v>
      </c>
    </row>
    <row r="19" spans="1:6" x14ac:dyDescent="0.25">
      <c r="A19" s="99" t="s">
        <v>599</v>
      </c>
      <c r="B19" s="49">
        <v>39789217</v>
      </c>
      <c r="C19" s="49">
        <v>8425550</v>
      </c>
      <c r="D19" s="49">
        <v>6876434</v>
      </c>
      <c r="E19" s="50">
        <f>VLOOKUP($A19,'Data shares'!$C:$FA,154)*100</f>
        <v>21.92</v>
      </c>
      <c r="F19" s="173">
        <f>C19/B19</f>
        <v>0.21175460678203342</v>
      </c>
    </row>
    <row r="20" spans="1:6" x14ac:dyDescent="0.25">
      <c r="A20" s="99" t="s">
        <v>165</v>
      </c>
      <c r="B20" s="49">
        <v>20320323</v>
      </c>
      <c r="C20" s="49">
        <v>5438250</v>
      </c>
      <c r="D20" s="49">
        <v>413422979</v>
      </c>
      <c r="E20" s="50">
        <f>VLOOKUP($A20,'Data shares'!$C:$FA,154)*100</f>
        <v>28.08</v>
      </c>
      <c r="F20" s="173">
        <f>C20/B20</f>
        <v>0.26762615928890499</v>
      </c>
    </row>
    <row r="21" spans="1:6" x14ac:dyDescent="0.25">
      <c r="A21" s="99" t="s">
        <v>167</v>
      </c>
      <c r="B21" s="49">
        <v>564878806</v>
      </c>
      <c r="C21" s="49">
        <v>140260000</v>
      </c>
      <c r="D21" s="49">
        <v>121881582</v>
      </c>
      <c r="E21" s="50"/>
      <c r="F21" s="173">
        <f>C21/B21</f>
        <v>0.248301048844803</v>
      </c>
    </row>
    <row r="22" spans="1:6" x14ac:dyDescent="0.25">
      <c r="A22" s="99" t="s">
        <v>169</v>
      </c>
      <c r="B22" s="49">
        <v>90791585</v>
      </c>
      <c r="C22" s="49">
        <v>28548500</v>
      </c>
      <c r="D22" s="49">
        <v>35493235</v>
      </c>
      <c r="E22" s="50">
        <f>VLOOKUP($A22,'Data shares'!$C:$FA,154)*100</f>
        <v>32.01</v>
      </c>
      <c r="F22" s="173">
        <f>C22/B22</f>
        <v>0.31443993405335968</v>
      </c>
    </row>
    <row r="23" spans="1:6" x14ac:dyDescent="0.25">
      <c r="A23" s="99" t="s">
        <v>503</v>
      </c>
      <c r="B23" s="49">
        <v>24660712</v>
      </c>
      <c r="C23" s="49">
        <v>10880000</v>
      </c>
      <c r="D23" s="49">
        <v>25875663</v>
      </c>
      <c r="E23" s="50">
        <f>VLOOKUP($A23,'Data shares'!$C:$FA,154)*100</f>
        <v>44.97</v>
      </c>
      <c r="F23" s="173">
        <f>C23/B23</f>
        <v>0.44118758614917525</v>
      </c>
    </row>
    <row r="24" spans="1:6" x14ac:dyDescent="0.25">
      <c r="A24" s="99" t="s">
        <v>590</v>
      </c>
      <c r="B24" s="49">
        <v>55429320</v>
      </c>
      <c r="C24" s="49">
        <v>11420500</v>
      </c>
      <c r="D24" s="49">
        <v>12155930</v>
      </c>
      <c r="E24" s="50">
        <f>VLOOKUP($A24,'Data shares'!$C:$FA,154)*100</f>
        <v>20.96</v>
      </c>
      <c r="F24" s="173">
        <f>C24/B24</f>
        <v>0.20603716588982149</v>
      </c>
    </row>
    <row r="25" spans="1:6" x14ac:dyDescent="0.25">
      <c r="A25" s="99" t="s">
        <v>495</v>
      </c>
      <c r="B25" s="49">
        <v>114846423</v>
      </c>
      <c r="C25" s="49">
        <v>36965000</v>
      </c>
      <c r="D25" s="49">
        <v>29192287</v>
      </c>
      <c r="E25" s="50">
        <f>VLOOKUP($A25,'Data shares'!$C:$FA,154)*100</f>
        <v>33.11</v>
      </c>
      <c r="F25" s="173">
        <f>C25/B25</f>
        <v>0.32186461741172384</v>
      </c>
    </row>
    <row r="26" spans="1:6" x14ac:dyDescent="0.25">
      <c r="A26" s="99" t="s">
        <v>171</v>
      </c>
      <c r="B26" s="49">
        <v>55970580</v>
      </c>
      <c r="C26" s="49">
        <v>28252950</v>
      </c>
      <c r="D26" s="49">
        <v>143928763</v>
      </c>
      <c r="E26" s="50">
        <f>VLOOKUP($A26,'Data shares'!$C:$FA,154)*100</f>
        <v>51.15</v>
      </c>
      <c r="F26" s="173">
        <f>C26/B26</f>
        <v>0.50478215519653358</v>
      </c>
    </row>
    <row r="27" spans="1:6" x14ac:dyDescent="0.25">
      <c r="A27" s="99" t="s">
        <v>173</v>
      </c>
      <c r="B27" s="49">
        <v>549885930</v>
      </c>
      <c r="C27" s="49">
        <v>154276250</v>
      </c>
      <c r="D27" s="49">
        <v>187873436</v>
      </c>
      <c r="E27" s="50">
        <f>VLOOKUP($A27,'Data shares'!$C:$FA,154)*100</f>
        <v>28.9</v>
      </c>
      <c r="F27" s="173">
        <f>C27/B27</f>
        <v>0.28056046096687726</v>
      </c>
    </row>
    <row r="28" spans="1:6" x14ac:dyDescent="0.25">
      <c r="A28" s="99" t="s">
        <v>174</v>
      </c>
      <c r="B28" s="49">
        <v>25086000</v>
      </c>
      <c r="C28" s="49">
        <v>4999500</v>
      </c>
      <c r="D28" s="49">
        <v>1021578202</v>
      </c>
      <c r="E28" s="50">
        <f>VLOOKUP($A28,'Data shares'!$C:$FA,154)*100</f>
        <v>20.46</v>
      </c>
      <c r="F28" s="173">
        <f>C28/B28</f>
        <v>0.19929442717053336</v>
      </c>
    </row>
    <row r="29" spans="1:6" x14ac:dyDescent="0.25">
      <c r="A29" s="99" t="s">
        <v>176</v>
      </c>
      <c r="B29" s="49">
        <v>125347779</v>
      </c>
      <c r="C29" s="49">
        <v>28377500</v>
      </c>
      <c r="D29" s="49">
        <v>196330932</v>
      </c>
      <c r="E29" s="50">
        <f>VLOOKUP($A29,'Data shares'!$C:$FA,154)*100</f>
        <v>22.919999999999998</v>
      </c>
      <c r="F29" s="173">
        <f>C29/B29</f>
        <v>0.22639013013545298</v>
      </c>
    </row>
    <row r="30" spans="1:6" x14ac:dyDescent="0.25">
      <c r="A30" s="99" t="s">
        <v>177</v>
      </c>
      <c r="B30" s="49">
        <v>562142812</v>
      </c>
      <c r="C30" s="49">
        <v>123476250</v>
      </c>
      <c r="D30" s="49"/>
      <c r="E30" s="50">
        <f>VLOOKUP($A30,'Data shares'!$C:$FA,154)*100</f>
        <v>22.49</v>
      </c>
      <c r="F30" s="173">
        <f>C30/B30</f>
        <v>0.21965281306487647</v>
      </c>
    </row>
    <row r="31" spans="1:6" x14ac:dyDescent="0.25">
      <c r="A31" s="99" t="s">
        <v>178</v>
      </c>
      <c r="B31" s="49">
        <v>16125398</v>
      </c>
      <c r="C31" s="49">
        <v>3629700</v>
      </c>
      <c r="D31" s="49">
        <v>45686729</v>
      </c>
      <c r="E31" s="50">
        <f>VLOOKUP($A31,'Data shares'!$C:$FA,154)*100</f>
        <v>22.97</v>
      </c>
      <c r="F31" s="173">
        <f>C31/B31</f>
        <v>0.22509211865654416</v>
      </c>
    </row>
    <row r="32" spans="1:6" x14ac:dyDescent="0.25">
      <c r="A32" s="99" t="s">
        <v>179</v>
      </c>
      <c r="B32" s="49">
        <v>193371109</v>
      </c>
      <c r="C32" s="49">
        <v>162396000</v>
      </c>
      <c r="D32" s="49">
        <v>31868781</v>
      </c>
      <c r="E32" s="50">
        <f>VLOOKUP($A32,'Data shares'!$C:$FA,154)*100</f>
        <v>86.22999999999999</v>
      </c>
      <c r="F32" s="173">
        <f>C32/B32</f>
        <v>0.83981521769107714</v>
      </c>
    </row>
    <row r="33" spans="1:6" x14ac:dyDescent="0.25">
      <c r="A33" s="99" t="s">
        <v>180</v>
      </c>
      <c r="B33" s="49">
        <v>372635498</v>
      </c>
      <c r="C33" s="49">
        <v>193327875</v>
      </c>
      <c r="D33" s="49">
        <v>24237895</v>
      </c>
      <c r="E33" s="50">
        <f>VLOOKUP($A33,'Data shares'!$C:$FA,154)*100</f>
        <v>53.12</v>
      </c>
      <c r="F33" s="173">
        <f>C33/B33</f>
        <v>0.51881228717506667</v>
      </c>
    </row>
    <row r="34" spans="1:6" x14ac:dyDescent="0.25">
      <c r="A34" s="99" t="s">
        <v>603</v>
      </c>
      <c r="B34" s="49">
        <v>242361229</v>
      </c>
      <c r="C34" s="49">
        <v>129625600</v>
      </c>
      <c r="D34" s="49">
        <v>15800505</v>
      </c>
      <c r="E34" s="50">
        <f>VLOOKUP($A34,'Data shares'!$C:$FA,154)*100</f>
        <v>54.6</v>
      </c>
      <c r="F34" s="173">
        <f>C34/B34</f>
        <v>0.53484462236325758</v>
      </c>
    </row>
    <row r="35" spans="1:6" x14ac:dyDescent="0.25">
      <c r="A35" s="99" t="s">
        <v>673</v>
      </c>
      <c r="B35" s="49">
        <v>18382289</v>
      </c>
      <c r="C35" s="49">
        <v>11784825</v>
      </c>
      <c r="D35" s="49">
        <v>13679770</v>
      </c>
      <c r="E35" s="50">
        <f>VLOOKUP($A35,'Data shares'!$C:$FA,154)*100</f>
        <v>65.73</v>
      </c>
      <c r="F35" s="173">
        <f>C35/B35</f>
        <v>0.64109670999079604</v>
      </c>
    </row>
    <row r="36" spans="1:6" x14ac:dyDescent="0.25">
      <c r="A36" s="99" t="s">
        <v>185</v>
      </c>
      <c r="B36" s="49">
        <v>714371379</v>
      </c>
      <c r="C36" s="49">
        <v>266640300</v>
      </c>
      <c r="D36" s="49">
        <v>87598513</v>
      </c>
      <c r="E36" s="50">
        <f>VLOOKUP($A36,'Data shares'!$C:$FA,154)*100</f>
        <v>38.51</v>
      </c>
      <c r="F36" s="173">
        <f>C36/B36</f>
        <v>0.37325165570498031</v>
      </c>
    </row>
    <row r="37" spans="1:6" x14ac:dyDescent="0.25">
      <c r="A37" s="99" t="s">
        <v>187</v>
      </c>
      <c r="B37" s="49">
        <v>53477001</v>
      </c>
      <c r="C37" s="49">
        <v>19506000</v>
      </c>
      <c r="D37" s="49">
        <v>17540666</v>
      </c>
      <c r="E37" s="50">
        <f>VLOOKUP($A37,'Data shares'!$C:$FA,154)*100</f>
        <v>37.29</v>
      </c>
      <c r="F37" s="173">
        <f>C37/B37</f>
        <v>0.36475493455588504</v>
      </c>
    </row>
    <row r="38" spans="1:6" x14ac:dyDescent="0.25">
      <c r="A38" s="99" t="s">
        <v>189</v>
      </c>
      <c r="B38" s="49">
        <v>579085354</v>
      </c>
      <c r="C38" s="49">
        <v>79094150</v>
      </c>
      <c r="D38" s="49">
        <v>46269837</v>
      </c>
      <c r="E38" s="50">
        <f>VLOOKUP($A38,'Data shares'!$C:$FA,154)*100</f>
        <v>13.900000000000002</v>
      </c>
      <c r="F38" s="173">
        <f>C38/B38</f>
        <v>0.13658461477856682</v>
      </c>
    </row>
    <row r="39" spans="1:6" x14ac:dyDescent="0.25">
      <c r="A39" s="99" t="s">
        <v>190</v>
      </c>
      <c r="B39" s="49">
        <v>256482590</v>
      </c>
      <c r="C39" s="49">
        <v>107614500</v>
      </c>
      <c r="D39" s="49">
        <v>1157738484</v>
      </c>
      <c r="E39" s="50">
        <f>VLOOKUP($A39,'Data shares'!$C:$FA,154)*100</f>
        <v>42.9</v>
      </c>
      <c r="F39" s="173">
        <f>C39/B39</f>
        <v>0.41957818657398926</v>
      </c>
    </row>
    <row r="40" spans="1:6" x14ac:dyDescent="0.25">
      <c r="A40" s="99" t="s">
        <v>191</v>
      </c>
      <c r="B40" s="49">
        <v>121306033</v>
      </c>
      <c r="C40" s="49">
        <v>75075000</v>
      </c>
      <c r="D40" s="49">
        <v>109001727</v>
      </c>
      <c r="E40" s="50">
        <f>VLOOKUP($A40,'Data shares'!$C:$FA,154)*100</f>
        <v>63.6</v>
      </c>
      <c r="F40" s="173">
        <f>C40/B40</f>
        <v>0.61888925178189613</v>
      </c>
    </row>
    <row r="41" spans="1:6" x14ac:dyDescent="0.25">
      <c r="A41" s="99" t="s">
        <v>681</v>
      </c>
      <c r="B41" s="49">
        <v>26123462</v>
      </c>
      <c r="C41" s="49">
        <v>5324475</v>
      </c>
      <c r="D41" s="49">
        <v>340234053</v>
      </c>
      <c r="E41" s="50">
        <f>VLOOKUP($A41,'Data shares'!$C:$FA,154)*100</f>
        <v>21.310000000000002</v>
      </c>
      <c r="F41" s="173">
        <f>C41/B41</f>
        <v>0.20381965453124093</v>
      </c>
    </row>
    <row r="42" spans="1:6" x14ac:dyDescent="0.25">
      <c r="A42" s="99" t="s">
        <v>192</v>
      </c>
      <c r="B42" s="49">
        <v>1737683</v>
      </c>
      <c r="C42" s="49">
        <v>987675</v>
      </c>
      <c r="D42" s="49">
        <v>206123471</v>
      </c>
      <c r="E42" s="50">
        <f>VLOOKUP($A42,'Data shares'!$C:$FA,154)*100</f>
        <v>58.75</v>
      </c>
      <c r="F42" s="173">
        <f>C42/B42</f>
        <v>0.56838617860679996</v>
      </c>
    </row>
    <row r="43" spans="1:6" x14ac:dyDescent="0.25">
      <c r="A43" s="99" t="s">
        <v>194</v>
      </c>
      <c r="B43" s="49">
        <v>408027660</v>
      </c>
      <c r="C43" s="49">
        <v>78425275</v>
      </c>
      <c r="D43" s="49">
        <v>24569780</v>
      </c>
      <c r="E43" s="50">
        <f>VLOOKUP($A43,'Data shares'!$C:$FA,154)*100</f>
        <v>19.53</v>
      </c>
      <c r="F43" s="173">
        <f>C43/B43</f>
        <v>0.19220578085319021</v>
      </c>
    </row>
    <row r="44" spans="1:6" x14ac:dyDescent="0.25">
      <c r="A44" s="99" t="s">
        <v>195</v>
      </c>
      <c r="B44" s="49">
        <v>23823080</v>
      </c>
      <c r="C44" s="49">
        <v>4318250</v>
      </c>
      <c r="D44" s="49">
        <v>59885032</v>
      </c>
      <c r="E44" s="50">
        <f>VLOOKUP($A44,'Data shares'!$C:$FA,154)*100</f>
        <v>18.34</v>
      </c>
      <c r="F44" s="173">
        <f>C44/B44</f>
        <v>0.1812632959298294</v>
      </c>
    </row>
    <row r="45" spans="1:6" x14ac:dyDescent="0.25">
      <c r="A45" s="99" t="s">
        <v>585</v>
      </c>
      <c r="B45" s="49">
        <v>63536556</v>
      </c>
      <c r="C45" s="49">
        <v>41281125</v>
      </c>
      <c r="D45" s="49">
        <v>74110675</v>
      </c>
      <c r="E45" s="50">
        <f>VLOOKUP($A45,'Data shares'!$C:$FA,154)*100</f>
        <v>68.459999999999994</v>
      </c>
      <c r="F45" s="173">
        <f>C45/B45</f>
        <v>0.64972242121527646</v>
      </c>
    </row>
    <row r="46" spans="1:6" x14ac:dyDescent="0.25">
      <c r="A46" s="99" t="s">
        <v>531</v>
      </c>
      <c r="B46" s="49">
        <v>32988281</v>
      </c>
      <c r="C46" s="49">
        <v>21492900</v>
      </c>
      <c r="D46" s="49">
        <v>24631073</v>
      </c>
      <c r="E46" s="50">
        <f>VLOOKUP($A46,'Data shares'!$C:$FA,154)*100</f>
        <v>67.58</v>
      </c>
      <c r="F46" s="173">
        <f>C46/B46</f>
        <v>0.65153137261077654</v>
      </c>
    </row>
    <row r="47" spans="1:6" x14ac:dyDescent="0.25">
      <c r="A47" s="99" t="s">
        <v>612</v>
      </c>
      <c r="B47" s="49">
        <v>9885969</v>
      </c>
      <c r="C47" s="49">
        <v>4283850</v>
      </c>
      <c r="D47" s="49">
        <v>20011100</v>
      </c>
      <c r="E47" s="50">
        <f>VLOOKUP($A47,'Data shares'!$C:$FA,154)*100</f>
        <v>44.67</v>
      </c>
      <c r="F47" s="173">
        <f>C47/B47</f>
        <v>0.43332626270626584</v>
      </c>
    </row>
    <row r="48" spans="1:6" x14ac:dyDescent="0.25">
      <c r="A48" s="99" t="s">
        <v>196</v>
      </c>
      <c r="B48" s="49">
        <v>672420574</v>
      </c>
      <c r="C48" s="49">
        <v>442543500</v>
      </c>
      <c r="D48" s="49">
        <v>103254229</v>
      </c>
      <c r="E48" s="50">
        <f>VLOOKUP($A48,'Data shares'!$C:$FA,154)*100</f>
        <v>68.56</v>
      </c>
      <c r="F48" s="173">
        <f>C48/B48</f>
        <v>0.65813497848148828</v>
      </c>
    </row>
    <row r="49" spans="1:6" x14ac:dyDescent="0.25">
      <c r="A49" s="99" t="s">
        <v>598</v>
      </c>
      <c r="B49" s="49">
        <v>35530000</v>
      </c>
      <c r="C49" s="49">
        <v>23490650</v>
      </c>
      <c r="D49" s="49">
        <v>14770881</v>
      </c>
      <c r="E49" s="50">
        <f>VLOOKUP($A49,'Data shares'!$C:$FA,154)*100</f>
        <v>68.289999999999992</v>
      </c>
      <c r="F49" s="173">
        <f>C49/B49</f>
        <v>0.66114973262032084</v>
      </c>
    </row>
    <row r="50" spans="1:6" x14ac:dyDescent="0.25">
      <c r="A50" s="99" t="s">
        <v>602</v>
      </c>
      <c r="B50" s="49">
        <v>126959974</v>
      </c>
      <c r="C50" s="49">
        <v>34154750</v>
      </c>
      <c r="D50" s="49">
        <v>4199619</v>
      </c>
      <c r="E50" s="50">
        <f>VLOOKUP($A50,'Data shares'!$C:$FA,154)*100</f>
        <v>27.18</v>
      </c>
      <c r="F50" s="173">
        <f>C50/B50</f>
        <v>0.26901982509857791</v>
      </c>
    </row>
    <row r="51" spans="1:6" x14ac:dyDescent="0.25">
      <c r="A51" s="99" t="s">
        <v>613</v>
      </c>
      <c r="B51" s="49">
        <v>128243866</v>
      </c>
      <c r="C51" s="49">
        <v>27031700</v>
      </c>
      <c r="D51" s="49">
        <v>25698053</v>
      </c>
      <c r="E51" s="50">
        <f>VLOOKUP($A51,'Data shares'!$C:$FA,154)*100</f>
        <v>21.310000000000002</v>
      </c>
      <c r="F51" s="173">
        <f>C51/B51</f>
        <v>0.21078357073234208</v>
      </c>
    </row>
    <row r="52" spans="1:6" x14ac:dyDescent="0.25">
      <c r="A52" s="99" t="s">
        <v>532</v>
      </c>
      <c r="B52" s="49">
        <v>31728204</v>
      </c>
      <c r="C52" s="49">
        <v>18715950</v>
      </c>
      <c r="D52" s="49">
        <v>21150413</v>
      </c>
      <c r="E52" s="50">
        <f>VLOOKUP($A52,'Data shares'!$C:$FA,154)*100</f>
        <v>60.3</v>
      </c>
      <c r="F52" s="173">
        <f>C52/B52</f>
        <v>0.58988368834239724</v>
      </c>
    </row>
    <row r="53" spans="1:6" x14ac:dyDescent="0.25">
      <c r="A53" s="99" t="s">
        <v>198</v>
      </c>
      <c r="B53" s="49">
        <v>84229462</v>
      </c>
      <c r="C53" s="49">
        <v>18962500</v>
      </c>
      <c r="D53" s="49">
        <v>101067661</v>
      </c>
      <c r="E53" s="50">
        <f>VLOOKUP($A53,'Data shares'!$C:$FA,154)*100</f>
        <v>22.939999999999998</v>
      </c>
      <c r="F53" s="173">
        <f>C53/B53</f>
        <v>0.22512906469710087</v>
      </c>
    </row>
    <row r="54" spans="1:6" x14ac:dyDescent="0.25">
      <c r="A54" s="99" t="s">
        <v>199</v>
      </c>
      <c r="B54" s="49">
        <v>114117893</v>
      </c>
      <c r="C54" s="49">
        <v>19540125</v>
      </c>
      <c r="D54" s="49">
        <v>67262509</v>
      </c>
      <c r="E54" s="50">
        <f>VLOOKUP($A54,'Data shares'!$C:$FA,154)*100</f>
        <v>17.849999999999998</v>
      </c>
      <c r="F54" s="173">
        <f>C54/B54</f>
        <v>0.17122753046272945</v>
      </c>
    </row>
    <row r="55" spans="1:6" x14ac:dyDescent="0.25">
      <c r="A55" s="99" t="s">
        <v>200</v>
      </c>
      <c r="B55" s="49">
        <v>454398477</v>
      </c>
      <c r="C55" s="49">
        <v>152581050</v>
      </c>
      <c r="D55" s="49">
        <v>22130770</v>
      </c>
      <c r="E55" s="50">
        <f>VLOOKUP($A55,'Data shares'!$C:$FA,154)*100</f>
        <v>34.08</v>
      </c>
      <c r="F55" s="173">
        <f>C55/B55</f>
        <v>0.33578688689134845</v>
      </c>
    </row>
    <row r="56" spans="1:6" x14ac:dyDescent="0.25">
      <c r="A56" s="99" t="s">
        <v>470</v>
      </c>
      <c r="B56" s="49">
        <v>66878856</v>
      </c>
      <c r="C56" s="49">
        <v>21255000</v>
      </c>
      <c r="D56" s="49">
        <v>41999251</v>
      </c>
      <c r="E56" s="50">
        <f>VLOOKUP($A56,'Data shares'!$C:$FA,154)*100</f>
        <v>33.129999999999995</v>
      </c>
      <c r="F56" s="173">
        <f>C56/B56</f>
        <v>0.31781345063677524</v>
      </c>
    </row>
    <row r="57" spans="1:6" x14ac:dyDescent="0.25">
      <c r="A57" s="99" t="s">
        <v>201</v>
      </c>
      <c r="B57" s="49">
        <v>26654592</v>
      </c>
      <c r="C57" s="49">
        <v>8941500</v>
      </c>
      <c r="D57" s="49">
        <v>142777152</v>
      </c>
      <c r="E57" s="50">
        <f>VLOOKUP($A57,'Data shares'!$C:$FA,154)*100</f>
        <v>34.47</v>
      </c>
      <c r="F57" s="173">
        <f>C57/B57</f>
        <v>0.33545814544825897</v>
      </c>
    </row>
    <row r="58" spans="1:6" x14ac:dyDescent="0.25">
      <c r="A58" s="99" t="s">
        <v>202</v>
      </c>
      <c r="B58" s="49">
        <v>68852343</v>
      </c>
      <c r="C58" s="49">
        <v>31728750</v>
      </c>
      <c r="D58" s="49">
        <v>545582385</v>
      </c>
      <c r="E58" s="50">
        <f>VLOOKUP($A58,'Data shares'!$C:$FA,154)*100</f>
        <v>46.72</v>
      </c>
      <c r="F58" s="173">
        <f>C58/B58</f>
        <v>0.46082309791549142</v>
      </c>
    </row>
    <row r="59" spans="1:6" x14ac:dyDescent="0.25">
      <c r="A59" s="99" t="s">
        <v>523</v>
      </c>
      <c r="B59" s="49">
        <v>128761832</v>
      </c>
      <c r="C59" s="49">
        <v>49482000</v>
      </c>
      <c r="D59" s="49">
        <v>19989088</v>
      </c>
      <c r="E59" s="50">
        <f>VLOOKUP($A59,'Data shares'!$C:$FA,154)*100</f>
        <v>38.840000000000003</v>
      </c>
      <c r="F59" s="173">
        <f>C59/B59</f>
        <v>0.3842908976318386</v>
      </c>
    </row>
    <row r="60" spans="1:6" x14ac:dyDescent="0.25">
      <c r="A60" s="99" t="s">
        <v>203</v>
      </c>
      <c r="B60" s="49">
        <v>27165600</v>
      </c>
      <c r="C60" s="49">
        <v>4694200</v>
      </c>
      <c r="D60" s="49">
        <v>544004727</v>
      </c>
      <c r="E60" s="50">
        <f>VLOOKUP($A60,'Data shares'!$C:$FA,154)*100</f>
        <v>17.5</v>
      </c>
      <c r="F60" s="173">
        <f>C60/B60</f>
        <v>0.17279942279942279</v>
      </c>
    </row>
    <row r="61" spans="1:6" x14ac:dyDescent="0.25">
      <c r="A61" s="99" t="s">
        <v>573</v>
      </c>
      <c r="B61" s="49">
        <v>16859165</v>
      </c>
      <c r="C61" s="49">
        <v>5292525</v>
      </c>
      <c r="D61" s="49">
        <v>8587386</v>
      </c>
      <c r="E61" s="50">
        <f>VLOOKUP($A61,'Data shares'!$C:$FA,154)*100</f>
        <v>31.95</v>
      </c>
      <c r="F61" s="173">
        <f>C61/B61</f>
        <v>0.3139256896768019</v>
      </c>
    </row>
    <row r="62" spans="1:6" x14ac:dyDescent="0.25">
      <c r="A62" s="99" t="s">
        <v>204</v>
      </c>
      <c r="B62" s="49">
        <v>119554853</v>
      </c>
      <c r="C62" s="49">
        <v>43202500</v>
      </c>
      <c r="D62" s="49">
        <v>75594267</v>
      </c>
      <c r="E62" s="50">
        <f>VLOOKUP($A62,'Data shares'!$C:$FA,154)*100</f>
        <v>36.93</v>
      </c>
      <c r="F62" s="173">
        <f>C62/B62</f>
        <v>0.36136132424503087</v>
      </c>
    </row>
    <row r="63" spans="1:6" x14ac:dyDescent="0.25">
      <c r="A63" s="99" t="s">
        <v>524</v>
      </c>
      <c r="B63" s="49">
        <v>16566722</v>
      </c>
      <c r="C63" s="49">
        <v>5228600</v>
      </c>
      <c r="D63" s="49">
        <v>93798591</v>
      </c>
      <c r="E63" s="50">
        <f>VLOOKUP($A63,'Data shares'!$C:$FA,154)*100</f>
        <v>32.26</v>
      </c>
      <c r="F63" s="173">
        <f>C63/B63</f>
        <v>0.31560860380224887</v>
      </c>
    </row>
    <row r="64" spans="1:6" x14ac:dyDescent="0.25">
      <c r="A64" s="99" t="s">
        <v>601</v>
      </c>
      <c r="B64" s="49">
        <v>149116295</v>
      </c>
      <c r="C64" s="49">
        <v>24885475</v>
      </c>
      <c r="D64" s="49">
        <v>14157837</v>
      </c>
      <c r="E64" s="50">
        <f>VLOOKUP($A64,'Data shares'!$C:$FA,154)*100</f>
        <v>16.98</v>
      </c>
      <c r="F64" s="173">
        <f>C64/B64</f>
        <v>0.16688635537786128</v>
      </c>
    </row>
    <row r="65" spans="1:6" x14ac:dyDescent="0.25">
      <c r="A65" s="99" t="s">
        <v>205</v>
      </c>
      <c r="B65" s="49">
        <v>25542698</v>
      </c>
      <c r="C65" s="49">
        <v>4774200</v>
      </c>
      <c r="D65" s="49">
        <v>234112727</v>
      </c>
      <c r="E65" s="50">
        <f>VLOOKUP($A65,'Data shares'!$C:$FA,154)*100</f>
        <v>19.009999999999998</v>
      </c>
      <c r="F65" s="173">
        <f>C65/B65</f>
        <v>0.18691056050539376</v>
      </c>
    </row>
    <row r="66" spans="1:6" x14ac:dyDescent="0.25">
      <c r="A66" s="99" t="s">
        <v>512</v>
      </c>
      <c r="B66" s="49">
        <v>8159946</v>
      </c>
      <c r="C66" s="49">
        <v>4058850</v>
      </c>
      <c r="D66" s="49">
        <v>59148219</v>
      </c>
      <c r="E66" s="50">
        <f>VLOOKUP($A66,'Data shares'!$C:$FA,154)*100</f>
        <v>51.480000000000004</v>
      </c>
      <c r="F66" s="173">
        <f>C66/B66</f>
        <v>0.49741137992824952</v>
      </c>
    </row>
    <row r="67" spans="1:6" x14ac:dyDescent="0.25">
      <c r="A67" s="99" t="s">
        <v>207</v>
      </c>
      <c r="B67" s="49">
        <v>128335464</v>
      </c>
      <c r="C67" s="49">
        <v>71044050</v>
      </c>
      <c r="D67" s="49">
        <v>57600260</v>
      </c>
      <c r="E67" s="50">
        <f>VLOOKUP($A67,'Data shares'!$C:$FA,154)*100</f>
        <v>57.48</v>
      </c>
      <c r="F67" s="173">
        <f>C67/B67</f>
        <v>0.5535808091206964</v>
      </c>
    </row>
    <row r="68" spans="1:6" x14ac:dyDescent="0.25">
      <c r="A68" s="99" t="s">
        <v>584</v>
      </c>
      <c r="B68" s="49">
        <v>32997182</v>
      </c>
      <c r="C68" s="49">
        <v>10539000</v>
      </c>
      <c r="D68" s="49">
        <v>509220</v>
      </c>
      <c r="E68" s="50">
        <f>VLOOKUP($A68,'Data shares'!$C:$FA,154)*100</f>
        <v>33.25</v>
      </c>
      <c r="F68" s="173">
        <f>C68/B68</f>
        <v>0.31939091041168305</v>
      </c>
    </row>
    <row r="69" spans="1:6" x14ac:dyDescent="0.25">
      <c r="A69" s="99" t="s">
        <v>208</v>
      </c>
      <c r="B69" s="49">
        <v>121939493</v>
      </c>
      <c r="C69" s="49">
        <v>27215625</v>
      </c>
      <c r="D69" s="49">
        <v>12402599</v>
      </c>
      <c r="E69" s="50">
        <f>VLOOKUP($A69,'Data shares'!$C:$FA,154)*100</f>
        <v>23.34</v>
      </c>
      <c r="F69" s="173">
        <f>C69/B69</f>
        <v>0.22318958633032859</v>
      </c>
    </row>
    <row r="70" spans="1:6" x14ac:dyDescent="0.25">
      <c r="A70" s="99" t="s">
        <v>209</v>
      </c>
      <c r="B70" s="49">
        <v>27919827</v>
      </c>
      <c r="C70" s="49">
        <v>5673850</v>
      </c>
      <c r="D70" s="49">
        <v>66209632</v>
      </c>
      <c r="E70" s="50">
        <f>VLOOKUP($A70,'Data shares'!$C:$FA,154)*100</f>
        <v>20.599999999999998</v>
      </c>
      <c r="F70" s="173">
        <f>C70/B70</f>
        <v>0.20321938241236237</v>
      </c>
    </row>
    <row r="71" spans="1:6" x14ac:dyDescent="0.25">
      <c r="A71" s="99" t="s">
        <v>669</v>
      </c>
      <c r="B71" s="49">
        <v>1814577127</v>
      </c>
      <c r="C71" s="49">
        <v>362697550</v>
      </c>
      <c r="D71" s="49"/>
      <c r="E71" s="50"/>
      <c r="F71" s="173">
        <f>C71/B71</f>
        <v>0.19987993048255809</v>
      </c>
    </row>
    <row r="72" spans="1:6" x14ac:dyDescent="0.25">
      <c r="A72" s="99" t="s">
        <v>211</v>
      </c>
      <c r="B72" s="49">
        <v>91809066</v>
      </c>
      <c r="C72" s="49">
        <v>44569800</v>
      </c>
      <c r="D72" s="49">
        <v>4492429</v>
      </c>
      <c r="E72" s="50">
        <f>VLOOKUP($A72,'Data shares'!$C:$FA,154)*100</f>
        <v>49.63</v>
      </c>
      <c r="F72" s="173">
        <f>C72/B72</f>
        <v>0.48546186059664304</v>
      </c>
    </row>
    <row r="73" spans="1:6" x14ac:dyDescent="0.25">
      <c r="A73" s="99" t="s">
        <v>212</v>
      </c>
      <c r="B73" s="49">
        <v>486316409</v>
      </c>
      <c r="C73" s="49">
        <v>160415000</v>
      </c>
      <c r="D73" s="49">
        <v>84332594</v>
      </c>
      <c r="E73" s="50">
        <f>VLOOKUP($A73,'Data shares'!$C:$FA,154)*100</f>
        <v>33.489999999999995</v>
      </c>
      <c r="F73" s="173">
        <f>C73/B73</f>
        <v>0.32985726377166108</v>
      </c>
    </row>
    <row r="74" spans="1:6" x14ac:dyDescent="0.25">
      <c r="A74" s="99" t="s">
        <v>679</v>
      </c>
      <c r="B74" s="49">
        <v>103932806</v>
      </c>
      <c r="C74" s="49">
        <v>13584975</v>
      </c>
      <c r="D74" s="49">
        <v>38757628</v>
      </c>
      <c r="E74" s="50">
        <f>VLOOKUP($A74,'Data shares'!$C:$FA,154)*100</f>
        <v>13.38</v>
      </c>
      <c r="F74" s="173">
        <f>C74/B74</f>
        <v>0.13070921033345334</v>
      </c>
    </row>
    <row r="75" spans="1:6" x14ac:dyDescent="0.25">
      <c r="A75" s="99" t="s">
        <v>213</v>
      </c>
      <c r="B75" s="49">
        <v>628365076</v>
      </c>
      <c r="C75" s="49">
        <v>183994650</v>
      </c>
      <c r="D75" s="49">
        <v>649324113</v>
      </c>
      <c r="E75" s="50">
        <f>VLOOKUP($A75,'Data shares'!$C:$FA,154)*100</f>
        <v>29.86</v>
      </c>
      <c r="F75" s="173">
        <f>C75/B75</f>
        <v>0.2928148890311657</v>
      </c>
    </row>
    <row r="76" spans="1:6" x14ac:dyDescent="0.25">
      <c r="A76" s="99" t="s">
        <v>214</v>
      </c>
      <c r="B76" s="49">
        <v>30111043</v>
      </c>
      <c r="C76" s="49">
        <v>21988875</v>
      </c>
      <c r="D76" s="49">
        <v>3598234673</v>
      </c>
      <c r="E76" s="50">
        <f>VLOOKUP($A76,'Data shares'!$C:$FA,154)*100</f>
        <v>77.12</v>
      </c>
      <c r="F76" s="173">
        <f>C76/B76</f>
        <v>0.7302594931699975</v>
      </c>
    </row>
    <row r="77" spans="1:6" x14ac:dyDescent="0.25">
      <c r="A77" s="99" t="s">
        <v>632</v>
      </c>
      <c r="B77" s="49">
        <v>712939229</v>
      </c>
      <c r="C77" s="49">
        <v>317857725</v>
      </c>
      <c r="D77" s="49">
        <v>25374631</v>
      </c>
      <c r="E77" s="50">
        <f>VLOOKUP($A77,'Data shares'!$C:$FA,154)*100</f>
        <v>45.06</v>
      </c>
      <c r="F77" s="173">
        <f>C77/B77</f>
        <v>0.44584126117711498</v>
      </c>
    </row>
    <row r="78" spans="1:6" x14ac:dyDescent="0.25">
      <c r="A78" s="99" t="s">
        <v>217</v>
      </c>
      <c r="B78" s="49">
        <v>96028079</v>
      </c>
      <c r="C78" s="49">
        <v>15212000</v>
      </c>
      <c r="D78" s="49">
        <v>58183091</v>
      </c>
      <c r="E78" s="50">
        <f>VLOOKUP($A78,'Data shares'!$C:$FA,154)*100</f>
        <v>16</v>
      </c>
      <c r="F78" s="173">
        <f>C78/B78</f>
        <v>0.15841199947361229</v>
      </c>
    </row>
    <row r="79" spans="1:6" x14ac:dyDescent="0.25">
      <c r="A79" s="99" t="s">
        <v>218</v>
      </c>
      <c r="B79" s="49">
        <v>32126257</v>
      </c>
      <c r="C79" s="49">
        <v>10652125</v>
      </c>
      <c r="D79" s="49">
        <v>25520905</v>
      </c>
      <c r="E79" s="50">
        <f>VLOOKUP($A79,'Data shares'!$C:$FA,154)*100</f>
        <v>33.71</v>
      </c>
      <c r="F79" s="173">
        <f>C79/B79</f>
        <v>0.33157068375565818</v>
      </c>
    </row>
    <row r="80" spans="1:6" x14ac:dyDescent="0.25">
      <c r="A80" s="99" t="s">
        <v>492</v>
      </c>
      <c r="B80" s="49">
        <v>29668038</v>
      </c>
      <c r="C80" s="49">
        <v>20042300</v>
      </c>
      <c r="D80" s="49">
        <v>86644098</v>
      </c>
      <c r="E80" s="50">
        <f>VLOOKUP($A80,'Data shares'!$C:$FA,154)*100</f>
        <v>68.2</v>
      </c>
      <c r="F80" s="173">
        <f>C80/B80</f>
        <v>0.67555191886972776</v>
      </c>
    </row>
    <row r="81" spans="1:6" x14ac:dyDescent="0.25">
      <c r="A81" s="99" t="s">
        <v>219</v>
      </c>
      <c r="B81" s="49">
        <v>77020742</v>
      </c>
      <c r="C81" s="49">
        <v>15955500</v>
      </c>
      <c r="D81" s="49">
        <v>282059877</v>
      </c>
      <c r="E81" s="50">
        <f>VLOOKUP($A81,'Data shares'!$C:$FA,154)*100</f>
        <v>20.990000000000002</v>
      </c>
      <c r="F81" s="173">
        <f>C81/B81</f>
        <v>0.20715848206188406</v>
      </c>
    </row>
    <row r="82" spans="1:6" x14ac:dyDescent="0.25">
      <c r="A82" s="99" t="s">
        <v>513</v>
      </c>
      <c r="B82" s="49">
        <v>37934515</v>
      </c>
      <c r="C82" s="49">
        <v>19487550</v>
      </c>
      <c r="D82" s="49">
        <v>18236393</v>
      </c>
      <c r="E82" s="50">
        <f>VLOOKUP($A82,'Data shares'!$C:$FA,154)*100</f>
        <v>53</v>
      </c>
      <c r="F82" s="173">
        <f>C82/B82</f>
        <v>0.51371554374690176</v>
      </c>
    </row>
    <row r="83" spans="1:6" x14ac:dyDescent="0.25">
      <c r="A83" s="99" t="s">
        <v>220</v>
      </c>
      <c r="B83" s="49">
        <v>50833981</v>
      </c>
      <c r="C83" s="49">
        <v>16098500</v>
      </c>
      <c r="D83" s="49">
        <v>5704697</v>
      </c>
      <c r="E83" s="50">
        <f>VLOOKUP($A83,'Data shares'!$C:$FA,154)*100</f>
        <v>32.82</v>
      </c>
      <c r="F83" s="173">
        <f>C83/B83</f>
        <v>0.31668776836502338</v>
      </c>
    </row>
    <row r="84" spans="1:6" x14ac:dyDescent="0.25">
      <c r="A84" s="99" t="s">
        <v>222</v>
      </c>
      <c r="B84" s="49">
        <v>211721976</v>
      </c>
      <c r="C84" s="49">
        <v>42299600</v>
      </c>
      <c r="D84" s="49">
        <v>468835345</v>
      </c>
      <c r="E84" s="50">
        <f>VLOOKUP($A84,'Data shares'!$C:$FA,154)*100</f>
        <v>20.65</v>
      </c>
      <c r="F84" s="173">
        <f>C84/B84</f>
        <v>0.19978842441939046</v>
      </c>
    </row>
    <row r="85" spans="1:6" x14ac:dyDescent="0.25">
      <c r="A85" s="99" t="s">
        <v>475</v>
      </c>
      <c r="B85" s="49">
        <v>20322651</v>
      </c>
      <c r="C85" s="49">
        <v>5968200</v>
      </c>
      <c r="D85" s="49">
        <v>37523476</v>
      </c>
      <c r="E85" s="50">
        <f>VLOOKUP($A85,'Data shares'!$C:$FA,154)*100</f>
        <v>30.54</v>
      </c>
      <c r="F85" s="173">
        <f>C85/B85</f>
        <v>0.2936723166677418</v>
      </c>
    </row>
    <row r="86" spans="1:6" x14ac:dyDescent="0.25">
      <c r="A86" s="99" t="s">
        <v>224</v>
      </c>
      <c r="B86" s="49">
        <v>1324758679</v>
      </c>
      <c r="C86" s="49">
        <v>159798650</v>
      </c>
      <c r="D86" s="49">
        <v>233675379</v>
      </c>
      <c r="E86" s="50">
        <f>VLOOKUP($A86,'Data shares'!$C:$FA,154)*100</f>
        <v>12.25</v>
      </c>
      <c r="F86" s="173">
        <f>C86/B86</f>
        <v>0.12062472398416346</v>
      </c>
    </row>
    <row r="87" spans="1:6" x14ac:dyDescent="0.25">
      <c r="A87" s="99" t="s">
        <v>225</v>
      </c>
      <c r="B87" s="49">
        <v>213821216</v>
      </c>
      <c r="C87" s="49">
        <v>58023900</v>
      </c>
      <c r="D87" s="49">
        <v>108482990</v>
      </c>
      <c r="E87" s="50">
        <f>VLOOKUP($A87,'Data shares'!$C:$FA,154)*100</f>
        <v>28.1</v>
      </c>
      <c r="F87" s="173">
        <f>C87/B87</f>
        <v>0.27136642979338405</v>
      </c>
    </row>
    <row r="88" spans="1:6" x14ac:dyDescent="0.25">
      <c r="A88" s="99" t="s">
        <v>226</v>
      </c>
      <c r="B88" s="49">
        <v>26104531</v>
      </c>
      <c r="C88" s="49">
        <v>12643050</v>
      </c>
      <c r="D88" s="49">
        <v>54596210</v>
      </c>
      <c r="E88" s="50">
        <f>VLOOKUP($A88,'Data shares'!$C:$FA,154)*100</f>
        <v>50.32</v>
      </c>
      <c r="F88" s="173">
        <f>C88/B88</f>
        <v>0.48432396659415178</v>
      </c>
    </row>
    <row r="89" spans="1:6" x14ac:dyDescent="0.25">
      <c r="A89" s="99" t="s">
        <v>577</v>
      </c>
      <c r="B89" s="49">
        <v>189248684</v>
      </c>
      <c r="C89" s="49">
        <v>135843450</v>
      </c>
      <c r="D89" s="49">
        <v>193958976</v>
      </c>
      <c r="E89" s="50">
        <f>VLOOKUP($A89,'Data shares'!$C:$FA,154)*100</f>
        <v>72.63</v>
      </c>
      <c r="F89" s="173">
        <f>C89/B89</f>
        <v>0.71780393463660752</v>
      </c>
    </row>
    <row r="90" spans="1:6" x14ac:dyDescent="0.25">
      <c r="A90" s="99" t="s">
        <v>228</v>
      </c>
      <c r="B90" s="49">
        <v>291659008</v>
      </c>
      <c r="C90" s="49">
        <v>80760400</v>
      </c>
      <c r="D90" s="49"/>
      <c r="E90" s="50"/>
      <c r="F90" s="173">
        <f>C90/B90</f>
        <v>0.27690007092117658</v>
      </c>
    </row>
    <row r="91" spans="1:6" x14ac:dyDescent="0.25">
      <c r="A91" s="99" t="s">
        <v>547</v>
      </c>
      <c r="B91" s="49">
        <v>65482129</v>
      </c>
      <c r="C91" s="49">
        <v>47890800</v>
      </c>
      <c r="D91" s="49">
        <v>8779534</v>
      </c>
      <c r="E91" s="50">
        <f>VLOOKUP($A91,'Data shares'!$C:$FA,154)*100</f>
        <v>75.539999999999992</v>
      </c>
      <c r="F91" s="173">
        <f>C91/B91</f>
        <v>0.73135679507304963</v>
      </c>
    </row>
    <row r="92" spans="1:6" x14ac:dyDescent="0.25">
      <c r="A92" s="99" t="s">
        <v>229</v>
      </c>
      <c r="B92" s="49">
        <v>191910891</v>
      </c>
      <c r="C92" s="49">
        <v>82067175</v>
      </c>
      <c r="D92" s="49">
        <v>122079696</v>
      </c>
      <c r="E92" s="50">
        <f>VLOOKUP($A92,'Data shares'!$C:$FA,154)*100</f>
        <v>43.25</v>
      </c>
      <c r="F92" s="173">
        <f>C92/B92</f>
        <v>0.42763167099255456</v>
      </c>
    </row>
    <row r="93" spans="1:6" x14ac:dyDescent="0.25">
      <c r="A93" s="99" t="s">
        <v>230</v>
      </c>
      <c r="B93" s="49">
        <v>179035680</v>
      </c>
      <c r="C93" s="49">
        <v>32688600</v>
      </c>
      <c r="D93" s="49">
        <v>58389317</v>
      </c>
      <c r="E93" s="50">
        <f>VLOOKUP($A93,'Data shares'!$C:$FA,154)*100</f>
        <v>18.59</v>
      </c>
      <c r="F93" s="173">
        <f>C93/B93</f>
        <v>0.18258148319932652</v>
      </c>
    </row>
    <row r="94" spans="1:6" x14ac:dyDescent="0.25">
      <c r="A94" s="99" t="s">
        <v>670</v>
      </c>
      <c r="B94" s="49">
        <v>309154116</v>
      </c>
      <c r="C94" s="49">
        <v>71603700</v>
      </c>
      <c r="D94" s="49">
        <v>44091700</v>
      </c>
      <c r="E94" s="50">
        <f>VLOOKUP($A94,'Data shares'!$C:$FA,154)*100</f>
        <v>23.61</v>
      </c>
      <c r="F94" s="173">
        <f>C94/B94</f>
        <v>0.23161166646087933</v>
      </c>
    </row>
    <row r="95" spans="1:6" x14ac:dyDescent="0.25">
      <c r="A95" s="99" t="s">
        <v>609</v>
      </c>
      <c r="B95" s="49">
        <v>100095000</v>
      </c>
      <c r="C95" s="49">
        <v>67346475</v>
      </c>
      <c r="D95" s="49">
        <v>3525954</v>
      </c>
      <c r="E95" s="50">
        <f>VLOOKUP($A95,'Data shares'!$C:$FA,154)*100</f>
        <v>68.8</v>
      </c>
      <c r="F95" s="173">
        <f>C95/B95</f>
        <v>0.67282556571257301</v>
      </c>
    </row>
    <row r="96" spans="1:6" x14ac:dyDescent="0.25">
      <c r="A96" s="99" t="s">
        <v>232</v>
      </c>
      <c r="B96" s="49">
        <v>1159424540</v>
      </c>
      <c r="C96" s="49">
        <v>152271700</v>
      </c>
      <c r="D96" s="49">
        <v>16498040</v>
      </c>
      <c r="E96" s="50">
        <f>VLOOKUP($A96,'Data shares'!$C:$FA,154)*100</f>
        <v>13.36</v>
      </c>
      <c r="F96" s="173">
        <f>C96/B96</f>
        <v>0.13133385981290338</v>
      </c>
    </row>
    <row r="97" spans="1:6" x14ac:dyDescent="0.25">
      <c r="A97" s="99" t="s">
        <v>472</v>
      </c>
      <c r="B97" s="49">
        <v>48034132</v>
      </c>
      <c r="C97" s="49">
        <v>9234225</v>
      </c>
      <c r="D97" s="49">
        <v>115237011</v>
      </c>
      <c r="E97" s="50">
        <f>VLOOKUP($A97,'Data shares'!$C:$FA,154)*100</f>
        <v>19.400000000000002</v>
      </c>
      <c r="F97" s="173">
        <f>C97/B97</f>
        <v>0.19224298671619588</v>
      </c>
    </row>
    <row r="98" spans="1:6" x14ac:dyDescent="0.25">
      <c r="A98" s="99" t="s">
        <v>233</v>
      </c>
      <c r="B98" s="49">
        <v>78039794</v>
      </c>
      <c r="C98" s="49">
        <v>26196925</v>
      </c>
      <c r="D98" s="49">
        <v>940595047</v>
      </c>
      <c r="E98" s="50">
        <f>VLOOKUP($A98,'Data shares'!$C:$FA,154)*100</f>
        <v>34.56</v>
      </c>
      <c r="F98" s="173">
        <f>C98/B98</f>
        <v>0.3356867523253585</v>
      </c>
    </row>
    <row r="99" spans="1:6" x14ac:dyDescent="0.25">
      <c r="A99" s="99" t="s">
        <v>234</v>
      </c>
      <c r="B99" s="49">
        <v>16128051291</v>
      </c>
      <c r="C99" s="49">
        <v>7392516300</v>
      </c>
      <c r="D99" s="49">
        <v>15320449</v>
      </c>
      <c r="E99" s="50">
        <f>VLOOKUP($A99,'Data shares'!$C:$FA,154)*100</f>
        <v>46.51</v>
      </c>
      <c r="F99" s="173">
        <f>C99/B99</f>
        <v>0.45836388827243346</v>
      </c>
    </row>
    <row r="100" spans="1:6" x14ac:dyDescent="0.25">
      <c r="A100" s="99" t="s">
        <v>235</v>
      </c>
      <c r="B100" s="49">
        <v>1464421396</v>
      </c>
      <c r="C100" s="49">
        <v>611556400</v>
      </c>
      <c r="D100" s="49">
        <v>57847479</v>
      </c>
      <c r="E100" s="50">
        <f>VLOOKUP($A100,'Data shares'!$C:$FA,154)*100</f>
        <v>42.21</v>
      </c>
      <c r="F100" s="173">
        <f>C100/B100</f>
        <v>0.41760957718211322</v>
      </c>
    </row>
    <row r="101" spans="1:6" x14ac:dyDescent="0.25">
      <c r="A101" s="99" t="s">
        <v>514</v>
      </c>
      <c r="B101" s="49">
        <v>177849950</v>
      </c>
      <c r="C101" s="49">
        <v>196845000</v>
      </c>
      <c r="D101" s="49">
        <v>120620134</v>
      </c>
      <c r="E101" s="50">
        <f>VLOOKUP($A101,'Data shares'!$C:$FA,154)*100</f>
        <v>113.72</v>
      </c>
      <c r="F101" s="173">
        <f>C101/B101</f>
        <v>1.1068037972459368</v>
      </c>
    </row>
    <row r="102" spans="1:6" x14ac:dyDescent="0.25">
      <c r="A102" s="99" t="s">
        <v>236</v>
      </c>
      <c r="B102" s="49">
        <v>154000160</v>
      </c>
      <c r="C102" s="49">
        <v>43208000</v>
      </c>
      <c r="D102" s="49">
        <v>184399882</v>
      </c>
      <c r="E102" s="50">
        <f>VLOOKUP($A102,'Data shares'!$C:$FA,154)*100</f>
        <v>28.57</v>
      </c>
      <c r="F102" s="173">
        <f>C102/B102</f>
        <v>0.28057113706894848</v>
      </c>
    </row>
    <row r="103" spans="1:6" x14ac:dyDescent="0.25">
      <c r="A103" s="99" t="s">
        <v>668</v>
      </c>
      <c r="B103" s="49">
        <v>63768380</v>
      </c>
      <c r="C103" s="49">
        <v>23479500</v>
      </c>
      <c r="D103" s="49">
        <v>104256740</v>
      </c>
      <c r="E103" s="50">
        <f>VLOOKUP($A103,'Data shares'!$C:$FA,154)*100</f>
        <v>37.08</v>
      </c>
      <c r="F103" s="173">
        <f>C103/B103</f>
        <v>0.36819972531841016</v>
      </c>
    </row>
    <row r="104" spans="1:6" x14ac:dyDescent="0.25">
      <c r="A104" s="99" t="s">
        <v>501</v>
      </c>
      <c r="B104" s="49">
        <v>176174897</v>
      </c>
      <c r="C104" s="49">
        <v>45739000</v>
      </c>
      <c r="D104" s="49">
        <v>10336964</v>
      </c>
      <c r="E104" s="50">
        <f>VLOOKUP($A104,'Data shares'!$C:$FA,154)*100</f>
        <v>26.669999999999998</v>
      </c>
      <c r="F104" s="173">
        <f>C104/B104</f>
        <v>0.25962268619915813</v>
      </c>
    </row>
    <row r="105" spans="1:6" x14ac:dyDescent="0.25">
      <c r="A105" s="99" t="s">
        <v>579</v>
      </c>
      <c r="B105" s="49">
        <v>70482876</v>
      </c>
      <c r="C105" s="49">
        <v>11103000</v>
      </c>
      <c r="D105" s="49"/>
      <c r="E105" s="50"/>
      <c r="F105" s="173">
        <f>C105/B105</f>
        <v>0.15752762415653981</v>
      </c>
    </row>
    <row r="106" spans="1:6" x14ac:dyDescent="0.25">
      <c r="A106" s="99" t="s">
        <v>238</v>
      </c>
      <c r="B106" s="49">
        <v>39206614</v>
      </c>
      <c r="C106" s="49">
        <v>13164300</v>
      </c>
      <c r="D106" s="49">
        <v>18445015</v>
      </c>
      <c r="E106" s="50">
        <f>VLOOKUP($A106,'Data shares'!$C:$FA,154)*100</f>
        <v>34.44</v>
      </c>
      <c r="F106" s="173">
        <f>C106/B106</f>
        <v>0.33576732742082754</v>
      </c>
    </row>
    <row r="107" spans="1:6" x14ac:dyDescent="0.25">
      <c r="A107" s="99" t="s">
        <v>239</v>
      </c>
      <c r="B107" s="49">
        <v>125014099</v>
      </c>
      <c r="C107" s="49">
        <v>72991100</v>
      </c>
      <c r="D107" s="49">
        <v>13284492</v>
      </c>
      <c r="E107" s="50">
        <f>VLOOKUP($A107,'Data shares'!$C:$FA,154)*100</f>
        <v>59.599999999999994</v>
      </c>
      <c r="F107" s="173">
        <f>C107/B107</f>
        <v>0.58386294493071533</v>
      </c>
    </row>
    <row r="108" spans="1:6" x14ac:dyDescent="0.25">
      <c r="A108" s="99" t="s">
        <v>473</v>
      </c>
      <c r="B108" s="49">
        <v>263606423</v>
      </c>
      <c r="C108" s="49">
        <v>87286500</v>
      </c>
      <c r="D108" s="49">
        <v>20527912</v>
      </c>
      <c r="E108" s="50">
        <f>VLOOKUP($A108,'Data shares'!$C:$FA,154)*100</f>
        <v>33.44</v>
      </c>
      <c r="F108" s="173">
        <f>C108/B108</f>
        <v>0.33112432924291835</v>
      </c>
    </row>
    <row r="109" spans="1:6" x14ac:dyDescent="0.25">
      <c r="A109" s="99" t="s">
        <v>240</v>
      </c>
      <c r="B109" s="49">
        <v>632343512</v>
      </c>
      <c r="C109" s="49">
        <v>117085600</v>
      </c>
      <c r="D109" s="49">
        <v>2269430537</v>
      </c>
      <c r="E109" s="50">
        <f>VLOOKUP($A109,'Data shares'!$C:$FA,154)*100</f>
        <v>18.970000000000002</v>
      </c>
      <c r="F109" s="173">
        <f>C109/B109</f>
        <v>0.18516138424458128</v>
      </c>
    </row>
    <row r="110" spans="1:6" x14ac:dyDescent="0.25">
      <c r="A110" s="99" t="s">
        <v>671</v>
      </c>
      <c r="B110" s="49">
        <v>134884086</v>
      </c>
      <c r="C110" s="49">
        <v>69808350</v>
      </c>
      <c r="D110" s="49">
        <v>6577897</v>
      </c>
      <c r="E110" s="50">
        <f>VLOOKUP($A110,'Data shares'!$C:$FA,154)*100</f>
        <v>55.21</v>
      </c>
      <c r="F110" s="173">
        <f>C110/B110</f>
        <v>0.51754326303549258</v>
      </c>
    </row>
    <row r="111" spans="1:6" x14ac:dyDescent="0.25">
      <c r="A111" s="99" t="s">
        <v>241</v>
      </c>
      <c r="B111" s="49">
        <v>1369807723</v>
      </c>
      <c r="C111" s="49">
        <v>203994375</v>
      </c>
      <c r="D111" s="49">
        <v>80757838</v>
      </c>
      <c r="E111" s="50">
        <f>VLOOKUP($A111,'Data shares'!$C:$FA,154)*100</f>
        <v>15.1</v>
      </c>
      <c r="F111" s="173">
        <f>C111/B111</f>
        <v>0.14892190456718574</v>
      </c>
    </row>
    <row r="112" spans="1:6" x14ac:dyDescent="0.25">
      <c r="A112" s="99" t="s">
        <v>595</v>
      </c>
      <c r="B112" s="49">
        <v>840388804</v>
      </c>
      <c r="C112" s="49">
        <v>144746650</v>
      </c>
      <c r="D112" s="49">
        <v>17234338</v>
      </c>
      <c r="E112" s="50">
        <f>VLOOKUP($A112,'Data shares'!$C:$FA,154)*100</f>
        <v>17.47</v>
      </c>
      <c r="F112" s="173">
        <f>C112/B112</f>
        <v>0.17223771819787356</v>
      </c>
    </row>
    <row r="113" spans="1:6" x14ac:dyDescent="0.25">
      <c r="A113" s="99" t="s">
        <v>490</v>
      </c>
      <c r="B113" s="49">
        <v>60165566</v>
      </c>
      <c r="C113" s="49">
        <v>28376250</v>
      </c>
      <c r="D113" s="49">
        <v>37678001</v>
      </c>
      <c r="E113" s="50">
        <f>VLOOKUP($A113,'Data shares'!$C:$FA,154)*100</f>
        <v>47.86</v>
      </c>
      <c r="F113" s="173">
        <f>C113/B113</f>
        <v>0.47163605175757839</v>
      </c>
    </row>
    <row r="114" spans="1:6" x14ac:dyDescent="0.25">
      <c r="A114" s="99" t="s">
        <v>666</v>
      </c>
      <c r="B114" s="49">
        <v>158681547</v>
      </c>
      <c r="C114" s="49">
        <v>98573400</v>
      </c>
      <c r="D114" s="49">
        <v>1078556959</v>
      </c>
      <c r="E114" s="50">
        <f>VLOOKUP($A114,'Data shares'!$C:$FA,154)*100</f>
        <v>64.5</v>
      </c>
      <c r="F114" s="173">
        <f>C114/B114</f>
        <v>0.62120266573907301</v>
      </c>
    </row>
    <row r="115" spans="1:6" x14ac:dyDescent="0.25">
      <c r="A115" s="99" t="s">
        <v>593</v>
      </c>
      <c r="B115" s="49">
        <v>356413800</v>
      </c>
      <c r="C115" s="49">
        <v>118889500</v>
      </c>
      <c r="D115" s="49">
        <v>45295695</v>
      </c>
      <c r="E115" s="50">
        <f>VLOOKUP($A115,'Data shares'!$C:$FA,154)*100</f>
        <v>34.79</v>
      </c>
      <c r="F115" s="173">
        <f>C115/B115</f>
        <v>0.33357153959807395</v>
      </c>
    </row>
    <row r="116" spans="1:6" x14ac:dyDescent="0.25">
      <c r="A116" s="99" t="s">
        <v>242</v>
      </c>
      <c r="B116" s="49">
        <v>2502122210</v>
      </c>
      <c r="C116" s="49">
        <v>193412800</v>
      </c>
      <c r="D116" s="49">
        <v>559682410</v>
      </c>
      <c r="E116" s="50">
        <f>VLOOKUP($A116,'Data shares'!$C:$FA,154)*100</f>
        <v>7.89</v>
      </c>
      <c r="F116" s="173">
        <f>C116/B116</f>
        <v>7.7299501689807551E-2</v>
      </c>
    </row>
    <row r="117" spans="1:6" x14ac:dyDescent="0.25">
      <c r="A117" s="99" t="s">
        <v>243</v>
      </c>
      <c r="B117" s="49">
        <v>75417775</v>
      </c>
      <c r="C117" s="49">
        <v>25914375</v>
      </c>
      <c r="D117" s="49">
        <v>492650410</v>
      </c>
      <c r="E117" s="50">
        <f>VLOOKUP($A117,'Data shares'!$C:$FA,154)*100</f>
        <v>34.660000000000004</v>
      </c>
      <c r="F117" s="173">
        <f>C117/B117</f>
        <v>0.34361097234703625</v>
      </c>
    </row>
    <row r="118" spans="1:6" x14ac:dyDescent="0.25">
      <c r="A118" s="99" t="s">
        <v>571</v>
      </c>
      <c r="B118" s="49">
        <v>671850851</v>
      </c>
      <c r="C118" s="49">
        <v>259717300</v>
      </c>
      <c r="D118" s="49">
        <v>69477565</v>
      </c>
      <c r="E118" s="50">
        <f>VLOOKUP($A118,'Data shares'!$C:$FA,154)*100</f>
        <v>39.589999999999996</v>
      </c>
      <c r="F118" s="173">
        <f>C118/B118</f>
        <v>0.38656987575952328</v>
      </c>
    </row>
    <row r="119" spans="1:6" x14ac:dyDescent="0.25">
      <c r="A119" s="99" t="s">
        <v>582</v>
      </c>
      <c r="B119" s="49">
        <v>64423956</v>
      </c>
      <c r="C119" s="49">
        <v>10129450</v>
      </c>
      <c r="D119" s="49">
        <v>7160334</v>
      </c>
      <c r="E119" s="50">
        <f>VLOOKUP($A119,'Data shares'!$C:$FA,154)*100</f>
        <v>16.100000000000001</v>
      </c>
      <c r="F119" s="173">
        <f>C119/B119</f>
        <v>0.15723110825420283</v>
      </c>
    </row>
    <row r="120" spans="1:6" x14ac:dyDescent="0.25">
      <c r="A120" s="99" t="s">
        <v>581</v>
      </c>
      <c r="B120" s="49">
        <v>106935382</v>
      </c>
      <c r="C120" s="49">
        <v>63021000</v>
      </c>
      <c r="D120" s="49">
        <v>19453939</v>
      </c>
      <c r="E120" s="50">
        <f>VLOOKUP($A120,'Data shares'!$C:$FA,154)*100</f>
        <v>59.550000000000004</v>
      </c>
      <c r="F120" s="173">
        <f>C120/B120</f>
        <v>0.5893372130096286</v>
      </c>
    </row>
    <row r="121" spans="1:6" x14ac:dyDescent="0.25">
      <c r="A121" s="99" t="s">
        <v>244</v>
      </c>
      <c r="B121" s="49">
        <v>268798007</v>
      </c>
      <c r="C121" s="49">
        <v>53624700</v>
      </c>
      <c r="D121" s="49">
        <v>4635854</v>
      </c>
      <c r="E121" s="50">
        <f>VLOOKUP($A121,'Data shares'!$C:$FA,154)*100</f>
        <v>20.22</v>
      </c>
      <c r="F121" s="173">
        <f>C121/B121</f>
        <v>0.19949813095154384</v>
      </c>
    </row>
    <row r="122" spans="1:6" x14ac:dyDescent="0.25">
      <c r="A122" s="99" t="s">
        <v>245</v>
      </c>
      <c r="B122" s="49">
        <v>76179695</v>
      </c>
      <c r="C122" s="49">
        <v>33632500</v>
      </c>
      <c r="D122" s="49">
        <v>82549306</v>
      </c>
      <c r="E122" s="50">
        <f>VLOOKUP($A122,'Data shares'!$C:$FA,154)*100</f>
        <v>44.800000000000004</v>
      </c>
      <c r="F122" s="173">
        <f>C122/B122</f>
        <v>0.441489034578046</v>
      </c>
    </row>
    <row r="123" spans="1:6" x14ac:dyDescent="0.25">
      <c r="A123" s="99" t="s">
        <v>583</v>
      </c>
      <c r="B123" s="49">
        <v>76642895</v>
      </c>
      <c r="C123" s="49">
        <v>31452400</v>
      </c>
      <c r="D123" s="49">
        <v>7103466</v>
      </c>
      <c r="E123" s="50">
        <f>VLOOKUP($A123,'Data shares'!$C:$FA,154)*100</f>
        <v>41.78</v>
      </c>
      <c r="F123" s="173">
        <f>C123/B123</f>
        <v>0.41037593895689872</v>
      </c>
    </row>
    <row r="124" spans="1:6" x14ac:dyDescent="0.25">
      <c r="A124" s="99" t="s">
        <v>678</v>
      </c>
      <c r="B124" s="49">
        <v>5409447</v>
      </c>
      <c r="C124" s="49">
        <v>1413500</v>
      </c>
      <c r="D124" s="49">
        <v>34127443</v>
      </c>
      <c r="E124" s="50">
        <f>VLOOKUP($A124,'Data shares'!$C:$FA,154)*100</f>
        <v>27.169999999999998</v>
      </c>
      <c r="F124" s="173">
        <f>C124/B124</f>
        <v>0.26130212570711941</v>
      </c>
    </row>
    <row r="125" spans="1:6" x14ac:dyDescent="0.25">
      <c r="A125" s="99" t="s">
        <v>611</v>
      </c>
      <c r="B125" s="49">
        <v>12418320</v>
      </c>
      <c r="C125" s="49">
        <v>2451575</v>
      </c>
      <c r="D125" s="49">
        <v>377489837</v>
      </c>
      <c r="E125" s="50">
        <f>VLOOKUP($A125,'Data shares'!$C:$FA,154)*100</f>
        <v>20.21</v>
      </c>
      <c r="F125" s="173">
        <f>C125/B125</f>
        <v>0.19741599507823926</v>
      </c>
    </row>
    <row r="126" spans="1:6" x14ac:dyDescent="0.25">
      <c r="A126" s="99" t="s">
        <v>685</v>
      </c>
      <c r="B126" s="49">
        <v>23088182</v>
      </c>
      <c r="C126" s="49">
        <v>2181150</v>
      </c>
      <c r="D126" s="49">
        <v>134223951</v>
      </c>
      <c r="E126" s="50">
        <f>VLOOKUP($A126,'Data shares'!$C:$FA,154)*100</f>
        <v>9.68</v>
      </c>
      <c r="F126" s="173">
        <f>C126/B126</f>
        <v>9.447040914698264E-2</v>
      </c>
    </row>
    <row r="127" spans="1:6" x14ac:dyDescent="0.25">
      <c r="A127" s="99" t="s">
        <v>246</v>
      </c>
      <c r="B127" s="49">
        <v>294716519</v>
      </c>
      <c r="C127" s="49">
        <v>47699200</v>
      </c>
      <c r="D127" s="49">
        <v>4117856</v>
      </c>
      <c r="E127" s="50">
        <f>VLOOKUP($A127,'Data shares'!$C:$FA,154)*100</f>
        <v>16.54</v>
      </c>
      <c r="F127" s="173">
        <f>C127/B127</f>
        <v>0.16184773137877623</v>
      </c>
    </row>
    <row r="128" spans="1:6" x14ac:dyDescent="0.25">
      <c r="A128" s="99" t="s">
        <v>578</v>
      </c>
      <c r="B128" s="49">
        <v>32698512</v>
      </c>
      <c r="C128" s="49">
        <v>10502000</v>
      </c>
      <c r="D128" s="49">
        <v>490856328</v>
      </c>
      <c r="E128" s="50">
        <f>VLOOKUP($A128,'Data shares'!$C:$FA,154)*100</f>
        <v>32.6</v>
      </c>
      <c r="F128" s="173">
        <f>C128/B128</f>
        <v>0.32117669452359177</v>
      </c>
    </row>
    <row r="129" spans="1:6" x14ac:dyDescent="0.25">
      <c r="A129" s="99" t="s">
        <v>535</v>
      </c>
      <c r="B129" s="49">
        <v>78058155</v>
      </c>
      <c r="C129" s="49">
        <v>55268700</v>
      </c>
      <c r="D129" s="49">
        <v>46289343</v>
      </c>
      <c r="E129" s="50">
        <f>VLOOKUP($A129,'Data shares'!$C:$FA,154)*100</f>
        <v>73.61999999999999</v>
      </c>
      <c r="F129" s="173">
        <f>C129/B129</f>
        <v>0.70804517478026474</v>
      </c>
    </row>
    <row r="130" spans="1:6" x14ac:dyDescent="0.25">
      <c r="A130" s="99" t="s">
        <v>248</v>
      </c>
      <c r="B130" s="49">
        <v>60244101</v>
      </c>
      <c r="C130" s="49">
        <v>43429000</v>
      </c>
      <c r="D130" s="49">
        <v>176137414</v>
      </c>
      <c r="E130" s="50">
        <f>VLOOKUP($A130,'Data shares'!$C:$FA,154)*100</f>
        <v>72.72</v>
      </c>
      <c r="F130" s="173">
        <f>C130/B130</f>
        <v>0.72088385881963779</v>
      </c>
    </row>
    <row r="131" spans="1:6" x14ac:dyDescent="0.25">
      <c r="A131" s="99" t="s">
        <v>608</v>
      </c>
      <c r="B131" s="49">
        <v>44274984</v>
      </c>
      <c r="C131" s="49">
        <v>15914500</v>
      </c>
      <c r="D131" s="49">
        <v>10191364</v>
      </c>
      <c r="E131" s="50">
        <f>VLOOKUP($A131,'Data shares'!$C:$FA,154)*100</f>
        <v>36.94</v>
      </c>
      <c r="F131" s="173">
        <f>C131/B131</f>
        <v>0.35944677021227156</v>
      </c>
    </row>
    <row r="132" spans="1:6" x14ac:dyDescent="0.25">
      <c r="A132" s="99" t="s">
        <v>589</v>
      </c>
      <c r="B132" s="49">
        <v>55985194</v>
      </c>
      <c r="C132" s="49">
        <v>7867350</v>
      </c>
      <c r="D132" s="49">
        <v>10955755</v>
      </c>
      <c r="E132" s="50">
        <f>VLOOKUP($A132,'Data shares'!$C:$FA,154)*100</f>
        <v>14.330000000000002</v>
      </c>
      <c r="F132" s="173">
        <f>C132/B132</f>
        <v>0.14052554680796497</v>
      </c>
    </row>
    <row r="133" spans="1:6" x14ac:dyDescent="0.25">
      <c r="A133" s="99" t="s">
        <v>249</v>
      </c>
      <c r="B133" s="49">
        <v>271909552</v>
      </c>
      <c r="C133" s="49">
        <v>30269050</v>
      </c>
      <c r="D133" s="49">
        <v>426795060</v>
      </c>
      <c r="E133" s="50">
        <f>VLOOKUP($A133,'Data shares'!$C:$FA,154)*100</f>
        <v>11.28</v>
      </c>
      <c r="F133" s="173">
        <f>C133/B133</f>
        <v>0.11132028932915163</v>
      </c>
    </row>
    <row r="134" spans="1:6" x14ac:dyDescent="0.25">
      <c r="A134" s="99" t="s">
        <v>565</v>
      </c>
      <c r="B134" s="49">
        <v>168467595</v>
      </c>
      <c r="C134" s="49">
        <v>125551756</v>
      </c>
      <c r="D134" s="49">
        <v>28684205</v>
      </c>
      <c r="E134" s="50">
        <f>VLOOKUP($A134,'Data shares'!$C:$FA,154)*100</f>
        <v>78.36</v>
      </c>
      <c r="F134" s="173">
        <f>C134/B134</f>
        <v>0.74525760280485986</v>
      </c>
    </row>
    <row r="135" spans="1:6" x14ac:dyDescent="0.25">
      <c r="A135" s="99" t="s">
        <v>561</v>
      </c>
      <c r="B135" s="49">
        <v>18620728</v>
      </c>
      <c r="C135" s="49">
        <v>4529850</v>
      </c>
      <c r="D135" s="49">
        <v>4807517</v>
      </c>
      <c r="E135" s="50">
        <f>VLOOKUP($A135,'Data shares'!$C:$FA,154)*100</f>
        <v>25.7</v>
      </c>
      <c r="F135" s="173">
        <f>C135/B135</f>
        <v>0.24326922126782582</v>
      </c>
    </row>
    <row r="136" spans="1:6" x14ac:dyDescent="0.25">
      <c r="A136" s="99" t="s">
        <v>250</v>
      </c>
      <c r="B136" s="49">
        <v>48471506</v>
      </c>
      <c r="C136" s="49">
        <v>18428425</v>
      </c>
      <c r="D136" s="49">
        <v>39619632</v>
      </c>
      <c r="E136" s="50">
        <f>VLOOKUP($A136,'Data shares'!$C:$FA,154)*100</f>
        <v>38.56</v>
      </c>
      <c r="F136" s="173">
        <f>C136/B136</f>
        <v>0.38019088988074767</v>
      </c>
    </row>
    <row r="137" spans="1:6" x14ac:dyDescent="0.25">
      <c r="A137" s="99" t="s">
        <v>251</v>
      </c>
      <c r="B137" s="49">
        <v>190580808</v>
      </c>
      <c r="C137" s="49">
        <v>32892200</v>
      </c>
      <c r="D137" s="49">
        <v>46746817</v>
      </c>
      <c r="E137" s="50">
        <f>VLOOKUP($A137,'Data shares'!$C:$FA,154)*100</f>
        <v>17.440000000000001</v>
      </c>
      <c r="F137" s="173">
        <f>C137/B137</f>
        <v>0.17258925673145431</v>
      </c>
    </row>
    <row r="138" spans="1:6" x14ac:dyDescent="0.25">
      <c r="A138" s="99" t="s">
        <v>252</v>
      </c>
      <c r="B138" s="49">
        <v>131950203</v>
      </c>
      <c r="C138" s="49">
        <v>39088672</v>
      </c>
      <c r="D138" s="49">
        <v>7740063</v>
      </c>
      <c r="E138" s="50">
        <f>VLOOKUP($A138,'Data shares'!$C:$FA,154)*100</f>
        <v>30.2</v>
      </c>
      <c r="F138" s="173">
        <f>C138/B138</f>
        <v>0.29623805883799964</v>
      </c>
    </row>
    <row r="139" spans="1:6" x14ac:dyDescent="0.25">
      <c r="A139" s="99" t="s">
        <v>253</v>
      </c>
      <c r="B139" s="49">
        <v>109606743</v>
      </c>
      <c r="C139" s="49">
        <v>46761000</v>
      </c>
      <c r="D139" s="49">
        <v>98102954</v>
      </c>
      <c r="E139" s="50">
        <f>VLOOKUP($A139,'Data shares'!$C:$FA,154)*100</f>
        <v>45.65</v>
      </c>
      <c r="F139" s="173">
        <f>C139/B139</f>
        <v>0.4266252122827881</v>
      </c>
    </row>
    <row r="140" spans="1:6" x14ac:dyDescent="0.25">
      <c r="A140" s="99" t="s">
        <v>674</v>
      </c>
      <c r="B140" s="49">
        <v>22523583</v>
      </c>
      <c r="C140" s="49">
        <v>2819700</v>
      </c>
      <c r="D140" s="49">
        <v>19227590</v>
      </c>
      <c r="E140" s="50">
        <f>VLOOKUP($A140,'Data shares'!$C:$FA,154)*100</f>
        <v>12.76</v>
      </c>
      <c r="F140" s="173">
        <f>C140/B140</f>
        <v>0.12518878546099882</v>
      </c>
    </row>
    <row r="141" spans="1:6" x14ac:dyDescent="0.25">
      <c r="A141" s="99" t="s">
        <v>254</v>
      </c>
      <c r="B141" s="49">
        <v>105777701</v>
      </c>
      <c r="C141" s="49">
        <v>30952800</v>
      </c>
      <c r="D141" s="49">
        <v>57128344</v>
      </c>
      <c r="E141" s="50">
        <f>VLOOKUP($A141,'Data shares'!$C:$FA,154)*100</f>
        <v>30.09</v>
      </c>
      <c r="F141" s="173">
        <f>C141/B141</f>
        <v>0.29262122079964659</v>
      </c>
    </row>
    <row r="142" spans="1:6" x14ac:dyDescent="0.25">
      <c r="A142" s="99" t="s">
        <v>255</v>
      </c>
      <c r="B142" s="49">
        <v>26231219</v>
      </c>
      <c r="C142" s="49">
        <v>7025150</v>
      </c>
      <c r="D142" s="49">
        <v>11882576</v>
      </c>
      <c r="E142" s="50">
        <f>VLOOKUP($A142,'Data shares'!$C:$FA,154)*100</f>
        <v>27.58</v>
      </c>
      <c r="F142" s="173">
        <f>C142/B142</f>
        <v>0.26781637559428711</v>
      </c>
    </row>
    <row r="143" spans="1:6" x14ac:dyDescent="0.25">
      <c r="A143" s="99" t="s">
        <v>604</v>
      </c>
      <c r="B143" s="49">
        <v>148272870</v>
      </c>
      <c r="C143" s="49">
        <v>16111725</v>
      </c>
      <c r="D143" s="49">
        <v>821765350</v>
      </c>
      <c r="E143" s="50">
        <f>VLOOKUP($A143,'Data shares'!$C:$FA,154)*100</f>
        <v>11.05</v>
      </c>
      <c r="F143" s="173">
        <f>C143/B143</f>
        <v>0.10866266364170329</v>
      </c>
    </row>
    <row r="144" spans="1:6" x14ac:dyDescent="0.25">
      <c r="A144" s="99" t="s">
        <v>675</v>
      </c>
      <c r="B144" s="49">
        <v>12239606</v>
      </c>
      <c r="C144" s="49">
        <v>7716450</v>
      </c>
      <c r="D144" s="49">
        <v>121881582</v>
      </c>
      <c r="E144" s="50">
        <f>VLOOKUP($A144,'Data shares'!$C:$FA,154)*100</f>
        <v>64.64</v>
      </c>
      <c r="F144" s="173">
        <f>C144/B144</f>
        <v>0.63044921544043164</v>
      </c>
    </row>
    <row r="145" spans="1:6" x14ac:dyDescent="0.25">
      <c r="A145" s="99" t="s">
        <v>517</v>
      </c>
      <c r="B145" s="49">
        <v>10180563</v>
      </c>
      <c r="C145" s="49">
        <v>7770750</v>
      </c>
      <c r="D145" s="49">
        <v>96841516</v>
      </c>
      <c r="E145" s="50">
        <f>VLOOKUP($A145,'Data shares'!$C:$FA,154)*100</f>
        <v>79.86</v>
      </c>
      <c r="F145" s="173">
        <f>C145/B145</f>
        <v>0.76329275699192667</v>
      </c>
    </row>
    <row r="146" spans="1:6" x14ac:dyDescent="0.25">
      <c r="A146" s="99" t="s">
        <v>257</v>
      </c>
      <c r="B146" s="49">
        <v>67819703</v>
      </c>
      <c r="C146" s="49">
        <v>9014400</v>
      </c>
      <c r="D146" s="49">
        <v>187581158</v>
      </c>
      <c r="E146" s="50">
        <f>VLOOKUP($A146,'Data shares'!$C:$FA,154)*100</f>
        <v>13.5</v>
      </c>
      <c r="F146" s="173">
        <f>C146/B146</f>
        <v>0.13291712586827459</v>
      </c>
    </row>
    <row r="147" spans="1:6" x14ac:dyDescent="0.25">
      <c r="A147" s="99" t="s">
        <v>258</v>
      </c>
      <c r="B147" s="49">
        <v>13335005</v>
      </c>
      <c r="C147" s="49">
        <v>6877200</v>
      </c>
      <c r="D147" s="49">
        <v>76557668</v>
      </c>
      <c r="E147" s="50">
        <f>VLOOKUP($A147,'Data shares'!$C:$FA,154)*100</f>
        <v>53.74</v>
      </c>
      <c r="F147" s="173">
        <f>C147/B147</f>
        <v>0.51572534093538025</v>
      </c>
    </row>
    <row r="148" spans="1:6" x14ac:dyDescent="0.25">
      <c r="A148" s="99" t="s">
        <v>559</v>
      </c>
      <c r="B148" s="49">
        <v>883911758</v>
      </c>
      <c r="C148" s="49">
        <v>217414800</v>
      </c>
      <c r="D148" s="49">
        <v>43716212</v>
      </c>
      <c r="E148" s="50">
        <f>VLOOKUP($A148,'Data shares'!$C:$FA,154)*100</f>
        <v>24.9</v>
      </c>
      <c r="F148" s="173">
        <f>C148/B148</f>
        <v>0.24596889681831793</v>
      </c>
    </row>
    <row r="149" spans="1:6" x14ac:dyDescent="0.25">
      <c r="A149" s="99" t="s">
        <v>487</v>
      </c>
      <c r="B149" s="49">
        <v>22754935</v>
      </c>
      <c r="C149" s="49">
        <v>6382475</v>
      </c>
      <c r="D149" s="49">
        <v>33661056</v>
      </c>
      <c r="E149" s="50">
        <f>VLOOKUP($A149,'Data shares'!$C:$FA,154)*100</f>
        <v>28.38</v>
      </c>
      <c r="F149" s="173">
        <f>C149/B149</f>
        <v>0.28048750743520035</v>
      </c>
    </row>
    <row r="150" spans="1:6" x14ac:dyDescent="0.25">
      <c r="A150" s="99" t="s">
        <v>262</v>
      </c>
      <c r="B150" s="49">
        <v>21400003</v>
      </c>
      <c r="C150" s="49">
        <v>8606400</v>
      </c>
      <c r="D150" s="49">
        <v>17349941</v>
      </c>
      <c r="E150" s="50">
        <f>VLOOKUP($A150,'Data shares'!$C:$FA,154)*100</f>
        <v>40.660000000000004</v>
      </c>
      <c r="F150" s="173">
        <f>C150/B150</f>
        <v>0.40216816792035032</v>
      </c>
    </row>
    <row r="151" spans="1:6" x14ac:dyDescent="0.25">
      <c r="A151" s="99" t="s">
        <v>263</v>
      </c>
      <c r="B151" s="49">
        <v>178967755</v>
      </c>
      <c r="C151" s="49">
        <v>113441250</v>
      </c>
      <c r="D151" s="49">
        <v>221361531</v>
      </c>
      <c r="E151" s="50">
        <f>VLOOKUP($A151,'Data shares'!$C:$FA,154)*100</f>
        <v>64.53</v>
      </c>
      <c r="F151" s="173">
        <f>C151/B151</f>
        <v>0.63386418408165202</v>
      </c>
    </row>
    <row r="152" spans="1:6" x14ac:dyDescent="0.25">
      <c r="A152" s="99" t="s">
        <v>264</v>
      </c>
      <c r="B152" s="49">
        <v>80673469</v>
      </c>
      <c r="C152" s="49">
        <v>16416000</v>
      </c>
      <c r="D152" s="49">
        <v>13216041</v>
      </c>
      <c r="E152" s="50">
        <f>VLOOKUP($A152,'Data shares'!$C:$FA,154)*100</f>
        <v>20.599999999999998</v>
      </c>
      <c r="F152" s="173">
        <f>C152/B152</f>
        <v>0.20348697289811599</v>
      </c>
    </row>
    <row r="153" spans="1:6" x14ac:dyDescent="0.25">
      <c r="A153" s="99" t="s">
        <v>550</v>
      </c>
      <c r="B153" s="49">
        <v>206526272</v>
      </c>
      <c r="C153" s="49">
        <v>103064000</v>
      </c>
      <c r="D153" s="49">
        <v>12353841</v>
      </c>
      <c r="E153" s="50">
        <f>VLOOKUP($A153,'Data shares'!$C:$FA,154)*100</f>
        <v>50.71</v>
      </c>
      <c r="F153" s="173">
        <f>C153/B153</f>
        <v>0.49903578368954438</v>
      </c>
    </row>
    <row r="154" spans="1:6" x14ac:dyDescent="0.25">
      <c r="A154" s="99" t="s">
        <v>592</v>
      </c>
      <c r="B154" s="49">
        <v>97811871</v>
      </c>
      <c r="C154" s="49">
        <v>31911300</v>
      </c>
      <c r="D154" s="49">
        <v>16926327</v>
      </c>
      <c r="E154" s="50">
        <f>VLOOKUP($A154,'Data shares'!$C:$FA,154)*100</f>
        <v>33.08</v>
      </c>
      <c r="F154" s="173">
        <f>C154/B154</f>
        <v>0.32625181047809626</v>
      </c>
    </row>
    <row r="155" spans="1:6" x14ac:dyDescent="0.25">
      <c r="A155" s="99" t="s">
        <v>265</v>
      </c>
      <c r="B155" s="49">
        <v>71801274</v>
      </c>
      <c r="C155" s="49">
        <v>14196000</v>
      </c>
      <c r="D155" s="49">
        <v>20228208</v>
      </c>
      <c r="E155" s="50">
        <f>VLOOKUP($A155,'Data shares'!$C:$FA,154)*100</f>
        <v>20.080000000000002</v>
      </c>
      <c r="F155" s="173">
        <f>C155/B155</f>
        <v>0.19771236928191552</v>
      </c>
    </row>
    <row r="156" spans="1:6" x14ac:dyDescent="0.25">
      <c r="A156" s="99" t="s">
        <v>586</v>
      </c>
      <c r="B156" s="49">
        <v>654977669</v>
      </c>
      <c r="C156" s="49">
        <v>104358400</v>
      </c>
      <c r="D156" s="49">
        <v>39332532</v>
      </c>
      <c r="E156" s="50">
        <f>VLOOKUP($A156,'Data shares'!$C:$FA,154)*100</f>
        <v>16.079999999999998</v>
      </c>
      <c r="F156" s="173">
        <f>C156/B156</f>
        <v>0.15933123362714219</v>
      </c>
    </row>
    <row r="157" spans="1:6" x14ac:dyDescent="0.25">
      <c r="A157" s="99" t="s">
        <v>267</v>
      </c>
      <c r="B157" s="49">
        <v>689383367</v>
      </c>
      <c r="C157" s="49">
        <v>501093000</v>
      </c>
      <c r="D157" s="49">
        <v>175490873</v>
      </c>
      <c r="E157" s="50">
        <f>VLOOKUP($A157,'Data shares'!$C:$FA,154)*100</f>
        <v>74.61</v>
      </c>
      <c r="F157" s="173">
        <f>C157/B157</f>
        <v>0.72687132296303281</v>
      </c>
    </row>
    <row r="158" spans="1:6" x14ac:dyDescent="0.25">
      <c r="A158" s="99" t="s">
        <v>268</v>
      </c>
      <c r="B158" s="49">
        <v>948263976</v>
      </c>
      <c r="C158" s="49">
        <v>220093500</v>
      </c>
      <c r="D158" s="49">
        <v>180967340</v>
      </c>
      <c r="E158" s="50">
        <f>VLOOKUP($A158,'Data shares'!$C:$FA,154)*100</f>
        <v>23.549999999999997</v>
      </c>
      <c r="F158" s="173">
        <f>C158/B158</f>
        <v>0.23210150925315759</v>
      </c>
    </row>
    <row r="159" spans="1:6" x14ac:dyDescent="0.25">
      <c r="A159" s="99" t="s">
        <v>614</v>
      </c>
      <c r="B159" s="49">
        <v>273572068</v>
      </c>
      <c r="C159" s="49">
        <v>83525000</v>
      </c>
      <c r="D159" s="49"/>
      <c r="E159" s="50"/>
      <c r="F159" s="173"/>
    </row>
    <row r="160" spans="1:6" x14ac:dyDescent="0.25">
      <c r="A160" s="99" t="s">
        <v>528</v>
      </c>
      <c r="B160" s="49">
        <v>23485458</v>
      </c>
      <c r="C160" s="49">
        <v>8928500</v>
      </c>
      <c r="D160" s="49">
        <v>60375008</v>
      </c>
      <c r="E160" s="50">
        <f>VLOOKUP($A160,'Data shares'!$C:$FA,154)*100</f>
        <v>39.06</v>
      </c>
      <c r="F160" s="173">
        <f>C160/B160</f>
        <v>0.38017142352514477</v>
      </c>
    </row>
    <row r="161" spans="1:6" x14ac:dyDescent="0.25">
      <c r="A161" s="99" t="s">
        <v>518</v>
      </c>
      <c r="B161" s="49">
        <v>4762380</v>
      </c>
      <c r="C161" s="49">
        <v>2172975</v>
      </c>
      <c r="D161" s="49">
        <v>45204464</v>
      </c>
      <c r="E161" s="50">
        <f>VLOOKUP($A161,'Data shares'!$C:$FA,154)*100</f>
        <v>46.300000000000004</v>
      </c>
      <c r="F161" s="173">
        <f>C161/B161</f>
        <v>0.45627921333450921</v>
      </c>
    </row>
    <row r="162" spans="1:6" x14ac:dyDescent="0.25">
      <c r="A162" s="99" t="s">
        <v>588</v>
      </c>
      <c r="B162" s="49">
        <v>141008560</v>
      </c>
      <c r="C162" s="49">
        <v>27697600</v>
      </c>
      <c r="D162" s="49">
        <v>17723360</v>
      </c>
      <c r="E162" s="50">
        <f>VLOOKUP($A162,'Data shares'!$C:$FA,154)*100</f>
        <v>19.88</v>
      </c>
      <c r="F162" s="173">
        <f>C162/B162</f>
        <v>0.19642495462686804</v>
      </c>
    </row>
    <row r="163" spans="1:6" x14ac:dyDescent="0.25">
      <c r="A163" s="99" t="s">
        <v>269</v>
      </c>
      <c r="B163" s="49">
        <v>1034282422</v>
      </c>
      <c r="C163" s="49">
        <v>198245250</v>
      </c>
      <c r="D163" s="49">
        <v>53015426</v>
      </c>
      <c r="E163" s="50">
        <f>VLOOKUP($A163,'Data shares'!$C:$FA,154)*100</f>
        <v>19.45</v>
      </c>
      <c r="F163" s="173">
        <f>C163/B163</f>
        <v>0.19167419438169664</v>
      </c>
    </row>
    <row r="164" spans="1:6" x14ac:dyDescent="0.25">
      <c r="A164" s="99" t="s">
        <v>270</v>
      </c>
      <c r="B164" s="49">
        <v>1274066</v>
      </c>
      <c r="C164" s="49">
        <v>386385</v>
      </c>
      <c r="D164" s="49">
        <v>60388500</v>
      </c>
      <c r="E164" s="50">
        <f>VLOOKUP($A164,'Data shares'!$C:$FA,154)*100</f>
        <v>31.75</v>
      </c>
      <c r="F164" s="173">
        <f>C164/B164</f>
        <v>0.30326921839213983</v>
      </c>
    </row>
    <row r="165" spans="1:6" x14ac:dyDescent="0.25">
      <c r="A165" s="99" t="s">
        <v>667</v>
      </c>
      <c r="B165" s="49">
        <v>22129978</v>
      </c>
      <c r="C165" s="49">
        <v>16932600</v>
      </c>
      <c r="D165" s="49">
        <v>2378524</v>
      </c>
      <c r="E165" s="50">
        <f>VLOOKUP($A165,'Data shares'!$C:$FA,154)*100</f>
        <v>78.900000000000006</v>
      </c>
      <c r="F165" s="173">
        <f>C165/B165</f>
        <v>0.765143101362324</v>
      </c>
    </row>
    <row r="166" spans="1:6" x14ac:dyDescent="0.25">
      <c r="A166" s="99" t="s">
        <v>576</v>
      </c>
      <c r="B166" s="49">
        <v>127569096</v>
      </c>
      <c r="C166" s="49">
        <v>45502450</v>
      </c>
      <c r="D166" s="49">
        <v>129531202</v>
      </c>
      <c r="E166" s="50">
        <f>VLOOKUP($A166,'Data shares'!$C:$FA,154)*100</f>
        <v>36.919999999999995</v>
      </c>
      <c r="F166" s="173">
        <f>C166/B166</f>
        <v>0.35668866070823296</v>
      </c>
    </row>
    <row r="167" spans="1:6" x14ac:dyDescent="0.25">
      <c r="A167" s="99" t="s">
        <v>271</v>
      </c>
      <c r="B167" s="49">
        <v>24011656</v>
      </c>
      <c r="C167" s="49">
        <v>12436500</v>
      </c>
      <c r="D167" s="49">
        <v>239198598</v>
      </c>
      <c r="E167" s="50">
        <f>VLOOKUP($A167,'Data shares'!$C:$FA,154)*100</f>
        <v>53.21</v>
      </c>
      <c r="F167" s="173">
        <f>C167/B167</f>
        <v>0.51793595577081397</v>
      </c>
    </row>
    <row r="168" spans="1:6" x14ac:dyDescent="0.25">
      <c r="A168" s="99" t="s">
        <v>529</v>
      </c>
      <c r="B168" s="49">
        <v>21354101</v>
      </c>
      <c r="C168" s="49">
        <v>4961900</v>
      </c>
      <c r="D168" s="49">
        <v>26663502</v>
      </c>
      <c r="E168" s="50">
        <f>VLOOKUP($A168,'Data shares'!$C:$FA,154)*100</f>
        <v>23.76</v>
      </c>
      <c r="F168" s="173">
        <f>C168/B168</f>
        <v>0.23236286088559757</v>
      </c>
    </row>
    <row r="169" spans="1:6" x14ac:dyDescent="0.25">
      <c r="A169" s="99" t="s">
        <v>272</v>
      </c>
      <c r="B169" s="49">
        <v>150000017</v>
      </c>
      <c r="C169" s="49">
        <v>61509600</v>
      </c>
      <c r="D169" s="49">
        <v>9934484</v>
      </c>
      <c r="E169" s="50">
        <f>VLOOKUP($A169,'Data shares'!$C:$FA,154)*100</f>
        <v>42.63</v>
      </c>
      <c r="F169" s="173">
        <f>C169/B169</f>
        <v>0.41006395352608527</v>
      </c>
    </row>
    <row r="170" spans="1:6" x14ac:dyDescent="0.25">
      <c r="A170" s="99" t="s">
        <v>273</v>
      </c>
      <c r="B170" s="49">
        <v>290447407</v>
      </c>
      <c r="C170" s="49">
        <v>94225300</v>
      </c>
      <c r="D170" s="49">
        <v>1538660604</v>
      </c>
      <c r="E170" s="50">
        <f>VLOOKUP($A170,'Data shares'!$C:$FA,154)*100</f>
        <v>33.269999999999996</v>
      </c>
      <c r="F170" s="173">
        <f>C170/B170</f>
        <v>0.32441432675623783</v>
      </c>
    </row>
    <row r="171" spans="1:6" x14ac:dyDescent="0.25">
      <c r="A171" s="99" t="s">
        <v>682</v>
      </c>
      <c r="B171" s="49">
        <v>28664814</v>
      </c>
      <c r="C171" s="49">
        <v>9089500</v>
      </c>
      <c r="D171" s="49">
        <v>102946867</v>
      </c>
      <c r="E171" s="50">
        <f>VLOOKUP($A171,'Data shares'!$C:$FA,154)*100</f>
        <v>32.07</v>
      </c>
      <c r="F171" s="173">
        <f>C171/B171</f>
        <v>0.31709607465096407</v>
      </c>
    </row>
    <row r="172" spans="1:6" x14ac:dyDescent="0.25">
      <c r="A172" s="99" t="s">
        <v>646</v>
      </c>
      <c r="B172" s="49">
        <v>37710874</v>
      </c>
      <c r="C172" s="49">
        <v>6560050</v>
      </c>
      <c r="D172" s="49">
        <v>8090292</v>
      </c>
      <c r="E172" s="50">
        <f>VLOOKUP($A172,'Data shares'!$C:$FA,154)*100</f>
        <v>17.560000000000002</v>
      </c>
      <c r="F172" s="173">
        <f>C172/B172</f>
        <v>0.1739564561669931</v>
      </c>
    </row>
    <row r="173" spans="1:6" x14ac:dyDescent="0.25">
      <c r="A173" s="99" t="s">
        <v>274</v>
      </c>
      <c r="B173" s="49">
        <v>31030515</v>
      </c>
      <c r="C173" s="49">
        <v>5108000</v>
      </c>
      <c r="D173" s="49">
        <v>82602951</v>
      </c>
      <c r="E173" s="50">
        <f>VLOOKUP($A173,'Data shares'!$C:$FA,154)*100</f>
        <v>16.59</v>
      </c>
      <c r="F173" s="173">
        <f>C173/B173</f>
        <v>0.16461215677535485</v>
      </c>
    </row>
    <row r="174" spans="1:6" x14ac:dyDescent="0.25">
      <c r="A174" s="99" t="s">
        <v>483</v>
      </c>
      <c r="B174" s="49">
        <v>16356551</v>
      </c>
      <c r="C174" s="49">
        <v>2329775</v>
      </c>
      <c r="D174" s="49">
        <v>22425580</v>
      </c>
      <c r="E174" s="50">
        <f>VLOOKUP($A174,'Data shares'!$C:$FA,154)*100</f>
        <v>14.330000000000002</v>
      </c>
      <c r="F174" s="173">
        <f>C174/B174</f>
        <v>0.14243681323770518</v>
      </c>
    </row>
    <row r="175" spans="1:6" x14ac:dyDescent="0.25">
      <c r="A175" s="99" t="s">
        <v>275</v>
      </c>
      <c r="B175" s="49">
        <v>687763516</v>
      </c>
      <c r="C175" s="49">
        <v>461200000</v>
      </c>
      <c r="D175" s="49">
        <v>49647125</v>
      </c>
      <c r="E175" s="50">
        <f>VLOOKUP($A175,'Data shares'!$C:$FA,154)*100</f>
        <v>68.42</v>
      </c>
      <c r="F175" s="173">
        <f>C175/B175</f>
        <v>0.67057933326024233</v>
      </c>
    </row>
    <row r="176" spans="1:6" x14ac:dyDescent="0.25">
      <c r="A176" s="99" t="s">
        <v>672</v>
      </c>
      <c r="B176" s="49">
        <v>37374767</v>
      </c>
      <c r="C176" s="49">
        <v>14879800</v>
      </c>
      <c r="D176" s="49">
        <v>764169911</v>
      </c>
      <c r="E176" s="50">
        <f>VLOOKUP($A176,'Data shares'!$C:$FA,154)*100</f>
        <v>40.630000000000003</v>
      </c>
      <c r="F176" s="173">
        <f>C176/B176</f>
        <v>0.39812422108210066</v>
      </c>
    </row>
    <row r="177" spans="1:6" x14ac:dyDescent="0.25">
      <c r="A177" s="99" t="s">
        <v>574</v>
      </c>
      <c r="B177" s="49">
        <v>91593795</v>
      </c>
      <c r="C177" s="49">
        <v>10576300</v>
      </c>
      <c r="D177" s="49">
        <v>160859667</v>
      </c>
      <c r="E177" s="50">
        <f>VLOOKUP($A177,'Data shares'!$C:$FA,154)*100</f>
        <v>11.66</v>
      </c>
      <c r="F177" s="173">
        <f>C177/B177</f>
        <v>0.11546961232472135</v>
      </c>
    </row>
    <row r="178" spans="1:6" x14ac:dyDescent="0.25">
      <c r="A178" s="99" t="s">
        <v>519</v>
      </c>
      <c r="B178" s="49">
        <v>11118199</v>
      </c>
      <c r="C178" s="49">
        <v>5289500</v>
      </c>
      <c r="D178" s="49">
        <v>429744638</v>
      </c>
      <c r="E178" s="50">
        <f>VLOOKUP($A178,'Data shares'!$C:$FA,154)*100</f>
        <v>49.15</v>
      </c>
      <c r="F178" s="173">
        <f>C178/B178</f>
        <v>0.47575151335211757</v>
      </c>
    </row>
    <row r="179" spans="1:6" x14ac:dyDescent="0.25">
      <c r="A179" s="99" t="s">
        <v>597</v>
      </c>
      <c r="B179" s="49">
        <v>57287573</v>
      </c>
      <c r="C179" s="49">
        <v>23283200</v>
      </c>
      <c r="D179" s="49">
        <v>151898196</v>
      </c>
      <c r="E179" s="50">
        <f>VLOOKUP($A179,'Data shares'!$C:$FA,154)*100</f>
        <v>41.63</v>
      </c>
      <c r="F179" s="173">
        <f>C179/B179</f>
        <v>0.40642671317215689</v>
      </c>
    </row>
    <row r="180" spans="1:6" x14ac:dyDescent="0.25">
      <c r="A180" s="99" t="s">
        <v>276</v>
      </c>
      <c r="B180" s="49">
        <v>905143907</v>
      </c>
      <c r="C180" s="49">
        <v>120570200</v>
      </c>
      <c r="D180" s="49">
        <v>4993493453</v>
      </c>
      <c r="E180" s="50">
        <f>VLOOKUP($A180,'Data shares'!$C:$FA,154)*100</f>
        <v>13.5</v>
      </c>
      <c r="F180" s="173">
        <f>C180/B180</f>
        <v>0.13320555888136801</v>
      </c>
    </row>
    <row r="181" spans="1:6" x14ac:dyDescent="0.25">
      <c r="A181" s="99" t="s">
        <v>680</v>
      </c>
      <c r="B181" s="49">
        <v>171573821</v>
      </c>
      <c r="C181" s="49">
        <v>28120000</v>
      </c>
      <c r="D181" s="49">
        <v>46712253</v>
      </c>
      <c r="E181" s="50">
        <f>VLOOKUP($A181,'Data shares'!$C:$FA,154)*100</f>
        <v>18.05</v>
      </c>
      <c r="F181" s="173">
        <f>C181/B181</f>
        <v>0.16389446732669083</v>
      </c>
    </row>
    <row r="182" spans="1:6" x14ac:dyDescent="0.25">
      <c r="A182" s="99" t="s">
        <v>606</v>
      </c>
      <c r="B182" s="49">
        <v>33646046</v>
      </c>
      <c r="C182" s="49">
        <v>8598600</v>
      </c>
      <c r="D182" s="49">
        <v>99932402</v>
      </c>
      <c r="E182" s="50">
        <f>VLOOKUP($A182,'Data shares'!$C:$FA,154)*100</f>
        <v>25.72</v>
      </c>
      <c r="F182" s="173">
        <f>C182/B182</f>
        <v>0.25556048993097136</v>
      </c>
    </row>
    <row r="183" spans="1:6" x14ac:dyDescent="0.25">
      <c r="A183" s="99" t="s">
        <v>279</v>
      </c>
      <c r="B183" s="49">
        <v>121575211</v>
      </c>
      <c r="C183" s="49">
        <v>109394625</v>
      </c>
      <c r="D183" s="49">
        <v>2256994</v>
      </c>
      <c r="E183" s="50">
        <f>VLOOKUP($A183,'Data shares'!$C:$FA,154)*100</f>
        <v>93.13</v>
      </c>
      <c r="F183" s="173">
        <f>C183/B183</f>
        <v>0.89981028287090536</v>
      </c>
    </row>
    <row r="184" spans="1:6" x14ac:dyDescent="0.25">
      <c r="A184" s="99" t="s">
        <v>280</v>
      </c>
      <c r="B184" s="49">
        <v>249446067</v>
      </c>
      <c r="C184" s="49">
        <v>132733875</v>
      </c>
      <c r="D184" s="49">
        <v>175657035</v>
      </c>
      <c r="E184" s="50">
        <f>VLOOKUP($A184,'Data shares'!$C:$FA,154)*100</f>
        <v>54.6</v>
      </c>
      <c r="F184" s="173">
        <f>C184/B184</f>
        <v>0.5321145231766673</v>
      </c>
    </row>
    <row r="185" spans="1:6" x14ac:dyDescent="0.25">
      <c r="A185" s="99" t="s">
        <v>281</v>
      </c>
      <c r="B185" s="49">
        <v>1323414074</v>
      </c>
      <c r="C185" s="49">
        <v>267198500</v>
      </c>
      <c r="D185" s="49"/>
      <c r="E185" s="50"/>
      <c r="F185" s="173"/>
    </row>
    <row r="186" spans="1:6" x14ac:dyDescent="0.25">
      <c r="A186" s="99" t="s">
        <v>677</v>
      </c>
      <c r="B186" s="49">
        <v>113255281</v>
      </c>
      <c r="C186" s="49">
        <v>31814750</v>
      </c>
      <c r="D186" s="49">
        <v>21291720</v>
      </c>
      <c r="E186" s="50">
        <f>VLOOKUP($A186,'Data shares'!$C:$FA,154)*100</f>
        <v>29.310000000000002</v>
      </c>
      <c r="F186" s="173">
        <f>C186/B186</f>
        <v>0.28091184551473586</v>
      </c>
    </row>
    <row r="187" spans="1:6" x14ac:dyDescent="0.25">
      <c r="A187" s="99" t="s">
        <v>282</v>
      </c>
      <c r="B187" s="49">
        <v>289148547</v>
      </c>
      <c r="C187" s="49">
        <v>197212000</v>
      </c>
      <c r="D187" s="49">
        <v>99902573</v>
      </c>
      <c r="E187" s="50">
        <f>VLOOKUP($A187,'Data shares'!$C:$FA,154)*100</f>
        <v>69.75</v>
      </c>
      <c r="F187" s="173">
        <f>C187/B187</f>
        <v>0.68204389074796212</v>
      </c>
    </row>
    <row r="188" spans="1:6" x14ac:dyDescent="0.25">
      <c r="A188" s="99" t="s">
        <v>536</v>
      </c>
      <c r="B188" s="49">
        <v>59744408</v>
      </c>
      <c r="C188" s="49">
        <v>31511200</v>
      </c>
      <c r="D188" s="49">
        <v>58988252</v>
      </c>
      <c r="E188" s="50">
        <f>VLOOKUP($A188,'Data shares'!$C:$FA,154)*100</f>
        <v>55.789999999999992</v>
      </c>
      <c r="F188" s="173">
        <f>C188/B188</f>
        <v>0.52743346289413395</v>
      </c>
    </row>
    <row r="189" spans="1:6" x14ac:dyDescent="0.25">
      <c r="A189" s="99" t="s">
        <v>462</v>
      </c>
      <c r="B189" s="49">
        <v>89427016</v>
      </c>
      <c r="C189" s="49">
        <v>14032875</v>
      </c>
      <c r="D189" s="49">
        <v>26839372</v>
      </c>
      <c r="E189" s="50">
        <f>VLOOKUP($A189,'Data shares'!$C:$FA,154)*100</f>
        <v>15.93</v>
      </c>
      <c r="F189" s="173">
        <f>C189/B189</f>
        <v>0.15691986189050522</v>
      </c>
    </row>
    <row r="190" spans="1:6" x14ac:dyDescent="0.25">
      <c r="A190" s="99" t="s">
        <v>283</v>
      </c>
      <c r="B190" s="49">
        <v>753011455</v>
      </c>
      <c r="C190" s="49">
        <v>235130250</v>
      </c>
      <c r="D190" s="49"/>
      <c r="E190" s="50"/>
      <c r="F190" s="173"/>
    </row>
    <row r="191" spans="1:6" x14ac:dyDescent="0.25">
      <c r="A191" s="99" t="s">
        <v>284</v>
      </c>
      <c r="B191" s="49">
        <v>2702310</v>
      </c>
      <c r="C191" s="49">
        <v>480000</v>
      </c>
      <c r="D191" s="49">
        <v>8272332</v>
      </c>
      <c r="E191" s="50">
        <f>VLOOKUP($A191,'Data shares'!$C:$FA,154)*100</f>
        <v>18.78</v>
      </c>
      <c r="F191" s="173">
        <f>C191/B191</f>
        <v>0.17762580903005207</v>
      </c>
    </row>
    <row r="192" spans="1:6" x14ac:dyDescent="0.25">
      <c r="A192" s="99" t="s">
        <v>562</v>
      </c>
      <c r="B192" s="49">
        <v>280560500</v>
      </c>
      <c r="C192" s="49">
        <v>58300275</v>
      </c>
      <c r="D192" s="49">
        <v>177676377</v>
      </c>
      <c r="E192" s="50">
        <f>VLOOKUP($A192,'Data shares'!$C:$FA,154)*100</f>
        <v>21</v>
      </c>
      <c r="F192" s="173">
        <f>C192/B192</f>
        <v>0.20779929819058635</v>
      </c>
    </row>
    <row r="193" spans="1:6" x14ac:dyDescent="0.25">
      <c r="A193" s="99" t="s">
        <v>285</v>
      </c>
      <c r="B193" s="49">
        <v>17806118</v>
      </c>
      <c r="C193" s="49">
        <v>5259875</v>
      </c>
      <c r="D193" s="49">
        <v>13628222</v>
      </c>
      <c r="E193" s="50">
        <f>VLOOKUP($A193,'Data shares'!$C:$FA,154)*100</f>
        <v>30.86</v>
      </c>
      <c r="F193" s="173">
        <f>C193/B193</f>
        <v>0.29539706521095727</v>
      </c>
    </row>
    <row r="194" spans="1:6" x14ac:dyDescent="0.25">
      <c r="A194" s="99" t="s">
        <v>600</v>
      </c>
      <c r="B194" s="49">
        <v>142687689</v>
      </c>
      <c r="C194" s="49">
        <v>56006375</v>
      </c>
      <c r="D194" s="49">
        <v>6443398</v>
      </c>
      <c r="E194" s="50">
        <f>VLOOKUP($A194,'Data shares'!$C:$FA,154)*100</f>
        <v>39.979999999999997</v>
      </c>
      <c r="F194" s="173">
        <f>C194/B194</f>
        <v>0.39251021158524757</v>
      </c>
    </row>
    <row r="195" spans="1:6" x14ac:dyDescent="0.25">
      <c r="A195" s="99" t="s">
        <v>647</v>
      </c>
      <c r="B195" s="49">
        <v>4859756</v>
      </c>
      <c r="C195" s="49">
        <v>2085450</v>
      </c>
      <c r="D195" s="49">
        <v>15357031</v>
      </c>
      <c r="E195" s="50">
        <f>VLOOKUP($A195,'Data shares'!$C:$FA,154)*100</f>
        <v>43.75</v>
      </c>
      <c r="F195" s="173">
        <f>C195/B195</f>
        <v>0.42912648289337985</v>
      </c>
    </row>
    <row r="196" spans="1:6" x14ac:dyDescent="0.25">
      <c r="A196" s="99" t="s">
        <v>615</v>
      </c>
      <c r="B196" s="49">
        <v>89501464</v>
      </c>
      <c r="C196" s="49">
        <v>36834000</v>
      </c>
      <c r="D196" s="49">
        <v>88846475</v>
      </c>
      <c r="E196" s="50">
        <f>VLOOKUP($A196,'Data shares'!$C:$FA,154)*100</f>
        <v>41.74</v>
      </c>
      <c r="F196" s="173">
        <f>C196/B196</f>
        <v>0.41154634073918611</v>
      </c>
    </row>
    <row r="197" spans="1:6" x14ac:dyDescent="0.25">
      <c r="A197" s="99" t="s">
        <v>286</v>
      </c>
      <c r="B197" s="49">
        <v>29488465</v>
      </c>
      <c r="C197" s="49">
        <v>6955600</v>
      </c>
      <c r="D197" s="49">
        <v>4589318</v>
      </c>
      <c r="E197" s="50">
        <f>VLOOKUP($A197,'Data shares'!$C:$FA,154)*100</f>
        <v>24.27</v>
      </c>
      <c r="F197" s="173">
        <f>C197/B197</f>
        <v>0.23587528208063729</v>
      </c>
    </row>
    <row r="198" spans="1:6" x14ac:dyDescent="0.25">
      <c r="A198" s="99" t="s">
        <v>288</v>
      </c>
      <c r="B198" s="49">
        <v>218440087</v>
      </c>
      <c r="C198" s="49">
        <v>32302550</v>
      </c>
      <c r="D198" s="49">
        <v>166985829</v>
      </c>
      <c r="E198" s="50">
        <f>VLOOKUP($A198,'Data shares'!$C:$FA,154)*100</f>
        <v>14.940000000000001</v>
      </c>
      <c r="F198" s="173">
        <f>C198/B198</f>
        <v>0.14787830587157749</v>
      </c>
    </row>
    <row r="199" spans="1:6" x14ac:dyDescent="0.25">
      <c r="A199" s="99" t="s">
        <v>575</v>
      </c>
      <c r="B199" s="49">
        <v>12994611</v>
      </c>
      <c r="C199" s="49">
        <v>2193100</v>
      </c>
      <c r="D199" s="49">
        <v>16624093</v>
      </c>
      <c r="E199" s="50">
        <f>VLOOKUP($A199,'Data shares'!$C:$FA,154)*100</f>
        <v>17.330000000000002</v>
      </c>
      <c r="F199" s="173">
        <f>C199/B199</f>
        <v>0.16876996164025226</v>
      </c>
    </row>
    <row r="200" spans="1:6" x14ac:dyDescent="0.25">
      <c r="A200" s="99" t="s">
        <v>520</v>
      </c>
      <c r="B200" s="49">
        <v>37816323</v>
      </c>
      <c r="C200" s="49">
        <v>16433000</v>
      </c>
      <c r="D200" s="49">
        <v>1113156961</v>
      </c>
      <c r="E200" s="50">
        <f>VLOOKUP($A200,'Data shares'!$C:$FA,154)*100</f>
        <v>44.01</v>
      </c>
      <c r="F200" s="173">
        <f>C200/B200</f>
        <v>0.43454780095886109</v>
      </c>
    </row>
    <row r="201" spans="1:6" x14ac:dyDescent="0.25">
      <c r="A201" s="99" t="s">
        <v>290</v>
      </c>
      <c r="B201" s="49">
        <v>31601465</v>
      </c>
      <c r="C201" s="49">
        <v>18922150</v>
      </c>
      <c r="D201" s="49">
        <v>42850347</v>
      </c>
      <c r="E201" s="50">
        <f>VLOOKUP($A201,'Data shares'!$C:$FA,154)*100</f>
        <v>60.83</v>
      </c>
      <c r="F201" s="173">
        <f>C201/B201</f>
        <v>0.59877445555134867</v>
      </c>
    </row>
    <row r="202" spans="1:6" x14ac:dyDescent="0.25">
      <c r="A202" s="99" t="s">
        <v>552</v>
      </c>
      <c r="B202" s="49">
        <v>23447901</v>
      </c>
      <c r="C202" s="49">
        <v>6182750</v>
      </c>
      <c r="D202" s="49">
        <v>78482453</v>
      </c>
      <c r="E202" s="50">
        <f>VLOOKUP($A202,'Data shares'!$C:$FA,154)*100</f>
        <v>28.599999999999998</v>
      </c>
      <c r="F202" s="173">
        <f>C202/B202</f>
        <v>0.26368031833638328</v>
      </c>
    </row>
    <row r="203" spans="1:6" x14ac:dyDescent="0.25">
      <c r="A203" s="99" t="s">
        <v>291</v>
      </c>
      <c r="B203" s="49">
        <v>130936945</v>
      </c>
      <c r="C203" s="49">
        <v>24251700</v>
      </c>
      <c r="D203" s="49">
        <v>35483650</v>
      </c>
      <c r="E203" s="50">
        <f>VLOOKUP($A203,'Data shares'!$C:$FA,154)*100</f>
        <v>18.91</v>
      </c>
      <c r="F203" s="173">
        <f>C203/B203</f>
        <v>0.18521663232634608</v>
      </c>
    </row>
    <row r="204" spans="1:6" x14ac:dyDescent="0.25">
      <c r="A204" s="99" t="s">
        <v>605</v>
      </c>
      <c r="B204" s="49">
        <v>6987041</v>
      </c>
      <c r="C204" s="49">
        <v>3769700</v>
      </c>
      <c r="D204" s="49">
        <v>25055541</v>
      </c>
      <c r="E204" s="50">
        <f>VLOOKUP($A204,'Data shares'!$C:$FA,154)*100</f>
        <v>55.769999999999996</v>
      </c>
      <c r="F204" s="173">
        <f>C204/B204</f>
        <v>0.53952739077958756</v>
      </c>
    </row>
    <row r="205" spans="1:6" x14ac:dyDescent="0.25">
      <c r="A205" s="99" t="s">
        <v>292</v>
      </c>
      <c r="B205" s="49">
        <v>422796029</v>
      </c>
      <c r="C205" s="49">
        <v>154620800</v>
      </c>
      <c r="D205" s="49">
        <v>17429667</v>
      </c>
      <c r="E205" s="50">
        <f>VLOOKUP($A205,'Data shares'!$C:$FA,154)*100</f>
        <v>37.630000000000003</v>
      </c>
      <c r="F205" s="173">
        <f>C205/B205</f>
        <v>0.36571015192765682</v>
      </c>
    </row>
    <row r="206" spans="1:6" x14ac:dyDescent="0.25">
      <c r="A206" s="99" t="s">
        <v>293</v>
      </c>
      <c r="B206" s="49">
        <v>339616396</v>
      </c>
      <c r="C206" s="49">
        <v>123238400</v>
      </c>
      <c r="D206" s="49">
        <v>35736341</v>
      </c>
      <c r="E206" s="50">
        <f>VLOOKUP($A206,'Data shares'!$C:$FA,154)*100</f>
        <v>36.94</v>
      </c>
      <c r="F206" s="173">
        <f>C206/B206</f>
        <v>0.36287529533762558</v>
      </c>
    </row>
    <row r="207" spans="1:6" x14ac:dyDescent="0.25">
      <c r="A207" s="99" t="s">
        <v>294</v>
      </c>
      <c r="B207" s="49">
        <v>1667987352</v>
      </c>
      <c r="C207" s="49">
        <v>421399000</v>
      </c>
      <c r="D207" s="49">
        <v>78787202</v>
      </c>
      <c r="E207" s="50">
        <f>VLOOKUP($A207,'Data shares'!$C:$FA,154)*100</f>
        <v>25.75</v>
      </c>
      <c r="F207" s="173">
        <f>C207/B207</f>
        <v>0.25263920586371447</v>
      </c>
    </row>
    <row r="208" spans="1:6" x14ac:dyDescent="0.25">
      <c r="A208" s="99" t="s">
        <v>665</v>
      </c>
      <c r="B208" s="49">
        <v>36328758</v>
      </c>
      <c r="C208" s="49">
        <v>22448800</v>
      </c>
      <c r="D208" s="49">
        <v>15387818</v>
      </c>
      <c r="E208" s="50">
        <f>VLOOKUP($A208,'Data shares'!$C:$FA,154)*100</f>
        <v>62.970000000000006</v>
      </c>
      <c r="F208" s="173">
        <f>C208/B208</f>
        <v>0.61793469515252908</v>
      </c>
    </row>
    <row r="209" spans="1:6" x14ac:dyDescent="0.25">
      <c r="A209" s="99" t="s">
        <v>295</v>
      </c>
      <c r="B209" s="49">
        <v>204305778</v>
      </c>
      <c r="C209" s="49">
        <v>68973100</v>
      </c>
      <c r="D209" s="49">
        <v>72477386</v>
      </c>
      <c r="E209" s="50">
        <f>VLOOKUP($A209,'Data shares'!$C:$FA,154)*100</f>
        <v>35.049999999999997</v>
      </c>
      <c r="F209" s="173">
        <f>C209/B209</f>
        <v>0.33759740265397681</v>
      </c>
    </row>
    <row r="210" spans="1:6" x14ac:dyDescent="0.25">
      <c r="A210" s="99" t="s">
        <v>296</v>
      </c>
      <c r="B210" s="49">
        <v>127258876</v>
      </c>
      <c r="C210" s="49">
        <v>37491600</v>
      </c>
      <c r="D210" s="49">
        <v>1004241</v>
      </c>
      <c r="E210" s="50">
        <f>VLOOKUP($A210,'Data shares'!$C:$FA,154)*100</f>
        <v>30.36</v>
      </c>
      <c r="F210" s="173">
        <f>C210/B210</f>
        <v>0.29460891985247456</v>
      </c>
    </row>
    <row r="211" spans="1:6" x14ac:dyDescent="0.25">
      <c r="A211" s="99" t="s">
        <v>596</v>
      </c>
      <c r="B211" s="49">
        <v>21630854</v>
      </c>
      <c r="C211" s="49">
        <v>2952200</v>
      </c>
      <c r="D211" s="49">
        <v>16976104</v>
      </c>
      <c r="E211" s="50">
        <f>VLOOKUP($A211,'Data shares'!$C:$FA,154)*100</f>
        <v>13.719999999999999</v>
      </c>
      <c r="F211" s="173">
        <f>C211/B211</f>
        <v>0.13648097296574607</v>
      </c>
    </row>
    <row r="212" spans="1:6" x14ac:dyDescent="0.25">
      <c r="A212" s="99" t="s">
        <v>664</v>
      </c>
      <c r="B212" s="49">
        <v>16037381</v>
      </c>
      <c r="C212" s="49">
        <v>12725200</v>
      </c>
      <c r="D212" s="49">
        <v>5160732</v>
      </c>
      <c r="E212" s="50">
        <f>VLOOKUP($A212,'Data shares'!$C:$FA,154)*100</f>
        <v>82.17</v>
      </c>
      <c r="F212" s="173">
        <f>C212/B212</f>
        <v>0.79347120330931842</v>
      </c>
    </row>
    <row r="213" spans="1:6" x14ac:dyDescent="0.25">
      <c r="A213" s="99" t="s">
        <v>297</v>
      </c>
      <c r="B213" s="49">
        <v>83488668</v>
      </c>
      <c r="C213" s="49">
        <v>20769350</v>
      </c>
      <c r="D213" s="49">
        <v>93909267</v>
      </c>
      <c r="E213" s="50">
        <f>VLOOKUP($A213,'Data shares'!$C:$FA,154)*100</f>
        <v>25.540000000000003</v>
      </c>
      <c r="F213" s="173">
        <f>C213/B213</f>
        <v>0.24876849155145223</v>
      </c>
    </row>
    <row r="214" spans="1:6" x14ac:dyDescent="0.25">
      <c r="A214" s="99" t="s">
        <v>298</v>
      </c>
      <c r="B214" s="49">
        <v>21452008</v>
      </c>
      <c r="C214" s="49">
        <v>4212500</v>
      </c>
      <c r="D214" s="49">
        <v>302563228</v>
      </c>
      <c r="E214" s="50">
        <f>VLOOKUP($A214,'Data shares'!$C:$FA,154)*100</f>
        <v>19.96</v>
      </c>
      <c r="F214" s="173">
        <f>C214/B214</f>
        <v>0.19636856372606237</v>
      </c>
    </row>
    <row r="215" spans="1:6" x14ac:dyDescent="0.25">
      <c r="A215" s="99" t="s">
        <v>299</v>
      </c>
      <c r="B215" s="49">
        <v>49292045</v>
      </c>
      <c r="C215" s="49">
        <v>4146750</v>
      </c>
      <c r="D215" s="49">
        <v>708137533</v>
      </c>
      <c r="E215" s="50">
        <f>VLOOKUP($A215,'Data shares'!$C:$FA,154)*100</f>
        <v>8.52</v>
      </c>
      <c r="F215" s="173">
        <f>C215/B215</f>
        <v>8.4126150578658285E-2</v>
      </c>
    </row>
    <row r="216" spans="1:6" x14ac:dyDescent="0.25">
      <c r="A216" s="99" t="s">
        <v>482</v>
      </c>
      <c r="B216" s="49">
        <v>44787316</v>
      </c>
      <c r="C216" s="49">
        <v>19048900</v>
      </c>
      <c r="D216" s="49">
        <v>18575226</v>
      </c>
      <c r="E216" s="50">
        <f>VLOOKUP($A216,'Data shares'!$C:$FA,154)*100</f>
        <v>44.31</v>
      </c>
      <c r="F216" s="173">
        <f>C216/B216</f>
        <v>0.42531907917857814</v>
      </c>
    </row>
    <row r="217" spans="1:6" x14ac:dyDescent="0.25">
      <c r="A217" s="99" t="s">
        <v>300</v>
      </c>
      <c r="B217" s="49">
        <v>47184665</v>
      </c>
      <c r="C217" s="49">
        <v>11607750</v>
      </c>
      <c r="D217" s="49">
        <v>219409038</v>
      </c>
      <c r="E217" s="50">
        <f>VLOOKUP($A217,'Data shares'!$C:$FA,154)*100</f>
        <v>25.040000000000003</v>
      </c>
      <c r="F217" s="173">
        <f>C217/B217</f>
        <v>0.24600683294032075</v>
      </c>
    </row>
    <row r="218" spans="1:6" x14ac:dyDescent="0.25">
      <c r="A218" s="99" t="s">
        <v>302</v>
      </c>
      <c r="B218" s="49">
        <v>23922935</v>
      </c>
      <c r="C218" s="49">
        <v>5187450</v>
      </c>
      <c r="D218" s="49">
        <v>59398048</v>
      </c>
      <c r="E218" s="50">
        <f>VLOOKUP($A218,'Data shares'!$C:$FA,154)*100</f>
        <v>22.53</v>
      </c>
      <c r="F218" s="173">
        <f>C218/B218</f>
        <v>0.21684003237897023</v>
      </c>
    </row>
    <row r="219" spans="1:6" x14ac:dyDescent="0.25">
      <c r="A219" s="99" t="s">
        <v>594</v>
      </c>
      <c r="B219" s="49">
        <v>385388951</v>
      </c>
      <c r="C219" s="49">
        <v>165216225</v>
      </c>
      <c r="D219" s="49">
        <v>71823238</v>
      </c>
      <c r="E219" s="50">
        <f>VLOOKUP($A219,'Data shares'!$C:$FA,154)*100</f>
        <v>44.26</v>
      </c>
      <c r="F219" s="173">
        <f>C219/B219</f>
        <v>0.42869995253185139</v>
      </c>
    </row>
    <row r="220" spans="1:6" x14ac:dyDescent="0.25">
      <c r="A220" s="99" t="s">
        <v>569</v>
      </c>
      <c r="B220" s="49">
        <v>63025888</v>
      </c>
      <c r="C220" s="49">
        <v>26145600</v>
      </c>
      <c r="D220" s="49">
        <v>223075338</v>
      </c>
      <c r="E220" s="50">
        <f>VLOOKUP($A220,'Data shares'!$C:$FA,154)*100</f>
        <v>42.35</v>
      </c>
      <c r="F220" s="173">
        <f>C220/B220</f>
        <v>0.41483905788046971</v>
      </c>
    </row>
    <row r="221" spans="1:6" x14ac:dyDescent="0.25">
      <c r="A221" s="99" t="s">
        <v>676</v>
      </c>
      <c r="B221" s="49">
        <v>35881800</v>
      </c>
      <c r="C221" s="49">
        <v>5221150</v>
      </c>
      <c r="D221" s="49">
        <v>22984681</v>
      </c>
      <c r="E221" s="50">
        <f>VLOOKUP($A221,'Data shares'!$C:$FA,154)*100</f>
        <v>14.729999999999999</v>
      </c>
      <c r="F221" s="173">
        <f>C221/B221</f>
        <v>0.14550970129703639</v>
      </c>
    </row>
    <row r="222" spans="1:6" x14ac:dyDescent="0.25">
      <c r="A222" s="99" t="s">
        <v>303</v>
      </c>
      <c r="B222" s="49">
        <v>112299677</v>
      </c>
      <c r="C222" s="49">
        <v>61667405</v>
      </c>
      <c r="D222" s="49">
        <v>5110313</v>
      </c>
      <c r="E222" s="50">
        <f>VLOOKUP($A222,'Data shares'!$C:$FA,154)*100</f>
        <v>57.64</v>
      </c>
      <c r="F222" s="173">
        <f>C222/B222</f>
        <v>0.54913252332862894</v>
      </c>
    </row>
    <row r="223" spans="1:6" x14ac:dyDescent="0.25">
      <c r="A223" s="99" t="s">
        <v>587</v>
      </c>
      <c r="B223" s="49">
        <v>268960013</v>
      </c>
      <c r="C223" s="49">
        <v>67370175</v>
      </c>
      <c r="D223" s="49">
        <v>101115710</v>
      </c>
      <c r="E223" s="50">
        <f>VLOOKUP($A223,'Data shares'!$C:$FA,154)*100</f>
        <v>25.45</v>
      </c>
      <c r="F223" s="173">
        <f>C223/B223</f>
        <v>0.25048398179546488</v>
      </c>
    </row>
    <row r="224" spans="1:6" x14ac:dyDescent="0.25">
      <c r="A224" s="99" t="s">
        <v>304</v>
      </c>
      <c r="B224" s="49">
        <v>340087358</v>
      </c>
      <c r="C224" s="49">
        <v>144054750</v>
      </c>
      <c r="D224" s="49">
        <v>181601795</v>
      </c>
      <c r="E224" s="50">
        <f>VLOOKUP($A224,'Data shares'!$C:$FA,154)*100</f>
        <v>43.14</v>
      </c>
      <c r="F224" s="173">
        <f>C224/B224</f>
        <v>0.42358160811140766</v>
      </c>
    </row>
    <row r="225" spans="1:6" x14ac:dyDescent="0.25">
      <c r="A225" s="99" t="s">
        <v>305</v>
      </c>
      <c r="B225" s="49">
        <v>46126252</v>
      </c>
      <c r="C225" s="49">
        <v>18125625</v>
      </c>
      <c r="D225" s="49">
        <v>36429688</v>
      </c>
      <c r="E225" s="50">
        <f>VLOOKUP($A225,'Data shares'!$C:$FA,154)*100</f>
        <v>40.450000000000003</v>
      </c>
      <c r="F225" s="173">
        <f>C225/B225</f>
        <v>0.39295681339988342</v>
      </c>
    </row>
    <row r="226" spans="1:6" x14ac:dyDescent="0.25">
      <c r="A226" s="99" t="s">
        <v>306</v>
      </c>
      <c r="B226" s="49">
        <v>570590784</v>
      </c>
      <c r="C226" s="49">
        <v>225453000</v>
      </c>
      <c r="D226" s="49">
        <v>19323832</v>
      </c>
      <c r="E226" s="50">
        <f>VLOOKUP($A226,'Data shares'!$C:$FA,154)*100</f>
        <v>41.089999999999996</v>
      </c>
      <c r="F226" s="173">
        <f>C226/B226</f>
        <v>0.39512204950018959</v>
      </c>
    </row>
    <row r="227" spans="1:6" x14ac:dyDescent="0.25">
      <c r="A227" s="99" t="s">
        <v>591</v>
      </c>
      <c r="B227" s="49">
        <v>6270823064</v>
      </c>
      <c r="C227" s="49">
        <v>1662108400</v>
      </c>
      <c r="D227" s="49">
        <v>360283500</v>
      </c>
      <c r="E227" s="50">
        <f>VLOOKUP($A227,'Data shares'!$C:$FA,154)*100</f>
        <v>27</v>
      </c>
      <c r="F227" s="173">
        <f>C227/B227</f>
        <v>0.26505426529125875</v>
      </c>
    </row>
    <row r="228" spans="1:6" x14ac:dyDescent="0.25">
      <c r="A228" s="99" t="s">
        <v>557</v>
      </c>
      <c r="B228" s="49">
        <v>50321935</v>
      </c>
      <c r="C228" s="49">
        <v>16081200</v>
      </c>
      <c r="D228" s="49">
        <v>231372571</v>
      </c>
      <c r="E228" s="50">
        <f>VLOOKUP($A228,'Data shares'!$C:$FA,154)*100</f>
        <v>32.700000000000003</v>
      </c>
      <c r="F228" s="173">
        <f>C228/B228</f>
        <v>0.31956640777028944</v>
      </c>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28">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14" zoomScaleNormal="100" workbookViewId="0">
      <selection activeCell="M70" sqref="M70"/>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580</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580</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580</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607</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607</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607</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610</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610</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610</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599</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599</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599</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590</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590</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590</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603</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603</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603</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585</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585</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585</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612</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612</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612</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598</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598</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598</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602</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602</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602</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613</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613</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613</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573</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573</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573</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601</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601</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601</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584</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584</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584</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632</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632</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632</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577</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577</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577</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609</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609</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609</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579</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579</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579</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595</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595</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595</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593</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593</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593</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571</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571</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571</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582</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582</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582</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581</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581</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581</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583</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583</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583</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611</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611</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611</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578</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578</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578</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608</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608</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608</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589</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589</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589</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604</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604</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604</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592</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592</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592</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586</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586</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586</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614</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614</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614</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588</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588</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588</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576</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576</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576</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574</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574</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574</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597</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597</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597</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606</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606</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606</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600</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600</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600</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615</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615</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615</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575</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575</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575</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605</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605</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605</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596</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596</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596</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594</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594</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594</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587</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587</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587</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591</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591</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591</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572</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572</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572</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6.9500000000000011</v>
      </c>
      <c r="F6" s="49">
        <f>VLOOKUP($A6,'Data shares'!$C:$FA,129)</f>
        <v>960750</v>
      </c>
      <c r="G6" s="17"/>
    </row>
    <row r="7" spans="1:7" x14ac:dyDescent="0.25">
      <c r="A7" s="101" t="s">
        <v>228</v>
      </c>
      <c r="B7" s="17">
        <v>292206563</v>
      </c>
      <c r="C7" s="17">
        <v>71903525</v>
      </c>
      <c r="D7" s="17">
        <f t="shared" ref="D7:D70" si="0">C7</f>
        <v>71903525</v>
      </c>
      <c r="E7" s="49">
        <f>VLOOKUP($A7,'Data shares'!$C:$FA,128)*100</f>
        <v>7.33</v>
      </c>
      <c r="F7" s="49">
        <f>VLOOKUP($A7,'Data shares'!$C:$FA,129)</f>
        <v>3236800</v>
      </c>
      <c r="G7" s="17"/>
    </row>
    <row r="8" spans="1:7" x14ac:dyDescent="0.25">
      <c r="A8" s="101" t="s">
        <v>200</v>
      </c>
      <c r="B8" s="17">
        <v>417418754</v>
      </c>
      <c r="C8" s="17">
        <v>109662000</v>
      </c>
      <c r="D8" s="17">
        <f t="shared" si="0"/>
        <v>109662000</v>
      </c>
      <c r="E8" s="49">
        <f>VLOOKUP($A8,'Data shares'!$C:$FA,128)*100</f>
        <v>46.06</v>
      </c>
      <c r="F8" s="49">
        <f>VLOOKUP($A8,'Data shares'!$C:$FA,129)</f>
        <v>40167900</v>
      </c>
      <c r="G8" s="17"/>
    </row>
    <row r="9" spans="1:7" x14ac:dyDescent="0.25">
      <c r="A9" s="101" t="s">
        <v>214</v>
      </c>
      <c r="B9" s="17">
        <v>30110093</v>
      </c>
      <c r="C9" s="17">
        <v>10703050</v>
      </c>
      <c r="D9" s="17">
        <f t="shared" si="0"/>
        <v>10703050</v>
      </c>
      <c r="E9" s="49">
        <f>VLOOKUP($A9,'Data shares'!$C:$FA,128)*100</f>
        <v>12.6</v>
      </c>
      <c r="F9" s="49">
        <f>VLOOKUP($A9,'Data shares'!$C:$FA,129)</f>
        <v>1168875</v>
      </c>
      <c r="G9" s="17"/>
    </row>
    <row r="10" spans="1:7" x14ac:dyDescent="0.25">
      <c r="A10" s="101" t="s">
        <v>243</v>
      </c>
      <c r="B10" s="17">
        <v>80699820</v>
      </c>
      <c r="C10" s="17">
        <v>65367500</v>
      </c>
      <c r="D10" s="17">
        <f t="shared" si="0"/>
        <v>65367500</v>
      </c>
      <c r="E10" s="49">
        <f>VLOOKUP($A10,'Data shares'!$C:$FA,128)*100</f>
        <v>3.84</v>
      </c>
      <c r="F10" s="49">
        <f>VLOOKUP($A10,'Data shares'!$C:$FA,129)</f>
        <v>605625</v>
      </c>
      <c r="G10" s="17"/>
    </row>
    <row r="11" spans="1:7" x14ac:dyDescent="0.25">
      <c r="A11" s="101" t="s">
        <v>231</v>
      </c>
      <c r="B11" s="17">
        <v>80556813</v>
      </c>
      <c r="C11" s="17">
        <v>62967200</v>
      </c>
      <c r="D11" s="17">
        <f t="shared" si="0"/>
        <v>62967200</v>
      </c>
      <c r="E11" s="49">
        <f>VLOOKUP($A11,'Data shares'!$C:$FA,128)*100</f>
        <v>7.41</v>
      </c>
      <c r="F11" s="49">
        <f>VLOOKUP($A11,'Data shares'!$C:$FA,129)</f>
        <v>2786100</v>
      </c>
      <c r="G11" s="17"/>
    </row>
    <row r="12" spans="1:7" x14ac:dyDescent="0.25">
      <c r="A12" s="101" t="s">
        <v>195</v>
      </c>
      <c r="B12" s="17">
        <v>23823080</v>
      </c>
      <c r="C12" s="17">
        <v>2862400</v>
      </c>
      <c r="D12" s="17">
        <f t="shared" si="0"/>
        <v>2862400</v>
      </c>
      <c r="E12" s="49">
        <f>VLOOKUP($A12,'Data shares'!$C:$FA,128)*100</f>
        <v>6.3</v>
      </c>
      <c r="F12" s="49">
        <f>VLOOKUP($A12,'Data shares'!$C:$FA,129)</f>
        <v>186625</v>
      </c>
      <c r="G12" s="17"/>
    </row>
    <row r="13" spans="1:7" x14ac:dyDescent="0.25">
      <c r="A13" s="101" t="s">
        <v>304</v>
      </c>
      <c r="B13" s="17">
        <v>223492679</v>
      </c>
      <c r="C13" s="17">
        <v>98465300</v>
      </c>
      <c r="D13" s="17">
        <f t="shared" si="0"/>
        <v>98465300</v>
      </c>
      <c r="E13" s="49">
        <f>VLOOKUP($A13,'Data shares'!$C:$FA,128)*100</f>
        <v>8.2799999999999994</v>
      </c>
      <c r="F13" s="49">
        <f>VLOOKUP($A13,'Data shares'!$C:$FA,129)</f>
        <v>6454950</v>
      </c>
      <c r="G13" s="17"/>
    </row>
    <row r="14" spans="1:7" x14ac:dyDescent="0.25">
      <c r="A14" s="101" t="s">
        <v>167</v>
      </c>
      <c r="B14" s="17">
        <v>282181803</v>
      </c>
      <c r="C14" s="17">
        <v>95526000</v>
      </c>
      <c r="D14" s="17">
        <f t="shared" si="0"/>
        <v>95526000</v>
      </c>
      <c r="E14" s="49">
        <f>VLOOKUP($A14,'Data shares'!$C:$FA,128)*100</f>
        <v>5.12</v>
      </c>
      <c r="F14" s="49">
        <f>VLOOKUP($A14,'Data shares'!$C:$FA,129)</f>
        <v>3915000</v>
      </c>
      <c r="G14" s="17"/>
    </row>
    <row r="15" spans="1:7" x14ac:dyDescent="0.25">
      <c r="A15" s="101" t="s">
        <v>222</v>
      </c>
      <c r="B15" s="17">
        <v>214194964</v>
      </c>
      <c r="C15" s="17">
        <v>37437400</v>
      </c>
      <c r="D15" s="17">
        <f t="shared" si="0"/>
        <v>37437400</v>
      </c>
      <c r="E15" s="49">
        <f>VLOOKUP($A15,'Data shares'!$C:$FA,128)*100</f>
        <v>15.840000000000002</v>
      </c>
      <c r="F15" s="49">
        <f>VLOOKUP($A15,'Data shares'!$C:$FA,129)</f>
        <v>2852500</v>
      </c>
      <c r="G15" s="17"/>
    </row>
    <row r="16" spans="1:7" x14ac:dyDescent="0.25">
      <c r="A16" s="101" t="s">
        <v>290</v>
      </c>
      <c r="B16" s="17">
        <v>31601465</v>
      </c>
      <c r="C16" s="17">
        <v>13192000</v>
      </c>
      <c r="D16" s="17">
        <f t="shared" si="0"/>
        <v>13192000</v>
      </c>
      <c r="E16" s="49">
        <f>VLOOKUP($A16,'Data shares'!$C:$FA,128)*100</f>
        <v>10.100000000000001</v>
      </c>
      <c r="F16" s="49">
        <f>VLOOKUP($A16,'Data shares'!$C:$FA,129)</f>
        <v>780000</v>
      </c>
      <c r="G16" s="17"/>
    </row>
    <row r="17" spans="1:7" x14ac:dyDescent="0.25">
      <c r="A17" s="101" t="s">
        <v>500</v>
      </c>
      <c r="B17" s="17">
        <v>24930381</v>
      </c>
      <c r="C17" s="17">
        <v>1925625</v>
      </c>
      <c r="D17" s="17">
        <f t="shared" si="0"/>
        <v>1925625</v>
      </c>
      <c r="E17" s="49">
        <f>VLOOKUP($A17,'Data shares'!$C:$FA,128)*100</f>
        <v>15.27</v>
      </c>
      <c r="F17" s="49">
        <f>VLOOKUP($A17,'Data shares'!$C:$FA,129)</f>
        <v>1967500</v>
      </c>
      <c r="G17" s="17"/>
    </row>
    <row r="18" spans="1:7" x14ac:dyDescent="0.25">
      <c r="A18" s="101" t="s">
        <v>491</v>
      </c>
      <c r="B18" s="17">
        <v>53841317</v>
      </c>
      <c r="C18" s="17">
        <v>9268750</v>
      </c>
      <c r="D18" s="17">
        <f t="shared" si="0"/>
        <v>9268750</v>
      </c>
      <c r="E18" s="49">
        <f>VLOOKUP($A18,'Data shares'!$C:$FA,128)*100</f>
        <v>5.5</v>
      </c>
      <c r="F18" s="49">
        <f>VLOOKUP($A18,'Data shares'!$C:$FA,129)</f>
        <v>658500</v>
      </c>
      <c r="G18" s="17"/>
    </row>
    <row r="19" spans="1:7" x14ac:dyDescent="0.25">
      <c r="A19" s="101" t="s">
        <v>257</v>
      </c>
      <c r="B19" s="17">
        <v>43771086</v>
      </c>
      <c r="C19" s="17">
        <v>2865850</v>
      </c>
      <c r="D19" s="17">
        <f t="shared" si="0"/>
        <v>2865850</v>
      </c>
      <c r="E19" s="49">
        <f>VLOOKUP($A19,'Data shares'!$C:$FA,128)*100</f>
        <v>5.41</v>
      </c>
      <c r="F19" s="49">
        <f>VLOOKUP($A19,'Data shares'!$C:$FA,129)</f>
        <v>160000</v>
      </c>
      <c r="G19" s="17"/>
    </row>
    <row r="20" spans="1:7" x14ac:dyDescent="0.25">
      <c r="A20" s="101" t="s">
        <v>259</v>
      </c>
      <c r="B20" s="17">
        <v>12838406</v>
      </c>
      <c r="C20" s="17">
        <v>3561800</v>
      </c>
      <c r="D20" s="17">
        <f t="shared" si="0"/>
        <v>3561800</v>
      </c>
      <c r="E20" s="49">
        <f>VLOOKUP($A20,'Data shares'!$C:$FA,128)*100</f>
        <v>6</v>
      </c>
      <c r="F20" s="49">
        <f>VLOOKUP($A20,'Data shares'!$C:$FA,129)</f>
        <v>127260</v>
      </c>
      <c r="G20" s="17"/>
    </row>
    <row r="21" spans="1:7" x14ac:dyDescent="0.25">
      <c r="A21" s="101" t="s">
        <v>212</v>
      </c>
      <c r="B21" s="17">
        <v>393764205</v>
      </c>
      <c r="C21" s="17">
        <v>124730000</v>
      </c>
      <c r="D21" s="17">
        <f t="shared" si="0"/>
        <v>124730000</v>
      </c>
      <c r="E21" s="49">
        <f>VLOOKUP($A21,'Data shares'!$C:$FA,128)*100</f>
        <v>15.9</v>
      </c>
      <c r="F21" s="49">
        <f>VLOOKUP($A21,'Data shares'!$C:$FA,129)</f>
        <v>12285000</v>
      </c>
      <c r="G21" s="17"/>
    </row>
    <row r="22" spans="1:7" x14ac:dyDescent="0.25">
      <c r="A22" s="101" t="s">
        <v>209</v>
      </c>
      <c r="B22" s="17">
        <v>27768950</v>
      </c>
      <c r="C22" s="17">
        <v>5371100</v>
      </c>
      <c r="D22" s="17">
        <f t="shared" si="0"/>
        <v>5371100</v>
      </c>
      <c r="E22" s="49">
        <f>VLOOKUP($A22,'Data shares'!$C:$FA,128)*100</f>
        <v>19.32</v>
      </c>
      <c r="F22" s="49">
        <f>VLOOKUP($A22,'Data shares'!$C:$FA,129)</f>
        <v>501200</v>
      </c>
      <c r="G22" s="17"/>
    </row>
    <row r="23" spans="1:7" x14ac:dyDescent="0.25">
      <c r="A23" s="101" t="s">
        <v>501</v>
      </c>
      <c r="B23" s="17">
        <v>155792872</v>
      </c>
      <c r="C23" s="17">
        <v>50166406</v>
      </c>
      <c r="D23" s="17">
        <f t="shared" si="0"/>
        <v>50166406</v>
      </c>
      <c r="E23" s="49">
        <f>VLOOKUP($A23,'Data shares'!$C:$FA,128)*100</f>
        <v>7.23</v>
      </c>
      <c r="F23" s="49">
        <f>VLOOKUP($A23,'Data shares'!$C:$FA,129)</f>
        <v>1745000</v>
      </c>
      <c r="G23" s="17"/>
    </row>
    <row r="24" spans="1:7" x14ac:dyDescent="0.25">
      <c r="A24" s="101" t="s">
        <v>276</v>
      </c>
      <c r="B24" s="17">
        <v>678857930</v>
      </c>
      <c r="C24" s="17">
        <v>84677374</v>
      </c>
      <c r="D24" s="17">
        <f t="shared" si="0"/>
        <v>84677374</v>
      </c>
      <c r="E24" s="49">
        <f>VLOOKUP($A24,'Data shares'!$C:$FA,128)*100</f>
        <v>36.35</v>
      </c>
      <c r="F24" s="49">
        <f>VLOOKUP($A24,'Data shares'!$C:$FA,129)</f>
        <v>29121300</v>
      </c>
      <c r="G24" s="17"/>
    </row>
    <row r="25" spans="1:7" x14ac:dyDescent="0.25">
      <c r="A25" s="101" t="s">
        <v>210</v>
      </c>
      <c r="B25" s="17">
        <v>14114257</v>
      </c>
      <c r="C25" s="17">
        <v>11000000</v>
      </c>
      <c r="D25" s="17">
        <f t="shared" si="0"/>
        <v>11000000</v>
      </c>
      <c r="E25" s="49">
        <f>VLOOKUP($A25,'Data shares'!$C:$FA,128)*100</f>
        <v>19.32</v>
      </c>
      <c r="F25" s="49">
        <f>VLOOKUP($A25,'Data shares'!$C:$FA,129)</f>
        <v>501200</v>
      </c>
      <c r="G25" s="17"/>
    </row>
    <row r="26" spans="1:7" x14ac:dyDescent="0.25">
      <c r="A26" s="101" t="s">
        <v>267</v>
      </c>
      <c r="B26" s="17">
        <v>229794455</v>
      </c>
      <c r="C26" s="17">
        <v>133289800</v>
      </c>
      <c r="D26" s="17">
        <f t="shared" si="0"/>
        <v>133289800</v>
      </c>
      <c r="E26" s="49">
        <f>VLOOKUP($A26,'Data shares'!$C:$FA,128)*100</f>
        <v>11.64</v>
      </c>
      <c r="F26" s="49">
        <f>VLOOKUP($A26,'Data shares'!$C:$FA,129)</f>
        <v>25596000</v>
      </c>
      <c r="G26" s="17"/>
    </row>
    <row r="27" spans="1:7" x14ac:dyDescent="0.25">
      <c r="A27" s="101" t="s">
        <v>533</v>
      </c>
      <c r="B27" s="17">
        <v>61337685</v>
      </c>
      <c r="C27" s="17">
        <v>24741600</v>
      </c>
      <c r="D27" s="17">
        <f t="shared" si="0"/>
        <v>24741600</v>
      </c>
      <c r="E27" s="49">
        <f>VLOOKUP($A27,'Data shares'!$C:$FA,128)*100</f>
        <v>7.9600000000000009</v>
      </c>
      <c r="F27" s="49">
        <f>VLOOKUP($A27,'Data shares'!$C:$FA,129)</f>
        <v>379750</v>
      </c>
      <c r="G27" s="17"/>
    </row>
    <row r="28" spans="1:7" x14ac:dyDescent="0.25">
      <c r="A28" s="101" t="s">
        <v>502</v>
      </c>
      <c r="B28" s="17">
        <v>5165920</v>
      </c>
      <c r="C28" s="17">
        <v>1179400</v>
      </c>
      <c r="D28" s="17">
        <f t="shared" si="0"/>
        <v>1179400</v>
      </c>
      <c r="E28" s="49">
        <f>VLOOKUP($A28,'Data shares'!$C:$FA,128)*100</f>
        <v>10.870000000000001</v>
      </c>
      <c r="F28" s="49">
        <f>VLOOKUP($A28,'Data shares'!$C:$FA,129)</f>
        <v>225125</v>
      </c>
      <c r="G28" s="17"/>
    </row>
    <row r="29" spans="1:7" x14ac:dyDescent="0.25">
      <c r="A29" s="101" t="s">
        <v>474</v>
      </c>
      <c r="B29" s="17">
        <v>7339737</v>
      </c>
      <c r="C29" s="17">
        <v>979625</v>
      </c>
      <c r="D29" s="17">
        <f t="shared" si="0"/>
        <v>979625</v>
      </c>
      <c r="E29" s="49">
        <f>VLOOKUP($A29,'Data shares'!$C:$FA,128)*100</f>
        <v>8.57</v>
      </c>
      <c r="F29" s="49">
        <f>VLOOKUP($A29,'Data shares'!$C:$FA,129)</f>
        <v>385200</v>
      </c>
      <c r="G29" s="17"/>
    </row>
    <row r="30" spans="1:7" x14ac:dyDescent="0.25">
      <c r="A30" s="101" t="s">
        <v>158</v>
      </c>
      <c r="B30" s="17">
        <v>17078428</v>
      </c>
      <c r="C30" s="17">
        <v>3648750</v>
      </c>
      <c r="D30" s="17">
        <f t="shared" si="0"/>
        <v>3648750</v>
      </c>
      <c r="E30" s="49">
        <f>VLOOKUP($A30,'Data shares'!$C:$FA,128)*100</f>
        <v>0</v>
      </c>
      <c r="F30" s="49">
        <f>VLOOKUP($A30,'Data shares'!$C:$FA,129)</f>
        <v>0</v>
      </c>
      <c r="G30" s="17"/>
    </row>
    <row r="31" spans="1:7" x14ac:dyDescent="0.25">
      <c r="A31" s="101" t="s">
        <v>268</v>
      </c>
      <c r="B31" s="17">
        <v>948263976</v>
      </c>
      <c r="C31" s="17">
        <v>170042400</v>
      </c>
      <c r="D31" s="17">
        <f t="shared" si="0"/>
        <v>170042400</v>
      </c>
      <c r="E31" s="49">
        <f>VLOOKUP($A31,'Data shares'!$C:$FA,128)*100</f>
        <v>25.5</v>
      </c>
      <c r="F31" s="49">
        <f>VLOOKUP($A31,'Data shares'!$C:$FA,129)</f>
        <v>29272500</v>
      </c>
      <c r="G31" s="17"/>
    </row>
    <row r="32" spans="1:7" x14ac:dyDescent="0.25">
      <c r="A32" s="101" t="s">
        <v>557</v>
      </c>
      <c r="B32" s="17">
        <v>51441633</v>
      </c>
      <c r="C32" s="17">
        <v>26329600</v>
      </c>
      <c r="D32" s="17">
        <f t="shared" si="0"/>
        <v>26329600</v>
      </c>
      <c r="E32" s="49">
        <f>VLOOKUP($A32,'Data shares'!$C:$FA,128)*100</f>
        <v>14.649999999999999</v>
      </c>
      <c r="F32" s="49">
        <f>VLOOKUP($A32,'Data shares'!$C:$FA,129)</f>
        <v>1378800</v>
      </c>
      <c r="G32" s="17"/>
    </row>
    <row r="33" spans="1:7" x14ac:dyDescent="0.25">
      <c r="A33" s="101" t="s">
        <v>549</v>
      </c>
      <c r="B33" s="17">
        <v>319287188</v>
      </c>
      <c r="C33" s="17">
        <v>149780000</v>
      </c>
      <c r="D33" s="17">
        <f t="shared" si="0"/>
        <v>149780000</v>
      </c>
      <c r="E33" s="49">
        <f>VLOOKUP($A33,'Data shares'!$C:$FA,128)*100</f>
        <v>17.309999999999999</v>
      </c>
      <c r="F33" s="49">
        <f>VLOOKUP($A33,'Data shares'!$C:$FA,129)</f>
        <v>873710400</v>
      </c>
      <c r="G33" s="17"/>
    </row>
    <row r="34" spans="1:7" x14ac:dyDescent="0.25">
      <c r="A34" s="101" t="s">
        <v>536</v>
      </c>
      <c r="B34" s="17">
        <v>57585215</v>
      </c>
      <c r="C34" s="17">
        <v>5314000</v>
      </c>
      <c r="D34" s="17">
        <f t="shared" si="0"/>
        <v>5314000</v>
      </c>
      <c r="E34" s="49">
        <f>VLOOKUP($A34,'Data shares'!$C:$FA,128)*100</f>
        <v>11.66</v>
      </c>
      <c r="F34" s="49">
        <f>VLOOKUP($A34,'Data shares'!$C:$FA,129)</f>
        <v>1404800</v>
      </c>
      <c r="G34" s="17"/>
    </row>
    <row r="35" spans="1:7" x14ac:dyDescent="0.25">
      <c r="A35" s="101" t="s">
        <v>270</v>
      </c>
      <c r="B35" s="17">
        <v>1178038</v>
      </c>
      <c r="C35" s="17">
        <v>100890</v>
      </c>
      <c r="D35" s="17">
        <f t="shared" si="0"/>
        <v>100890</v>
      </c>
      <c r="E35" s="49">
        <f>VLOOKUP($A35,'Data shares'!$C:$FA,128)*100</f>
        <v>10</v>
      </c>
      <c r="F35" s="49">
        <f>VLOOKUP($A35,'Data shares'!$C:$FA,129)</f>
        <v>25650</v>
      </c>
      <c r="G35" s="17"/>
    </row>
    <row r="36" spans="1:7" x14ac:dyDescent="0.25">
      <c r="A36" s="101" t="s">
        <v>258</v>
      </c>
      <c r="B36" s="17">
        <v>13335005</v>
      </c>
      <c r="C36" s="17">
        <v>5970600</v>
      </c>
      <c r="D36" s="17">
        <f t="shared" si="0"/>
        <v>5970600</v>
      </c>
      <c r="E36" s="49">
        <f>VLOOKUP($A36,'Data shares'!$C:$FA,128)*100</f>
        <v>0</v>
      </c>
      <c r="F36" s="49">
        <f>VLOOKUP($A36,'Data shares'!$C:$FA,129)</f>
        <v>0</v>
      </c>
      <c r="G36" s="17"/>
    </row>
    <row r="37" spans="1:7" x14ac:dyDescent="0.25">
      <c r="A37" s="101" t="s">
        <v>301</v>
      </c>
      <c r="B37" s="17">
        <v>14428803</v>
      </c>
      <c r="C37" s="17">
        <v>2171400</v>
      </c>
      <c r="D37" s="17">
        <f t="shared" si="0"/>
        <v>2171400</v>
      </c>
      <c r="E37" s="49">
        <f>VLOOKUP($A37,'Data shares'!$C:$FA,128)*100</f>
        <v>9.5399999999999991</v>
      </c>
      <c r="F37" s="49">
        <f>VLOOKUP($A37,'Data shares'!$C:$FA,129)</f>
        <v>675850</v>
      </c>
      <c r="G37" s="17"/>
    </row>
    <row r="38" spans="1:7" x14ac:dyDescent="0.25">
      <c r="A38" s="101" t="s">
        <v>283</v>
      </c>
      <c r="B38" s="17">
        <v>747713393</v>
      </c>
      <c r="C38" s="17">
        <v>158166000</v>
      </c>
      <c r="D38" s="17">
        <f t="shared" si="0"/>
        <v>158166000</v>
      </c>
      <c r="E38" s="49">
        <f>VLOOKUP($A38,'Data shares'!$C:$FA,128)*100</f>
        <v>16.82</v>
      </c>
      <c r="F38" s="49">
        <f>VLOOKUP($A38,'Data shares'!$C:$FA,129)</f>
        <v>16568250</v>
      </c>
      <c r="G38" s="17"/>
    </row>
    <row r="39" spans="1:7" x14ac:dyDescent="0.25">
      <c r="A39" s="101" t="s">
        <v>281</v>
      </c>
      <c r="B39" s="17">
        <v>648405756</v>
      </c>
      <c r="C39" s="17">
        <v>61815500</v>
      </c>
      <c r="D39" s="17">
        <f t="shared" si="0"/>
        <v>61815500</v>
      </c>
      <c r="E39" s="49">
        <f>VLOOKUP($A39,'Data shares'!$C:$FA,128)*100</f>
        <v>39.33</v>
      </c>
      <c r="F39" s="49">
        <f>VLOOKUP($A39,'Data shares'!$C:$FA,129)</f>
        <v>43365000</v>
      </c>
      <c r="G39" s="17"/>
    </row>
    <row r="40" spans="1:7" x14ac:dyDescent="0.25">
      <c r="A40" s="101" t="s">
        <v>198</v>
      </c>
      <c r="B40" s="17">
        <v>79546680</v>
      </c>
      <c r="C40" s="17">
        <v>13283750</v>
      </c>
      <c r="D40" s="17">
        <f t="shared" si="0"/>
        <v>13283750</v>
      </c>
      <c r="E40" s="49">
        <f>VLOOKUP($A40,'Data shares'!$C:$FA,128)*100</f>
        <v>7.1499999999999995</v>
      </c>
      <c r="F40" s="49">
        <f>VLOOKUP($A40,'Data shares'!$C:$FA,129)</f>
        <v>813125</v>
      </c>
      <c r="G40" s="17"/>
    </row>
    <row r="41" spans="1:7" x14ac:dyDescent="0.25">
      <c r="A41" s="101" t="s">
        <v>299</v>
      </c>
      <c r="B41" s="17">
        <v>44634693</v>
      </c>
      <c r="C41" s="17">
        <v>3805500</v>
      </c>
      <c r="D41" s="17">
        <f t="shared" si="0"/>
        <v>3805500</v>
      </c>
      <c r="E41" s="49">
        <f>VLOOKUP($A41,'Data shares'!$C:$FA,128)*100</f>
        <v>5.91</v>
      </c>
      <c r="F41" s="49">
        <f>VLOOKUP($A41,'Data shares'!$C:$FA,129)</f>
        <v>135375</v>
      </c>
      <c r="G41" s="17"/>
    </row>
    <row r="42" spans="1:7" x14ac:dyDescent="0.25">
      <c r="A42" s="101" t="s">
        <v>273</v>
      </c>
      <c r="B42" s="17">
        <v>232357926</v>
      </c>
      <c r="C42" s="17">
        <v>67053000</v>
      </c>
      <c r="D42" s="17">
        <f t="shared" si="0"/>
        <v>67053000</v>
      </c>
      <c r="E42" s="49">
        <f>VLOOKUP($A42,'Data shares'!$C:$FA,128)*100</f>
        <v>10.23</v>
      </c>
      <c r="F42" s="49">
        <f>VLOOKUP($A42,'Data shares'!$C:$FA,129)</f>
        <v>4579900</v>
      </c>
      <c r="G42" s="17"/>
    </row>
    <row r="43" spans="1:7" x14ac:dyDescent="0.25">
      <c r="A43" s="101" t="s">
        <v>207</v>
      </c>
      <c r="B43" s="17">
        <v>124016568</v>
      </c>
      <c r="C43" s="17">
        <v>57530550</v>
      </c>
      <c r="D43" s="17">
        <f t="shared" si="0"/>
        <v>57530550</v>
      </c>
      <c r="E43" s="49">
        <f>VLOOKUP($A43,'Data shares'!$C:$FA,128)*100</f>
        <v>33.51</v>
      </c>
      <c r="F43" s="49">
        <f>VLOOKUP($A43,'Data shares'!$C:$FA,129)</f>
        <v>15697275</v>
      </c>
      <c r="G43" s="17"/>
    </row>
    <row r="44" spans="1:7" x14ac:dyDescent="0.25">
      <c r="A44" s="101" t="s">
        <v>191</v>
      </c>
      <c r="B44" s="17">
        <v>92946457</v>
      </c>
      <c r="C44" s="17">
        <v>36478000</v>
      </c>
      <c r="D44" s="17">
        <f t="shared" si="0"/>
        <v>36478000</v>
      </c>
      <c r="E44" s="49">
        <f>VLOOKUP($A44,'Data shares'!$C:$FA,128)*100</f>
        <v>19.02</v>
      </c>
      <c r="F44" s="49">
        <f>VLOOKUP($A44,'Data shares'!$C:$FA,129)</f>
        <v>6562500</v>
      </c>
      <c r="G44" s="17"/>
    </row>
    <row r="45" spans="1:7" x14ac:dyDescent="0.25">
      <c r="A45" s="101" t="s">
        <v>288</v>
      </c>
      <c r="B45" s="17">
        <v>218440087</v>
      </c>
      <c r="C45" s="17">
        <v>44080400</v>
      </c>
      <c r="D45" s="17">
        <f t="shared" si="0"/>
        <v>44080400</v>
      </c>
      <c r="E45" s="49">
        <f>VLOOKUP($A45,'Data shares'!$C:$FA,128)*100</f>
        <v>9.5399999999999991</v>
      </c>
      <c r="F45" s="49">
        <f>VLOOKUP($A45,'Data shares'!$C:$FA,129)</f>
        <v>1749650</v>
      </c>
      <c r="G45" s="17"/>
    </row>
    <row r="46" spans="1:7" x14ac:dyDescent="0.25">
      <c r="A46" s="101" t="s">
        <v>275</v>
      </c>
      <c r="B46" s="17">
        <v>591377974</v>
      </c>
      <c r="C46" s="17">
        <v>493488000</v>
      </c>
      <c r="D46" s="17">
        <f t="shared" si="0"/>
        <v>493488000</v>
      </c>
      <c r="E46" s="49">
        <f>VLOOKUP($A46,'Data shares'!$C:$FA,128)*100</f>
        <v>17.059999999999999</v>
      </c>
      <c r="F46" s="49">
        <f>VLOOKUP($A46,'Data shares'!$C:$FA,129)</f>
        <v>31088000</v>
      </c>
      <c r="G46" s="17"/>
    </row>
    <row r="47" spans="1:7" x14ac:dyDescent="0.25">
      <c r="A47" s="101" t="s">
        <v>277</v>
      </c>
      <c r="B47" s="17">
        <v>10116165</v>
      </c>
      <c r="C47" s="17">
        <v>7378910</v>
      </c>
      <c r="D47" s="17">
        <f t="shared" si="0"/>
        <v>7378910</v>
      </c>
      <c r="E47" s="49">
        <f>VLOOKUP($A47,'Data shares'!$C:$FA,128)*100</f>
        <v>7.16</v>
      </c>
      <c r="F47" s="49">
        <f>VLOOKUP($A47,'Data shares'!$C:$FA,129)</f>
        <v>323100</v>
      </c>
      <c r="G47" s="17"/>
    </row>
    <row r="48" spans="1:7" x14ac:dyDescent="0.25">
      <c r="A48" s="101" t="s">
        <v>196</v>
      </c>
      <c r="B48" s="17">
        <v>134484114</v>
      </c>
      <c r="C48" s="17">
        <v>73278000</v>
      </c>
      <c r="D48" s="17">
        <f t="shared" si="0"/>
        <v>73278000</v>
      </c>
      <c r="E48" s="49">
        <f>VLOOKUP($A48,'Data shares'!$C:$FA,128)*100</f>
        <v>22.46</v>
      </c>
      <c r="F48" s="49">
        <f>VLOOKUP($A48,'Data shares'!$C:$FA,129)</f>
        <v>35336250</v>
      </c>
      <c r="G48" s="17"/>
    </row>
    <row r="49" spans="1:7" x14ac:dyDescent="0.25">
      <c r="A49" s="101" t="s">
        <v>287</v>
      </c>
      <c r="B49" s="17">
        <v>40005132</v>
      </c>
      <c r="C49" s="17">
        <v>6264400</v>
      </c>
      <c r="D49" s="17">
        <f t="shared" si="0"/>
        <v>6264400</v>
      </c>
      <c r="E49" s="49">
        <f>VLOOKUP($A49,'Data shares'!$C:$FA,128)*100</f>
        <v>3.1199999999999997</v>
      </c>
      <c r="F49" s="49">
        <f>VLOOKUP($A49,'Data shares'!$C:$FA,129)</f>
        <v>112200</v>
      </c>
      <c r="G49" s="17"/>
    </row>
    <row r="50" spans="1:7" x14ac:dyDescent="0.25">
      <c r="A50" s="101" t="s">
        <v>553</v>
      </c>
      <c r="B50" s="17">
        <v>10595418</v>
      </c>
      <c r="C50" s="17">
        <v>250250</v>
      </c>
      <c r="D50" s="17">
        <f t="shared" si="0"/>
        <v>250250</v>
      </c>
      <c r="E50" s="49">
        <f>VLOOKUP($A50,'Data shares'!$C:$FA,128)*100</f>
        <v>7.1400000000000006</v>
      </c>
      <c r="F50" s="49">
        <f>VLOOKUP($A50,'Data shares'!$C:$FA,129)</f>
        <v>219625</v>
      </c>
      <c r="G50" s="17"/>
    </row>
    <row r="51" spans="1:7" x14ac:dyDescent="0.25">
      <c r="A51" s="101" t="s">
        <v>519</v>
      </c>
      <c r="B51" s="17">
        <v>9516271</v>
      </c>
      <c r="C51" s="17">
        <v>1000800</v>
      </c>
      <c r="D51" s="17">
        <f t="shared" si="0"/>
        <v>1000800</v>
      </c>
      <c r="E51" s="49">
        <f>VLOOKUP($A51,'Data shares'!$C:$FA,128)*100</f>
        <v>10.11</v>
      </c>
      <c r="F51" s="49">
        <f>VLOOKUP($A51,'Data shares'!$C:$FA,129)</f>
        <v>225875</v>
      </c>
      <c r="G51" s="17"/>
    </row>
    <row r="52" spans="1:7" x14ac:dyDescent="0.25">
      <c r="A52" s="101" t="s">
        <v>550</v>
      </c>
      <c r="B52" s="17">
        <v>137684181</v>
      </c>
      <c r="C52" s="17">
        <v>42696000</v>
      </c>
      <c r="D52" s="17">
        <f t="shared" si="0"/>
        <v>42696000</v>
      </c>
      <c r="E52" s="49">
        <f>VLOOKUP($A52,'Data shares'!$C:$FA,128)*100</f>
        <v>8.93</v>
      </c>
      <c r="F52" s="49">
        <f>VLOOKUP($A52,'Data shares'!$C:$FA,129)</f>
        <v>4894500</v>
      </c>
      <c r="G52" s="17"/>
    </row>
    <row r="53" spans="1:7" x14ac:dyDescent="0.25">
      <c r="A53" s="101" t="s">
        <v>284</v>
      </c>
      <c r="B53" s="17">
        <v>2702190</v>
      </c>
      <c r="C53" s="17">
        <v>250575</v>
      </c>
      <c r="D53" s="17">
        <f t="shared" si="0"/>
        <v>250575</v>
      </c>
      <c r="E53" s="49">
        <f>VLOOKUP($A53,'Data shares'!$C:$FA,128)*100</f>
        <v>17.440000000000001</v>
      </c>
      <c r="F53" s="49">
        <f>VLOOKUP($A53,'Data shares'!$C:$FA,129)</f>
        <v>28225</v>
      </c>
      <c r="G53" s="17"/>
    </row>
    <row r="54" spans="1:7" x14ac:dyDescent="0.25">
      <c r="A54" s="101" t="s">
        <v>488</v>
      </c>
      <c r="B54" s="17">
        <v>5499709</v>
      </c>
      <c r="C54" s="17">
        <v>1097600</v>
      </c>
      <c r="D54" s="17">
        <f t="shared" si="0"/>
        <v>1097600</v>
      </c>
      <c r="E54" s="49">
        <f>VLOOKUP($A54,'Data shares'!$C:$FA,128)*100</f>
        <v>9.94</v>
      </c>
      <c r="F54" s="49">
        <f>VLOOKUP($A54,'Data shares'!$C:$FA,129)</f>
        <v>263700</v>
      </c>
      <c r="G54" s="17"/>
    </row>
    <row r="55" spans="1:7" x14ac:dyDescent="0.25">
      <c r="A55" s="101" t="s">
        <v>523</v>
      </c>
      <c r="B55" s="17">
        <v>118085392</v>
      </c>
      <c r="C55" s="17">
        <v>6549400</v>
      </c>
      <c r="D55" s="17">
        <f t="shared" si="0"/>
        <v>6549400</v>
      </c>
      <c r="E55" s="49">
        <f>VLOOKUP($A55,'Data shares'!$C:$FA,128)*100</f>
        <v>5.35</v>
      </c>
      <c r="F55" s="49">
        <f>VLOOKUP($A55,'Data shares'!$C:$FA,129)</f>
        <v>1438200</v>
      </c>
      <c r="G55" s="17"/>
    </row>
    <row r="56" spans="1:7" x14ac:dyDescent="0.25">
      <c r="A56" s="101" t="s">
        <v>485</v>
      </c>
      <c r="B56" s="17">
        <v>6917069</v>
      </c>
      <c r="C56" s="17">
        <v>762075</v>
      </c>
      <c r="D56" s="17">
        <f t="shared" si="0"/>
        <v>762075</v>
      </c>
      <c r="E56" s="49">
        <f>VLOOKUP($A56,'Data shares'!$C:$FA,128)*100</f>
        <v>3.39</v>
      </c>
      <c r="F56" s="49">
        <f>VLOOKUP($A56,'Data shares'!$C:$FA,129)</f>
        <v>228000</v>
      </c>
      <c r="G56" s="17"/>
    </row>
    <row r="57" spans="1:7" x14ac:dyDescent="0.25">
      <c r="A57" s="101" t="s">
        <v>178</v>
      </c>
      <c r="B57" s="17">
        <v>16125398</v>
      </c>
      <c r="C57" s="17">
        <v>1552600</v>
      </c>
      <c r="D57" s="17">
        <f t="shared" si="0"/>
        <v>1552600</v>
      </c>
      <c r="E57" s="49">
        <f>VLOOKUP($A57,'Data shares'!$C:$FA,128)*100</f>
        <v>0</v>
      </c>
      <c r="F57" s="49">
        <f>VLOOKUP($A57,'Data shares'!$C:$FA,129)</f>
        <v>0</v>
      </c>
      <c r="G57" s="17"/>
    </row>
    <row r="58" spans="1:7" x14ac:dyDescent="0.25">
      <c r="A58" s="101" t="s">
        <v>240</v>
      </c>
      <c r="B58" s="17">
        <v>727896180</v>
      </c>
      <c r="C58" s="17">
        <v>46526100</v>
      </c>
      <c r="D58" s="17">
        <f t="shared" si="0"/>
        <v>46526100</v>
      </c>
      <c r="E58" s="49">
        <f>VLOOKUP($A58,'Data shares'!$C:$FA,128)*100</f>
        <v>6.49</v>
      </c>
      <c r="F58" s="49">
        <f>VLOOKUP($A58,'Data shares'!$C:$FA,129)</f>
        <v>4212000</v>
      </c>
      <c r="G58" s="17"/>
    </row>
    <row r="59" spans="1:7" x14ac:dyDescent="0.25">
      <c r="A59" s="101" t="s">
        <v>202</v>
      </c>
      <c r="B59" s="17">
        <v>55081874</v>
      </c>
      <c r="C59" s="17">
        <v>10856000</v>
      </c>
      <c r="D59" s="17">
        <f t="shared" si="0"/>
        <v>10856000</v>
      </c>
      <c r="E59" s="49">
        <f>VLOOKUP($A59,'Data shares'!$C:$FA,128)*100</f>
        <v>15.27</v>
      </c>
      <c r="F59" s="49">
        <f>VLOOKUP($A59,'Data shares'!$C:$FA,129)</f>
        <v>1967500</v>
      </c>
      <c r="G59" s="17"/>
    </row>
    <row r="60" spans="1:7" x14ac:dyDescent="0.25">
      <c r="A60" s="101" t="s">
        <v>245</v>
      </c>
      <c r="B60" s="17">
        <v>15273675</v>
      </c>
      <c r="C60" s="17">
        <v>5077125</v>
      </c>
      <c r="D60" s="17">
        <f t="shared" si="0"/>
        <v>5077125</v>
      </c>
      <c r="E60" s="49">
        <f>VLOOKUP($A60,'Data shares'!$C:$FA,128)*100</f>
        <v>4.8</v>
      </c>
      <c r="F60" s="49">
        <f>VLOOKUP($A60,'Data shares'!$C:$FA,129)</f>
        <v>788750</v>
      </c>
      <c r="G60" s="17"/>
    </row>
    <row r="61" spans="1:7" x14ac:dyDescent="0.25">
      <c r="A61" s="101" t="s">
        <v>173</v>
      </c>
      <c r="B61" s="17">
        <v>541823383</v>
      </c>
      <c r="C61" s="17">
        <v>95378400</v>
      </c>
      <c r="D61" s="17">
        <f t="shared" si="0"/>
        <v>95378400</v>
      </c>
      <c r="E61" s="49">
        <f>VLOOKUP($A61,'Data shares'!$C:$FA,128)*100</f>
        <v>13.83</v>
      </c>
      <c r="F61" s="49">
        <f>VLOOKUP($A61,'Data shares'!$C:$FA,129)</f>
        <v>10447500</v>
      </c>
      <c r="G61" s="17"/>
    </row>
    <row r="62" spans="1:7" x14ac:dyDescent="0.25">
      <c r="A62" s="101" t="s">
        <v>234</v>
      </c>
      <c r="B62" s="17">
        <v>1606294231</v>
      </c>
      <c r="C62" s="17">
        <v>1302000000</v>
      </c>
      <c r="D62" s="17">
        <f t="shared" si="0"/>
        <v>1302000000</v>
      </c>
      <c r="E62" s="49">
        <f>VLOOKUP($A62,'Data shares'!$C:$FA,128)*100</f>
        <v>17.309999999999999</v>
      </c>
      <c r="F62" s="49">
        <f>VLOOKUP($A62,'Data shares'!$C:$FA,129)</f>
        <v>873710400</v>
      </c>
      <c r="G62" s="17"/>
    </row>
    <row r="63" spans="1:7" x14ac:dyDescent="0.25">
      <c r="A63" s="101" t="s">
        <v>235</v>
      </c>
      <c r="B63" s="17">
        <v>789260827</v>
      </c>
      <c r="C63" s="17">
        <v>462303900</v>
      </c>
      <c r="D63" s="17">
        <f t="shared" si="0"/>
        <v>462303900</v>
      </c>
      <c r="E63" s="49">
        <f>VLOOKUP($A63,'Data shares'!$C:$FA,128)*100</f>
        <v>24.22</v>
      </c>
      <c r="F63" s="49">
        <f>VLOOKUP($A63,'Data shares'!$C:$FA,129)</f>
        <v>86276050</v>
      </c>
      <c r="G63" s="17"/>
    </row>
    <row r="64" spans="1:7" x14ac:dyDescent="0.25">
      <c r="A64" s="101" t="s">
        <v>482</v>
      </c>
      <c r="B64" s="17">
        <v>44785930</v>
      </c>
      <c r="C64" s="17">
        <v>4025925</v>
      </c>
      <c r="D64" s="17">
        <f t="shared" si="0"/>
        <v>4025925</v>
      </c>
      <c r="E64" s="49">
        <f>VLOOKUP($A64,'Data shares'!$C:$FA,128)*100</f>
        <v>8.3000000000000007</v>
      </c>
      <c r="F64" s="49">
        <f>VLOOKUP($A64,'Data shares'!$C:$FA,129)</f>
        <v>628500</v>
      </c>
      <c r="G64" s="17"/>
    </row>
    <row r="65" spans="1:7" x14ac:dyDescent="0.25">
      <c r="A65" s="101" t="s">
        <v>475</v>
      </c>
      <c r="B65" s="17">
        <v>13287700</v>
      </c>
      <c r="C65" s="17">
        <v>3968400</v>
      </c>
      <c r="D65" s="17">
        <f t="shared" si="0"/>
        <v>3968400</v>
      </c>
      <c r="E65" s="49">
        <f>VLOOKUP($A65,'Data shares'!$C:$FA,128)*100</f>
        <v>8.89</v>
      </c>
      <c r="F65" s="49">
        <f>VLOOKUP($A65,'Data shares'!$C:$FA,129)</f>
        <v>228900</v>
      </c>
      <c r="G65" s="17"/>
    </row>
    <row r="66" spans="1:7" x14ac:dyDescent="0.25">
      <c r="A66" s="101" t="s">
        <v>306</v>
      </c>
      <c r="B66" s="17">
        <v>292716179</v>
      </c>
      <c r="C66" s="17">
        <v>57797600</v>
      </c>
      <c r="D66" s="17">
        <f t="shared" si="0"/>
        <v>57797600</v>
      </c>
      <c r="E66" s="49">
        <f>VLOOKUP($A66,'Data shares'!$C:$FA,128)*100</f>
        <v>11.32</v>
      </c>
      <c r="F66" s="49">
        <f>VLOOKUP($A66,'Data shares'!$C:$FA,129)</f>
        <v>11835000</v>
      </c>
      <c r="G66" s="17"/>
    </row>
    <row r="67" spans="1:7" x14ac:dyDescent="0.25">
      <c r="A67" s="101" t="s">
        <v>262</v>
      </c>
      <c r="B67" s="17">
        <v>21376133</v>
      </c>
      <c r="C67" s="17">
        <v>5958375</v>
      </c>
      <c r="D67" s="17">
        <f t="shared" si="0"/>
        <v>5958375</v>
      </c>
      <c r="E67" s="49">
        <f>VLOOKUP($A67,'Data shares'!$C:$FA,128)*100</f>
        <v>8.75</v>
      </c>
      <c r="F67" s="49">
        <f>VLOOKUP($A67,'Data shares'!$C:$FA,129)</f>
        <v>360800</v>
      </c>
      <c r="G67" s="17"/>
    </row>
    <row r="68" spans="1:7" x14ac:dyDescent="0.25">
      <c r="A68" s="101" t="s">
        <v>174</v>
      </c>
      <c r="B68" s="17">
        <v>26775498</v>
      </c>
      <c r="C68" s="17">
        <v>3494750</v>
      </c>
      <c r="D68" s="17">
        <f t="shared" si="0"/>
        <v>3494750</v>
      </c>
      <c r="E68" s="49">
        <f>VLOOKUP($A68,'Data shares'!$C:$FA,128)*100</f>
        <v>6.83</v>
      </c>
      <c r="F68" s="49">
        <f>VLOOKUP($A68,'Data shares'!$C:$FA,129)</f>
        <v>154575</v>
      </c>
      <c r="G68" s="17"/>
    </row>
    <row r="69" spans="1:7" x14ac:dyDescent="0.25">
      <c r="A69" s="101" t="s">
        <v>286</v>
      </c>
      <c r="B69" s="17">
        <v>29168705</v>
      </c>
      <c r="C69" s="17">
        <v>6373125</v>
      </c>
      <c r="D69" s="17">
        <f t="shared" si="0"/>
        <v>6373125</v>
      </c>
      <c r="E69" s="49">
        <f>VLOOKUP($A69,'Data shares'!$C:$FA,128)*100</f>
        <v>3.1199999999999997</v>
      </c>
      <c r="F69" s="49">
        <f>VLOOKUP($A69,'Data shares'!$C:$FA,129)</f>
        <v>112200</v>
      </c>
      <c r="G69" s="17"/>
    </row>
    <row r="70" spans="1:7" x14ac:dyDescent="0.25">
      <c r="A70" s="101" t="s">
        <v>297</v>
      </c>
      <c r="B70" s="17">
        <v>83636848</v>
      </c>
      <c r="C70" s="17">
        <v>13455750</v>
      </c>
      <c r="D70" s="17">
        <f t="shared" si="0"/>
        <v>13455750</v>
      </c>
      <c r="E70" s="49">
        <f>VLOOKUP($A70,'Data shares'!$C:$FA,128)*100</f>
        <v>5.67</v>
      </c>
      <c r="F70" s="49">
        <f>VLOOKUP($A70,'Data shares'!$C:$FA,129)</f>
        <v>593075</v>
      </c>
      <c r="G70" s="17"/>
    </row>
    <row r="71" spans="1:7" x14ac:dyDescent="0.25">
      <c r="A71" s="101" t="s">
        <v>302</v>
      </c>
      <c r="B71" s="17">
        <v>23058222</v>
      </c>
      <c r="C71" s="17">
        <v>3980500</v>
      </c>
      <c r="D71" s="17">
        <f t="shared" ref="D71:D134" si="1">C71</f>
        <v>3980500</v>
      </c>
      <c r="E71" s="49">
        <f>VLOOKUP($A71,'Data shares'!$C:$FA,128)*100</f>
        <v>57.06</v>
      </c>
      <c r="F71" s="49">
        <f>VLOOKUP($A71,'Data shares'!$C:$FA,129)</f>
        <v>1516350</v>
      </c>
      <c r="G71" s="17"/>
    </row>
    <row r="72" spans="1:7" x14ac:dyDescent="0.25">
      <c r="A72" s="101" t="s">
        <v>307</v>
      </c>
      <c r="B72" s="17">
        <v>184439886</v>
      </c>
      <c r="C72" s="17">
        <v>122460000</v>
      </c>
      <c r="D72" s="17">
        <f t="shared" si="1"/>
        <v>122460000</v>
      </c>
      <c r="E72" s="49">
        <f>VLOOKUP($A72,'Data shares'!$C:$FA,128)*100</f>
        <v>16.84</v>
      </c>
      <c r="F72" s="49">
        <f>VLOOKUP($A72,'Data shares'!$C:$FA,129)</f>
        <v>159760700</v>
      </c>
      <c r="G72" s="17"/>
    </row>
    <row r="73" spans="1:7" x14ac:dyDescent="0.25">
      <c r="A73" s="101" t="s">
        <v>177</v>
      </c>
      <c r="B73" s="17">
        <v>52956314</v>
      </c>
      <c r="C73" s="17">
        <v>7784625</v>
      </c>
      <c r="D73" s="17">
        <f t="shared" si="1"/>
        <v>7784625</v>
      </c>
      <c r="E73" s="49">
        <f>VLOOKUP($A73,'Data shares'!$C:$FA,128)*100</f>
        <v>7.4499999999999993</v>
      </c>
      <c r="F73" s="49">
        <f>VLOOKUP($A73,'Data shares'!$C:$FA,129)</f>
        <v>5282250</v>
      </c>
      <c r="G73" s="17"/>
    </row>
    <row r="74" spans="1:7" x14ac:dyDescent="0.25">
      <c r="A74" s="101" t="s">
        <v>545</v>
      </c>
      <c r="B74" s="17">
        <v>23498849</v>
      </c>
      <c r="C74" s="17">
        <v>15745600</v>
      </c>
      <c r="D74" s="17">
        <f t="shared" si="1"/>
        <v>15745600</v>
      </c>
      <c r="E74" s="49">
        <f>VLOOKUP($A74,'Data shares'!$C:$FA,128)*100</f>
        <v>0</v>
      </c>
      <c r="F74" s="49">
        <f>VLOOKUP($A74,'Data shares'!$C:$FA,129)</f>
        <v>0</v>
      </c>
      <c r="G74" s="17"/>
    </row>
    <row r="75" spans="1:7" x14ac:dyDescent="0.25">
      <c r="A75" s="101" t="s">
        <v>185</v>
      </c>
      <c r="B75" s="17">
        <v>238123793</v>
      </c>
      <c r="C75" s="17">
        <v>59926000</v>
      </c>
      <c r="D75" s="17">
        <f t="shared" si="1"/>
        <v>59926000</v>
      </c>
      <c r="E75" s="49">
        <f>VLOOKUP($A75,'Data shares'!$C:$FA,128)*100</f>
        <v>19.739999999999998</v>
      </c>
      <c r="F75" s="49">
        <f>VLOOKUP($A75,'Data shares'!$C:$FA,129)</f>
        <v>22951050</v>
      </c>
      <c r="G75" s="17"/>
    </row>
    <row r="76" spans="1:7" x14ac:dyDescent="0.25">
      <c r="A76" s="101" t="s">
        <v>219</v>
      </c>
      <c r="B76" s="17">
        <v>75317259</v>
      </c>
      <c r="C76" s="17">
        <v>12188500</v>
      </c>
      <c r="D76" s="17">
        <f t="shared" si="1"/>
        <v>12188500</v>
      </c>
      <c r="E76" s="49">
        <f>VLOOKUP($A76,'Data shares'!$C:$FA,128)*100</f>
        <v>5.5</v>
      </c>
      <c r="F76" s="49">
        <f>VLOOKUP($A76,'Data shares'!$C:$FA,129)</f>
        <v>658500</v>
      </c>
      <c r="G76" s="17"/>
    </row>
    <row r="77" spans="1:7" x14ac:dyDescent="0.25">
      <c r="A77" s="101" t="s">
        <v>534</v>
      </c>
      <c r="B77" s="17">
        <v>70381221</v>
      </c>
      <c r="C77" s="17">
        <v>3354100</v>
      </c>
      <c r="D77" s="17">
        <f t="shared" si="1"/>
        <v>3354100</v>
      </c>
      <c r="E77" s="49">
        <f>VLOOKUP($A77,'Data shares'!$C:$FA,128)*100</f>
        <v>5.5</v>
      </c>
      <c r="F77" s="49">
        <f>VLOOKUP($A77,'Data shares'!$C:$FA,129)</f>
        <v>658500</v>
      </c>
      <c r="G77" s="17"/>
    </row>
    <row r="78" spans="1:7" x14ac:dyDescent="0.25">
      <c r="A78" s="101" t="s">
        <v>516</v>
      </c>
      <c r="B78" s="17">
        <v>27254349</v>
      </c>
      <c r="C78" s="17">
        <v>1133550</v>
      </c>
      <c r="D78" s="17">
        <f t="shared" si="1"/>
        <v>1133550</v>
      </c>
      <c r="E78" s="49">
        <f>VLOOKUP($A78,'Data shares'!$C:$FA,128)*100</f>
        <v>10.67</v>
      </c>
      <c r="F78" s="49">
        <f>VLOOKUP($A78,'Data shares'!$C:$FA,129)</f>
        <v>8204625</v>
      </c>
      <c r="G78" s="17"/>
    </row>
    <row r="79" spans="1:7" x14ac:dyDescent="0.25">
      <c r="A79" s="101" t="s">
        <v>271</v>
      </c>
      <c r="B79" s="17">
        <v>26746179</v>
      </c>
      <c r="C79" s="17">
        <v>5445825</v>
      </c>
      <c r="D79" s="17">
        <f t="shared" si="1"/>
        <v>5445825</v>
      </c>
      <c r="E79" s="49">
        <f>VLOOKUP($A79,'Data shares'!$C:$FA,128)*100</f>
        <v>0</v>
      </c>
      <c r="F79" s="49">
        <f>VLOOKUP($A79,'Data shares'!$C:$FA,129)</f>
        <v>0</v>
      </c>
      <c r="G79" s="17"/>
    </row>
    <row r="80" spans="1:7" x14ac:dyDescent="0.25">
      <c r="A80" s="101" t="s">
        <v>264</v>
      </c>
      <c r="B80" s="17">
        <v>15844192</v>
      </c>
      <c r="C80" s="17">
        <v>2354125</v>
      </c>
      <c r="D80" s="17">
        <f t="shared" si="1"/>
        <v>2354125</v>
      </c>
      <c r="E80" s="49">
        <f>VLOOKUP($A80,'Data shares'!$C:$FA,128)*100</f>
        <v>3.39</v>
      </c>
      <c r="F80" s="49">
        <f>VLOOKUP($A80,'Data shares'!$C:$FA,129)</f>
        <v>228000</v>
      </c>
      <c r="G80" s="17"/>
    </row>
    <row r="81" spans="1:7" x14ac:dyDescent="0.25">
      <c r="A81" s="101" t="s">
        <v>208</v>
      </c>
      <c r="B81" s="17">
        <v>24296838</v>
      </c>
      <c r="C81" s="17">
        <v>5125750</v>
      </c>
      <c r="D81" s="17">
        <f t="shared" si="1"/>
        <v>5125750</v>
      </c>
      <c r="E81" s="49">
        <f>VLOOKUP($A81,'Data shares'!$C:$FA,128)*100</f>
        <v>7.86</v>
      </c>
      <c r="F81" s="49">
        <f>VLOOKUP($A81,'Data shares'!$C:$FA,129)</f>
        <v>836875</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4.2700000000000005</v>
      </c>
      <c r="F83" s="49">
        <f>VLOOKUP($A83,'Data shares'!$C:$FA,129)</f>
        <v>737500</v>
      </c>
      <c r="G83" s="17"/>
    </row>
    <row r="84" spans="1:7" x14ac:dyDescent="0.25">
      <c r="A84" s="101" t="s">
        <v>528</v>
      </c>
      <c r="B84" s="17">
        <v>23485458</v>
      </c>
      <c r="C84" s="17">
        <v>4272800</v>
      </c>
      <c r="D84" s="17">
        <f t="shared" si="1"/>
        <v>4272800</v>
      </c>
      <c r="E84" s="49">
        <f>VLOOKUP($A84,'Data shares'!$C:$FA,128)*100</f>
        <v>6.41</v>
      </c>
      <c r="F84" s="49">
        <f>VLOOKUP($A84,'Data shares'!$C:$FA,129)</f>
        <v>233100</v>
      </c>
      <c r="G84" s="17"/>
    </row>
    <row r="85" spans="1:7" x14ac:dyDescent="0.25">
      <c r="A85" s="101" t="s">
        <v>551</v>
      </c>
      <c r="B85" s="17">
        <v>39593365</v>
      </c>
      <c r="C85" s="17">
        <v>12215000</v>
      </c>
      <c r="D85" s="17">
        <f t="shared" si="1"/>
        <v>12215000</v>
      </c>
      <c r="E85" s="49">
        <f>VLOOKUP($A85,'Data shares'!$C:$FA,128)*100</f>
        <v>7.16</v>
      </c>
      <c r="F85" s="49">
        <f>VLOOKUP($A85,'Data shares'!$C:$FA,129)</f>
        <v>323100</v>
      </c>
      <c r="G85" s="17"/>
    </row>
    <row r="86" spans="1:7" x14ac:dyDescent="0.25">
      <c r="A86" s="101" t="s">
        <v>292</v>
      </c>
      <c r="B86" s="17">
        <v>355933451</v>
      </c>
      <c r="C86" s="17">
        <v>204117000</v>
      </c>
      <c r="D86" s="17">
        <f t="shared" si="1"/>
        <v>204117000</v>
      </c>
      <c r="E86" s="49">
        <f>VLOOKUP($A86,'Data shares'!$C:$FA,128)*100</f>
        <v>14.17</v>
      </c>
      <c r="F86" s="49">
        <f>VLOOKUP($A86,'Data shares'!$C:$FA,129)</f>
        <v>9261600</v>
      </c>
      <c r="G86" s="17"/>
    </row>
    <row r="87" spans="1:7" x14ac:dyDescent="0.25">
      <c r="A87" s="101" t="s">
        <v>239</v>
      </c>
      <c r="B87" s="17">
        <v>117569462</v>
      </c>
      <c r="C87" s="17">
        <v>39785400</v>
      </c>
      <c r="D87" s="17">
        <f t="shared" si="1"/>
        <v>39785400</v>
      </c>
      <c r="E87" s="49">
        <f>VLOOKUP($A87,'Data shares'!$C:$FA,128)*100</f>
        <v>15.58</v>
      </c>
      <c r="F87" s="49">
        <f>VLOOKUP($A87,'Data shares'!$C:$FA,129)</f>
        <v>4885300</v>
      </c>
      <c r="G87" s="17"/>
    </row>
    <row r="88" spans="1:7" x14ac:dyDescent="0.25">
      <c r="A88" s="101" t="s">
        <v>513</v>
      </c>
      <c r="B88" s="17">
        <v>16619018</v>
      </c>
      <c r="C88" s="17">
        <v>3155425</v>
      </c>
      <c r="D88" s="17">
        <f t="shared" si="1"/>
        <v>3155425</v>
      </c>
      <c r="E88" s="49">
        <f>VLOOKUP($A88,'Data shares'!$C:$FA,128)*100</f>
        <v>19.63</v>
      </c>
      <c r="F88" s="49">
        <f>VLOOKUP($A88,'Data shares'!$C:$FA,129)</f>
        <v>1670850</v>
      </c>
      <c r="G88" s="17"/>
    </row>
    <row r="89" spans="1:7" x14ac:dyDescent="0.25">
      <c r="A89" s="101" t="s">
        <v>224</v>
      </c>
      <c r="B89" s="17">
        <v>669931623</v>
      </c>
      <c r="C89" s="17">
        <v>82663350</v>
      </c>
      <c r="D89" s="17">
        <f t="shared" si="1"/>
        <v>82663350</v>
      </c>
      <c r="E89" s="49">
        <f>VLOOKUP($A89,'Data shares'!$C:$FA,128)*100</f>
        <v>17.79</v>
      </c>
      <c r="F89" s="49">
        <f>VLOOKUP($A89,'Data shares'!$C:$FA,129)</f>
        <v>17850800</v>
      </c>
      <c r="G89" s="17"/>
    </row>
    <row r="90" spans="1:7" x14ac:dyDescent="0.25">
      <c r="A90" s="101" t="s">
        <v>232</v>
      </c>
      <c r="B90" s="17">
        <v>1110506052</v>
      </c>
      <c r="C90" s="17">
        <v>174065375</v>
      </c>
      <c r="D90" s="17">
        <f t="shared" si="1"/>
        <v>174065375</v>
      </c>
      <c r="E90" s="49">
        <f>VLOOKUP($A90,'Data shares'!$C:$FA,128)*100</f>
        <v>45.26</v>
      </c>
      <c r="F90" s="49">
        <f>VLOOKUP($A90,'Data shares'!$C:$FA,129)</f>
        <v>48687100</v>
      </c>
      <c r="G90" s="17"/>
    </row>
    <row r="91" spans="1:7" x14ac:dyDescent="0.25">
      <c r="A91" s="101" t="s">
        <v>223</v>
      </c>
      <c r="B91" s="17">
        <v>362202362</v>
      </c>
      <c r="C91" s="17">
        <v>34249800</v>
      </c>
      <c r="D91" s="17">
        <f t="shared" si="1"/>
        <v>34249800</v>
      </c>
      <c r="E91" s="49">
        <f>VLOOKUP($A91,'Data shares'!$C:$FA,128)*100</f>
        <v>15.840000000000002</v>
      </c>
      <c r="F91" s="49">
        <f>VLOOKUP($A91,'Data shares'!$C:$FA,129)</f>
        <v>2852500</v>
      </c>
      <c r="G91" s="17"/>
    </row>
    <row r="92" spans="1:7" x14ac:dyDescent="0.25">
      <c r="A92" s="101" t="s">
        <v>218</v>
      </c>
      <c r="B92" s="17">
        <v>23110810</v>
      </c>
      <c r="C92" s="17">
        <v>6940375</v>
      </c>
      <c r="D92" s="17">
        <f t="shared" si="1"/>
        <v>6940375</v>
      </c>
      <c r="E92" s="49">
        <f>VLOOKUP($A92,'Data shares'!$C:$FA,128)*100</f>
        <v>5.19</v>
      </c>
      <c r="F92" s="49">
        <f>VLOOKUP($A92,'Data shares'!$C:$FA,129)</f>
        <v>306625</v>
      </c>
      <c r="G92" s="17"/>
    </row>
    <row r="93" spans="1:7" x14ac:dyDescent="0.25">
      <c r="A93" s="101" t="s">
        <v>236</v>
      </c>
      <c r="B93" s="17">
        <v>77000080</v>
      </c>
      <c r="C93" s="17">
        <v>25785375</v>
      </c>
      <c r="D93" s="17">
        <f t="shared" si="1"/>
        <v>25785375</v>
      </c>
      <c r="E93" s="49">
        <f>VLOOKUP($A93,'Data shares'!$C:$FA,128)*100</f>
        <v>16.989999999999998</v>
      </c>
      <c r="F93" s="49">
        <f>VLOOKUP($A93,'Data shares'!$C:$FA,129)</f>
        <v>2488750</v>
      </c>
      <c r="G93" s="17"/>
    </row>
    <row r="94" spans="1:7" x14ac:dyDescent="0.25">
      <c r="A94" s="101" t="s">
        <v>246</v>
      </c>
      <c r="B94" s="17">
        <v>293666614</v>
      </c>
      <c r="C94" s="17">
        <v>30730800</v>
      </c>
      <c r="D94" s="17">
        <f t="shared" si="1"/>
        <v>30730800</v>
      </c>
      <c r="E94" s="49">
        <f>VLOOKUP($A94,'Data shares'!$C:$FA,128)*100</f>
        <v>18.940000000000001</v>
      </c>
      <c r="F94" s="49">
        <f>VLOOKUP($A94,'Data shares'!$C:$FA,129)</f>
        <v>6015200</v>
      </c>
      <c r="G94" s="17"/>
    </row>
    <row r="95" spans="1:7" x14ac:dyDescent="0.25">
      <c r="A95" s="101" t="s">
        <v>532</v>
      </c>
      <c r="B95" s="17">
        <v>32892110</v>
      </c>
      <c r="C95" s="17">
        <v>6216000</v>
      </c>
      <c r="D95" s="17">
        <f t="shared" si="1"/>
        <v>6216000</v>
      </c>
      <c r="E95" s="49">
        <f>VLOOKUP($A95,'Data shares'!$C:$FA,128)*100</f>
        <v>0</v>
      </c>
      <c r="F95" s="49">
        <f>VLOOKUP($A95,'Data shares'!$C:$FA,129)</f>
        <v>0</v>
      </c>
      <c r="G95" s="17"/>
    </row>
    <row r="96" spans="1:7" x14ac:dyDescent="0.25">
      <c r="A96" s="101" t="s">
        <v>242</v>
      </c>
      <c r="B96" s="17">
        <v>2461627231</v>
      </c>
      <c r="C96" s="17">
        <v>322832000</v>
      </c>
      <c r="D96" s="17">
        <f t="shared" si="1"/>
        <v>322832000</v>
      </c>
      <c r="E96" s="49">
        <f>VLOOKUP($A96,'Data shares'!$C:$FA,128)*100</f>
        <v>12.920000000000002</v>
      </c>
      <c r="F96" s="49">
        <f>VLOOKUP($A96,'Data shares'!$C:$FA,129)</f>
        <v>11156800</v>
      </c>
      <c r="G96" s="17"/>
    </row>
    <row r="97" spans="1:7" x14ac:dyDescent="0.25">
      <c r="A97" s="101" t="s">
        <v>165</v>
      </c>
      <c r="B97" s="17">
        <v>20321931</v>
      </c>
      <c r="C97" s="17">
        <v>3675125</v>
      </c>
      <c r="D97" s="17">
        <f t="shared" si="1"/>
        <v>3675125</v>
      </c>
      <c r="E97" s="49">
        <f>VLOOKUP($A97,'Data shares'!$C:$FA,128)*100</f>
        <v>5.42</v>
      </c>
      <c r="F97" s="49">
        <f>VLOOKUP($A97,'Data shares'!$C:$FA,129)</f>
        <v>133250</v>
      </c>
      <c r="G97" s="17"/>
    </row>
    <row r="98" spans="1:7" x14ac:dyDescent="0.25">
      <c r="A98" s="101" t="s">
        <v>503</v>
      </c>
      <c r="B98" s="17">
        <v>17788750</v>
      </c>
      <c r="C98" s="17">
        <v>925925</v>
      </c>
      <c r="D98" s="17">
        <f t="shared" si="1"/>
        <v>925925</v>
      </c>
      <c r="E98" s="49">
        <f>VLOOKUP($A98,'Data shares'!$C:$FA,128)*100</f>
        <v>15.98</v>
      </c>
      <c r="F98" s="49">
        <f>VLOOKUP($A98,'Data shares'!$C:$FA,129)</f>
        <v>817700</v>
      </c>
      <c r="G98" s="17"/>
    </row>
    <row r="99" spans="1:7" x14ac:dyDescent="0.25">
      <c r="A99" s="101" t="s">
        <v>192</v>
      </c>
      <c r="B99" s="17">
        <v>1737683</v>
      </c>
      <c r="C99" s="17">
        <v>235900</v>
      </c>
      <c r="D99" s="17">
        <f t="shared" si="1"/>
        <v>235900</v>
      </c>
      <c r="E99" s="49">
        <f>VLOOKUP($A99,'Data shares'!$C:$FA,128)*100</f>
        <v>3.74</v>
      </c>
      <c r="F99" s="49">
        <f>VLOOKUP($A99,'Data shares'!$C:$FA,129)</f>
        <v>13050</v>
      </c>
      <c r="G99" s="17"/>
    </row>
    <row r="100" spans="1:7" x14ac:dyDescent="0.25">
      <c r="A100" s="101" t="s">
        <v>531</v>
      </c>
      <c r="B100" s="17">
        <v>33015657</v>
      </c>
      <c r="C100" s="17">
        <v>9033700</v>
      </c>
      <c r="D100" s="17">
        <f t="shared" si="1"/>
        <v>9033700</v>
      </c>
      <c r="E100" s="49">
        <f>VLOOKUP($A100,'Data shares'!$C:$FA,128)*100</f>
        <v>0</v>
      </c>
      <c r="F100" s="49">
        <f>VLOOKUP($A100,'Data shares'!$C:$FA,129)</f>
        <v>0</v>
      </c>
      <c r="G100" s="17"/>
    </row>
    <row r="101" spans="1:7" x14ac:dyDescent="0.25">
      <c r="A101" s="101" t="s">
        <v>494</v>
      </c>
      <c r="B101" s="17">
        <v>147873568</v>
      </c>
      <c r="C101" s="17">
        <v>20386400</v>
      </c>
      <c r="D101" s="17">
        <f t="shared" si="1"/>
        <v>20386400</v>
      </c>
      <c r="E101" s="49">
        <f>VLOOKUP($A101,'Data shares'!$C:$FA,128)*100</f>
        <v>5.35</v>
      </c>
      <c r="F101" s="49">
        <f>VLOOKUP($A101,'Data shares'!$C:$FA,129)</f>
        <v>1438200</v>
      </c>
      <c r="G101" s="17"/>
    </row>
    <row r="102" spans="1:7" x14ac:dyDescent="0.25">
      <c r="A102" s="101" t="s">
        <v>473</v>
      </c>
      <c r="B102" s="17">
        <v>162372116</v>
      </c>
      <c r="C102" s="17">
        <v>43206800</v>
      </c>
      <c r="D102" s="17">
        <f t="shared" si="1"/>
        <v>43206800</v>
      </c>
      <c r="E102" s="49">
        <f>VLOOKUP($A102,'Data shares'!$C:$FA,128)*100</f>
        <v>4.25</v>
      </c>
      <c r="F102" s="49">
        <f>VLOOKUP($A102,'Data shares'!$C:$FA,129)</f>
        <v>2065500</v>
      </c>
      <c r="G102" s="17"/>
    </row>
    <row r="103" spans="1:7" x14ac:dyDescent="0.25">
      <c r="A103" s="101" t="s">
        <v>225</v>
      </c>
      <c r="B103" s="17">
        <v>187118353</v>
      </c>
      <c r="C103" s="17">
        <v>49800300</v>
      </c>
      <c r="D103" s="17">
        <f t="shared" si="1"/>
        <v>49800300</v>
      </c>
      <c r="E103" s="49">
        <f>VLOOKUP($A103,'Data shares'!$C:$FA,128)*100</f>
        <v>9.26</v>
      </c>
      <c r="F103" s="49">
        <f>VLOOKUP($A103,'Data shares'!$C:$FA,129)</f>
        <v>2340800</v>
      </c>
      <c r="G103" s="17"/>
    </row>
    <row r="104" spans="1:7" x14ac:dyDescent="0.25">
      <c r="A104" s="101" t="s">
        <v>504</v>
      </c>
      <c r="B104" s="17">
        <v>12641694</v>
      </c>
      <c r="C104" s="17">
        <v>6728400</v>
      </c>
      <c r="D104" s="17">
        <f t="shared" si="1"/>
        <v>6728400</v>
      </c>
      <c r="E104" s="49">
        <f>VLOOKUP($A104,'Data shares'!$C:$FA,128)*100</f>
        <v>3.1199999999999997</v>
      </c>
      <c r="F104" s="49">
        <f>VLOOKUP($A104,'Data shares'!$C:$FA,129)</f>
        <v>112200</v>
      </c>
      <c r="G104" s="17"/>
    </row>
    <row r="105" spans="1:7" x14ac:dyDescent="0.25">
      <c r="A105" s="101" t="s">
        <v>537</v>
      </c>
      <c r="B105" s="17">
        <v>6343591</v>
      </c>
      <c r="C105" s="17">
        <v>1262250</v>
      </c>
      <c r="D105" s="17">
        <f t="shared" si="1"/>
        <v>1262250</v>
      </c>
      <c r="E105" s="49">
        <f>VLOOKUP($A105,'Data shares'!$C:$FA,128)*100</f>
        <v>10.27</v>
      </c>
      <c r="F105" s="49">
        <f>VLOOKUP($A105,'Data shares'!$C:$FA,129)</f>
        <v>710625</v>
      </c>
      <c r="G105" s="17"/>
    </row>
    <row r="106" spans="1:7" x14ac:dyDescent="0.25">
      <c r="A106" s="101" t="s">
        <v>256</v>
      </c>
      <c r="B106" s="17">
        <v>62880735</v>
      </c>
      <c r="C106" s="17">
        <v>20391250</v>
      </c>
      <c r="D106" s="17">
        <f t="shared" si="1"/>
        <v>20391250</v>
      </c>
      <c r="E106" s="49">
        <f>VLOOKUP($A106,'Data shares'!$C:$FA,128)*100</f>
        <v>11.57</v>
      </c>
      <c r="F106" s="49">
        <f>VLOOKUP($A106,'Data shares'!$C:$FA,129)</f>
        <v>323050</v>
      </c>
      <c r="G106" s="17"/>
    </row>
    <row r="107" spans="1:7" x14ac:dyDescent="0.25">
      <c r="A107" s="101" t="s">
        <v>514</v>
      </c>
      <c r="B107" s="17">
        <v>179174844</v>
      </c>
      <c r="C107" s="17">
        <v>67477500</v>
      </c>
      <c r="D107" s="17">
        <f t="shared" si="1"/>
        <v>67477500</v>
      </c>
      <c r="E107" s="49">
        <f>VLOOKUP($A107,'Data shares'!$C:$FA,128)*100</f>
        <v>15.17</v>
      </c>
      <c r="F107" s="49">
        <f>VLOOKUP($A107,'Data shares'!$C:$FA,129)</f>
        <v>3506250</v>
      </c>
      <c r="G107" s="17"/>
    </row>
    <row r="108" spans="1:7" x14ac:dyDescent="0.25">
      <c r="A108" s="101" t="s">
        <v>272</v>
      </c>
      <c r="B108" s="17">
        <v>150000017</v>
      </c>
      <c r="C108" s="17">
        <v>35217000</v>
      </c>
      <c r="D108" s="17">
        <f t="shared" si="1"/>
        <v>35217000</v>
      </c>
      <c r="E108" s="49">
        <f>VLOOKUP($A108,'Data shares'!$C:$FA,128)*100</f>
        <v>11.14</v>
      </c>
      <c r="F108" s="49">
        <f>VLOOKUP($A108,'Data shares'!$C:$FA,129)</f>
        <v>4008600</v>
      </c>
      <c r="G108" s="17"/>
    </row>
    <row r="109" spans="1:7" x14ac:dyDescent="0.25">
      <c r="A109" s="101" t="s">
        <v>470</v>
      </c>
      <c r="B109" s="17">
        <v>6091932</v>
      </c>
      <c r="C109" s="17">
        <v>1893300</v>
      </c>
      <c r="D109" s="17">
        <f t="shared" si="1"/>
        <v>1893300</v>
      </c>
      <c r="E109" s="49">
        <f>VLOOKUP($A109,'Data shares'!$C:$FA,128)*100</f>
        <v>3.91</v>
      </c>
      <c r="F109" s="49">
        <f>VLOOKUP($A109,'Data shares'!$C:$FA,129)</f>
        <v>376125</v>
      </c>
      <c r="G109" s="17"/>
    </row>
    <row r="110" spans="1:7" x14ac:dyDescent="0.25">
      <c r="A110" s="101" t="s">
        <v>176</v>
      </c>
      <c r="B110" s="17">
        <v>12437219</v>
      </c>
      <c r="C110" s="17">
        <v>1155950</v>
      </c>
      <c r="D110" s="17">
        <f t="shared" si="1"/>
        <v>1155950</v>
      </c>
      <c r="E110" s="49">
        <f>VLOOKUP($A110,'Data shares'!$C:$FA,128)*100</f>
        <v>5.34</v>
      </c>
      <c r="F110" s="49">
        <f>VLOOKUP($A110,'Data shares'!$C:$FA,129)</f>
        <v>716500</v>
      </c>
      <c r="G110" s="17"/>
    </row>
    <row r="111" spans="1:7" x14ac:dyDescent="0.25">
      <c r="A111" s="101" t="s">
        <v>524</v>
      </c>
      <c r="B111" s="17">
        <v>16479425</v>
      </c>
      <c r="C111" s="17">
        <v>1670750</v>
      </c>
      <c r="D111" s="17">
        <f t="shared" si="1"/>
        <v>1670750</v>
      </c>
      <c r="E111" s="49">
        <f>VLOOKUP($A111,'Data shares'!$C:$FA,128)*100</f>
        <v>8.52</v>
      </c>
      <c r="F111" s="49">
        <f>VLOOKUP($A111,'Data shares'!$C:$FA,129)</f>
        <v>106600</v>
      </c>
      <c r="G111" s="17"/>
    </row>
    <row r="112" spans="1:7" x14ac:dyDescent="0.25">
      <c r="A112" s="101" t="s">
        <v>487</v>
      </c>
      <c r="B112" s="17">
        <v>16533935</v>
      </c>
      <c r="C112" s="17">
        <v>1807050</v>
      </c>
      <c r="D112" s="17">
        <f t="shared" si="1"/>
        <v>1807050</v>
      </c>
      <c r="E112" s="49">
        <f>VLOOKUP($A112,'Data shares'!$C:$FA,128)*100</f>
        <v>1.91</v>
      </c>
      <c r="F112" s="49">
        <f>VLOOKUP($A112,'Data shares'!$C:$FA,129)</f>
        <v>80300</v>
      </c>
      <c r="G112" s="17"/>
    </row>
    <row r="113" spans="1:7" x14ac:dyDescent="0.25">
      <c r="A113" s="101" t="s">
        <v>305</v>
      </c>
      <c r="B113" s="17">
        <v>46126252</v>
      </c>
      <c r="C113" s="17">
        <v>7513500</v>
      </c>
      <c r="D113" s="17">
        <f t="shared" si="1"/>
        <v>7513500</v>
      </c>
      <c r="E113" s="49">
        <f>VLOOKUP($A113,'Data shares'!$C:$FA,128)*100</f>
        <v>10.27</v>
      </c>
      <c r="F113" s="49">
        <f>VLOOKUP($A113,'Data shares'!$C:$FA,129)</f>
        <v>710625</v>
      </c>
      <c r="G113" s="17"/>
    </row>
    <row r="114" spans="1:7" x14ac:dyDescent="0.25">
      <c r="A114" s="101" t="s">
        <v>238</v>
      </c>
      <c r="B114" s="17">
        <v>19428657</v>
      </c>
      <c r="C114" s="17">
        <v>5637750</v>
      </c>
      <c r="D114" s="17">
        <f t="shared" si="1"/>
        <v>5637750</v>
      </c>
      <c r="E114" s="49">
        <f>VLOOKUP($A114,'Data shares'!$C:$FA,128)*100</f>
        <v>4.26</v>
      </c>
      <c r="F114" s="49">
        <f>VLOOKUP($A114,'Data shares'!$C:$FA,129)</f>
        <v>216150</v>
      </c>
      <c r="G114" s="17"/>
    </row>
    <row r="115" spans="1:7" x14ac:dyDescent="0.25">
      <c r="A115" s="101" t="s">
        <v>527</v>
      </c>
      <c r="B115" s="17">
        <v>7494363</v>
      </c>
      <c r="C115" s="17">
        <v>739375</v>
      </c>
      <c r="D115" s="17">
        <f t="shared" si="1"/>
        <v>739375</v>
      </c>
      <c r="E115" s="49">
        <f>VLOOKUP($A115,'Data shares'!$C:$FA,128)*100</f>
        <v>29.970000000000002</v>
      </c>
      <c r="F115" s="49">
        <f>VLOOKUP($A115,'Data shares'!$C:$FA,129)</f>
        <v>32148000</v>
      </c>
      <c r="G115" s="17"/>
    </row>
    <row r="116" spans="1:7" x14ac:dyDescent="0.25">
      <c r="A116" s="101" t="s">
        <v>489</v>
      </c>
      <c r="B116" s="17">
        <v>9087752</v>
      </c>
      <c r="C116" s="17">
        <v>1575750</v>
      </c>
      <c r="D116" s="17">
        <f t="shared" si="1"/>
        <v>1575750</v>
      </c>
      <c r="E116" s="49">
        <f>VLOOKUP($A116,'Data shares'!$C:$FA,128)*100</f>
        <v>18.95</v>
      </c>
      <c r="F116" s="49">
        <f>VLOOKUP($A116,'Data shares'!$C:$FA,129)</f>
        <v>9709312</v>
      </c>
      <c r="G116" s="17"/>
    </row>
    <row r="117" spans="1:7" x14ac:dyDescent="0.25">
      <c r="A117" s="101" t="s">
        <v>484</v>
      </c>
      <c r="B117" s="17">
        <v>3300938</v>
      </c>
      <c r="C117" s="17">
        <v>190125</v>
      </c>
      <c r="D117" s="17">
        <f t="shared" si="1"/>
        <v>190125</v>
      </c>
      <c r="E117" s="49">
        <f>VLOOKUP($A117,'Data shares'!$C:$FA,128)*100</f>
        <v>10.23</v>
      </c>
      <c r="F117" s="49">
        <f>VLOOKUP($A117,'Data shares'!$C:$FA,129)</f>
        <v>4579900</v>
      </c>
      <c r="G117" s="17"/>
    </row>
    <row r="118" spans="1:7" x14ac:dyDescent="0.25">
      <c r="A118" s="101" t="s">
        <v>285</v>
      </c>
      <c r="B118" s="17">
        <v>17806068</v>
      </c>
      <c r="C118" s="17">
        <v>1857900</v>
      </c>
      <c r="D118" s="17">
        <f t="shared" si="1"/>
        <v>1857900</v>
      </c>
      <c r="E118" s="49">
        <f>VLOOKUP($A118,'Data shares'!$C:$FA,128)*100</f>
        <v>10.38</v>
      </c>
      <c r="F118" s="49">
        <f>VLOOKUP($A118,'Data shares'!$C:$FA,129)</f>
        <v>246750</v>
      </c>
      <c r="G118" s="17"/>
    </row>
    <row r="119" spans="1:7" x14ac:dyDescent="0.25">
      <c r="A119" s="101" t="s">
        <v>554</v>
      </c>
      <c r="B119" s="17">
        <v>18562709</v>
      </c>
      <c r="C119" s="17">
        <v>2173500</v>
      </c>
      <c r="D119" s="17">
        <f t="shared" si="1"/>
        <v>2173500</v>
      </c>
      <c r="E119" s="49">
        <f>VLOOKUP($A119,'Data shares'!$C:$FA,128)*100</f>
        <v>15.14</v>
      </c>
      <c r="F119" s="49">
        <f>VLOOKUP($A119,'Data shares'!$C:$FA,129)</f>
        <v>6414525</v>
      </c>
      <c r="G119" s="17"/>
    </row>
    <row r="120" spans="1:7" x14ac:dyDescent="0.25">
      <c r="A120" s="101" t="s">
        <v>293</v>
      </c>
      <c r="B120" s="17">
        <v>339616396</v>
      </c>
      <c r="C120" s="17">
        <v>214528500</v>
      </c>
      <c r="D120" s="17">
        <f t="shared" si="1"/>
        <v>214528500</v>
      </c>
      <c r="E120" s="49">
        <f>VLOOKUP($A120,'Data shares'!$C:$FA,128)*100</f>
        <v>9.5200000000000014</v>
      </c>
      <c r="F120" s="49">
        <f>VLOOKUP($A120,'Data shares'!$C:$FA,129)</f>
        <v>5137350</v>
      </c>
      <c r="G120" s="17"/>
    </row>
    <row r="121" spans="1:7" x14ac:dyDescent="0.25">
      <c r="A121" s="101" t="s">
        <v>282</v>
      </c>
      <c r="B121" s="17">
        <v>289139949</v>
      </c>
      <c r="C121" s="17">
        <v>230878500</v>
      </c>
      <c r="D121" s="17">
        <f t="shared" si="1"/>
        <v>230878500</v>
      </c>
      <c r="E121" s="49">
        <f>VLOOKUP($A121,'Data shares'!$C:$FA,128)*100</f>
        <v>13.48</v>
      </c>
      <c r="F121" s="49">
        <f>VLOOKUP($A121,'Data shares'!$C:$FA,129)</f>
        <v>17216100</v>
      </c>
      <c r="G121" s="17"/>
    </row>
    <row r="122" spans="1:7" x14ac:dyDescent="0.25">
      <c r="A122" s="101" t="s">
        <v>248</v>
      </c>
      <c r="B122" s="17">
        <v>60244101</v>
      </c>
      <c r="C122" s="17">
        <v>36578000</v>
      </c>
      <c r="D122" s="17">
        <f t="shared" si="1"/>
        <v>36578000</v>
      </c>
      <c r="E122" s="49">
        <f>VLOOKUP($A122,'Data shares'!$C:$FA,128)*100</f>
        <v>19.96</v>
      </c>
      <c r="F122" s="49">
        <f>VLOOKUP($A122,'Data shares'!$C:$FA,129)</f>
        <v>4997000</v>
      </c>
      <c r="G122" s="17"/>
    </row>
    <row r="123" spans="1:7" x14ac:dyDescent="0.25">
      <c r="A123" s="101" t="s">
        <v>189</v>
      </c>
      <c r="B123" s="17">
        <v>510707358</v>
      </c>
      <c r="C123" s="17">
        <v>94385350</v>
      </c>
      <c r="D123" s="17">
        <f t="shared" si="1"/>
        <v>94385350</v>
      </c>
      <c r="E123" s="49">
        <f>VLOOKUP($A123,'Data shares'!$C:$FA,128)*100</f>
        <v>13.239999999999998</v>
      </c>
      <c r="F123" s="49">
        <f>VLOOKUP($A123,'Data shares'!$C:$FA,129)</f>
        <v>6417250</v>
      </c>
      <c r="G123" s="17"/>
    </row>
    <row r="124" spans="1:7" x14ac:dyDescent="0.25">
      <c r="A124" s="101" t="s">
        <v>213</v>
      </c>
      <c r="B124" s="17">
        <v>425164259</v>
      </c>
      <c r="C124" s="17">
        <v>85375600</v>
      </c>
      <c r="D124" s="17">
        <f t="shared" si="1"/>
        <v>85375600</v>
      </c>
      <c r="E124" s="49">
        <f>VLOOKUP($A124,'Data shares'!$C:$FA,128)*100</f>
        <v>25.21</v>
      </c>
      <c r="F124" s="49">
        <f>VLOOKUP($A124,'Data shares'!$C:$FA,129)</f>
        <v>26176500</v>
      </c>
      <c r="G124" s="17"/>
    </row>
    <row r="125" spans="1:7" x14ac:dyDescent="0.25">
      <c r="A125" s="101" t="s">
        <v>295</v>
      </c>
      <c r="B125" s="17">
        <v>205769415</v>
      </c>
      <c r="C125" s="17">
        <v>21452100</v>
      </c>
      <c r="D125" s="17">
        <f t="shared" si="1"/>
        <v>21452100</v>
      </c>
      <c r="E125" s="49">
        <f>VLOOKUP($A125,'Data shares'!$C:$FA,128)*100</f>
        <v>20.29</v>
      </c>
      <c r="F125" s="49">
        <f>VLOOKUP($A125,'Data shares'!$C:$FA,129)</f>
        <v>5515125</v>
      </c>
      <c r="G125" s="17"/>
    </row>
    <row r="126" spans="1:7" x14ac:dyDescent="0.25">
      <c r="A126" s="101" t="s">
        <v>490</v>
      </c>
      <c r="B126" s="17">
        <v>52165566</v>
      </c>
      <c r="C126" s="17">
        <v>22212750</v>
      </c>
      <c r="D126" s="17">
        <f t="shared" si="1"/>
        <v>22212750</v>
      </c>
      <c r="E126" s="49">
        <f>VLOOKUP($A126,'Data shares'!$C:$FA,128)*100</f>
        <v>15.78</v>
      </c>
      <c r="F126" s="49">
        <f>VLOOKUP($A126,'Data shares'!$C:$FA,129)</f>
        <v>1853250</v>
      </c>
      <c r="G126" s="17"/>
    </row>
    <row r="127" spans="1:7" x14ac:dyDescent="0.25">
      <c r="A127" s="101" t="s">
        <v>260</v>
      </c>
      <c r="B127" s="17">
        <v>241729538</v>
      </c>
      <c r="C127" s="17">
        <v>65383500</v>
      </c>
      <c r="D127" s="17">
        <f t="shared" si="1"/>
        <v>65383500</v>
      </c>
      <c r="E127" s="49">
        <f>VLOOKUP($A127,'Data shares'!$C:$FA,128)*100</f>
        <v>6.3299999999999992</v>
      </c>
      <c r="F127" s="49">
        <f>VLOOKUP($A127,'Data shares'!$C:$FA,129)</f>
        <v>7410750</v>
      </c>
      <c r="G127" s="17"/>
    </row>
    <row r="128" spans="1:7" x14ac:dyDescent="0.25">
      <c r="A128" s="101" t="s">
        <v>171</v>
      </c>
      <c r="B128" s="17">
        <v>56444627</v>
      </c>
      <c r="C128" s="17">
        <v>23336250</v>
      </c>
      <c r="D128" s="17">
        <f t="shared" si="1"/>
        <v>23336250</v>
      </c>
      <c r="E128" s="49">
        <f>VLOOKUP($A128,'Data shares'!$C:$FA,128)*100</f>
        <v>15.299999999999999</v>
      </c>
      <c r="F128" s="49">
        <f>VLOOKUP($A128,'Data shares'!$C:$FA,129)</f>
        <v>2428800</v>
      </c>
      <c r="G128" s="17"/>
    </row>
    <row r="129" spans="1:7" x14ac:dyDescent="0.25">
      <c r="A129" s="101" t="s">
        <v>462</v>
      </c>
      <c r="B129" s="17">
        <v>88648462</v>
      </c>
      <c r="C129" s="17">
        <v>11150250</v>
      </c>
      <c r="D129" s="17">
        <f t="shared" si="1"/>
        <v>11150250</v>
      </c>
      <c r="E129" s="49">
        <f>VLOOKUP($A129,'Data shares'!$C:$FA,128)*100</f>
        <v>5.17</v>
      </c>
      <c r="F129" s="49">
        <f>VLOOKUP($A129,'Data shares'!$C:$FA,129)</f>
        <v>374250</v>
      </c>
      <c r="G129" s="17"/>
    </row>
    <row r="130" spans="1:7" x14ac:dyDescent="0.25">
      <c r="A130" s="101" t="s">
        <v>274</v>
      </c>
      <c r="B130" s="17">
        <v>30511703</v>
      </c>
      <c r="C130" s="17">
        <v>3556000</v>
      </c>
      <c r="D130" s="17">
        <f t="shared" si="1"/>
        <v>3556000</v>
      </c>
      <c r="E130" s="49">
        <f>VLOOKUP($A130,'Data shares'!$C:$FA,128)*100</f>
        <v>4.0599999999999996</v>
      </c>
      <c r="F130" s="49">
        <f>VLOOKUP($A130,'Data shares'!$C:$FA,129)</f>
        <v>104250</v>
      </c>
      <c r="G130" s="17"/>
    </row>
    <row r="131" spans="1:7" x14ac:dyDescent="0.25">
      <c r="A131" s="101" t="s">
        <v>279</v>
      </c>
      <c r="B131" s="17">
        <v>119890099</v>
      </c>
      <c r="C131" s="17">
        <v>77232800</v>
      </c>
      <c r="D131" s="17">
        <f t="shared" si="1"/>
        <v>77232800</v>
      </c>
      <c r="E131" s="49">
        <f>VLOOKUP($A131,'Data shares'!$C:$FA,128)*100</f>
        <v>31.419999999999998</v>
      </c>
      <c r="F131" s="49">
        <f>VLOOKUP($A131,'Data shares'!$C:$FA,129)</f>
        <v>26882725</v>
      </c>
      <c r="G131" s="17"/>
    </row>
    <row r="132" spans="1:7" x14ac:dyDescent="0.25">
      <c r="A132" s="101" t="s">
        <v>247</v>
      </c>
      <c r="B132" s="17">
        <v>180580821</v>
      </c>
      <c r="C132" s="17">
        <v>128041552</v>
      </c>
      <c r="D132" s="17">
        <f t="shared" si="1"/>
        <v>128041552</v>
      </c>
      <c r="E132" s="49">
        <f>VLOOKUP($A132,'Data shares'!$C:$FA,128)*100</f>
        <v>8.57</v>
      </c>
      <c r="F132" s="49">
        <f>VLOOKUP($A132,'Data shares'!$C:$FA,129)</f>
        <v>385200</v>
      </c>
      <c r="G132" s="17"/>
    </row>
    <row r="133" spans="1:7" x14ac:dyDescent="0.25">
      <c r="A133" s="101" t="s">
        <v>291</v>
      </c>
      <c r="B133" s="17">
        <v>120211514</v>
      </c>
      <c r="C133" s="17">
        <v>18359325</v>
      </c>
      <c r="D133" s="17">
        <f t="shared" si="1"/>
        <v>18359325</v>
      </c>
      <c r="E133" s="49">
        <f>VLOOKUP($A133,'Data shares'!$C:$FA,128)*100</f>
        <v>5.52</v>
      </c>
      <c r="F133" s="49">
        <f>VLOOKUP($A133,'Data shares'!$C:$FA,129)</f>
        <v>667150</v>
      </c>
      <c r="G133" s="17"/>
    </row>
    <row r="134" spans="1:7" x14ac:dyDescent="0.25">
      <c r="A134" s="101" t="s">
        <v>269</v>
      </c>
      <c r="B134" s="17">
        <v>996134149</v>
      </c>
      <c r="C134" s="17">
        <v>204565900</v>
      </c>
      <c r="D134" s="17">
        <f t="shared" si="1"/>
        <v>204565900</v>
      </c>
      <c r="E134" s="49">
        <f>VLOOKUP($A134,'Data shares'!$C:$FA,128)*100</f>
        <v>23.61</v>
      </c>
      <c r="F134" s="49">
        <f>VLOOKUP($A134,'Data shares'!$C:$FA,129)</f>
        <v>21485250</v>
      </c>
      <c r="G134" s="17"/>
    </row>
    <row r="135" spans="1:7" x14ac:dyDescent="0.25">
      <c r="A135" s="101" t="s">
        <v>217</v>
      </c>
      <c r="B135" s="17">
        <v>75218562</v>
      </c>
      <c r="C135" s="17">
        <v>11613000</v>
      </c>
      <c r="D135" s="17">
        <f t="shared" ref="D135:D161" si="2">C135</f>
        <v>11613000</v>
      </c>
      <c r="E135" s="49">
        <f>VLOOKUP($A135,'Data shares'!$C:$FA,128)*100</f>
        <v>5.83</v>
      </c>
      <c r="F135" s="49">
        <f>VLOOKUP($A135,'Data shares'!$C:$FA,129)</f>
        <v>612500</v>
      </c>
      <c r="G135" s="17"/>
    </row>
    <row r="136" spans="1:7" x14ac:dyDescent="0.25">
      <c r="A136" s="101" t="s">
        <v>495</v>
      </c>
      <c r="B136" s="17">
        <v>44974045</v>
      </c>
      <c r="C136" s="17">
        <v>4232500</v>
      </c>
      <c r="D136" s="17">
        <f t="shared" si="2"/>
        <v>4232500</v>
      </c>
      <c r="E136" s="49">
        <f>VLOOKUP($A136,'Data shares'!$C:$FA,128)*100</f>
        <v>16.78</v>
      </c>
      <c r="F136" s="49">
        <f>VLOOKUP($A136,'Data shares'!$C:$FA,129)</f>
        <v>2543000</v>
      </c>
      <c r="G136" s="17"/>
    </row>
    <row r="137" spans="1:7" x14ac:dyDescent="0.25">
      <c r="A137" s="101" t="s">
        <v>250</v>
      </c>
      <c r="B137" s="17">
        <v>48318354</v>
      </c>
      <c r="C137" s="17">
        <v>18007250</v>
      </c>
      <c r="D137" s="17">
        <f t="shared" si="2"/>
        <v>18007250</v>
      </c>
      <c r="E137" s="49">
        <f>VLOOKUP($A137,'Data shares'!$C:$FA,128)*100</f>
        <v>6.99</v>
      </c>
      <c r="F137" s="49">
        <f>VLOOKUP($A137,'Data shares'!$C:$FA,129)</f>
        <v>671075</v>
      </c>
      <c r="G137" s="17"/>
    </row>
    <row r="138" spans="1:7" x14ac:dyDescent="0.25">
      <c r="A138" s="101" t="s">
        <v>278</v>
      </c>
      <c r="B138" s="17">
        <v>27187764</v>
      </c>
      <c r="C138" s="17">
        <v>3521550</v>
      </c>
      <c r="D138" s="17">
        <f t="shared" si="2"/>
        <v>3521550</v>
      </c>
      <c r="E138" s="49">
        <f>VLOOKUP($A138,'Data shares'!$C:$FA,128)*100</f>
        <v>7.16</v>
      </c>
      <c r="F138" s="49">
        <f>VLOOKUP($A138,'Data shares'!$C:$FA,129)</f>
        <v>323100</v>
      </c>
      <c r="G138" s="17"/>
    </row>
    <row r="139" spans="1:7" x14ac:dyDescent="0.25">
      <c r="A139" s="101" t="s">
        <v>163</v>
      </c>
      <c r="B139" s="17">
        <v>24576009</v>
      </c>
      <c r="C139" s="17">
        <v>11979000</v>
      </c>
      <c r="D139" s="17">
        <f t="shared" si="2"/>
        <v>11979000</v>
      </c>
      <c r="E139" s="49">
        <f>VLOOKUP($A139,'Data shares'!$C:$FA,128)*100</f>
        <v>5.63</v>
      </c>
      <c r="F139" s="49">
        <f>VLOOKUP($A139,'Data shares'!$C:$FA,129)</f>
        <v>63500</v>
      </c>
      <c r="G139" s="17"/>
    </row>
    <row r="140" spans="1:7" x14ac:dyDescent="0.25">
      <c r="A140" s="101" t="s">
        <v>289</v>
      </c>
      <c r="B140" s="17">
        <v>19704232</v>
      </c>
      <c r="C140" s="17">
        <v>15520500</v>
      </c>
      <c r="D140" s="17">
        <f t="shared" si="2"/>
        <v>15520500</v>
      </c>
      <c r="E140" s="49">
        <f>VLOOKUP($A140,'Data shares'!$C:$FA,128)*100</f>
        <v>9.5399999999999991</v>
      </c>
      <c r="F140" s="49">
        <f>VLOOKUP($A140,'Data shares'!$C:$FA,129)</f>
        <v>1749650</v>
      </c>
      <c r="G140" s="17"/>
    </row>
    <row r="141" spans="1:7" x14ac:dyDescent="0.25">
      <c r="A141" s="101" t="s">
        <v>529</v>
      </c>
      <c r="B141" s="17">
        <v>10012679</v>
      </c>
      <c r="C141" s="17">
        <v>530550</v>
      </c>
      <c r="D141" s="17">
        <f t="shared" si="2"/>
        <v>530550</v>
      </c>
      <c r="E141" s="49">
        <f>VLOOKUP($A141,'Data shares'!$C:$FA,128)*100</f>
        <v>6.43</v>
      </c>
      <c r="F141" s="49">
        <f>VLOOKUP($A141,'Data shares'!$C:$FA,129)</f>
        <v>162700</v>
      </c>
      <c r="G141" s="17"/>
    </row>
    <row r="142" spans="1:7" x14ac:dyDescent="0.25">
      <c r="A142" s="101" t="s">
        <v>265</v>
      </c>
      <c r="B142" s="17">
        <v>7180127</v>
      </c>
      <c r="C142" s="17">
        <v>429550</v>
      </c>
      <c r="D142" s="17">
        <f t="shared" si="2"/>
        <v>429550</v>
      </c>
      <c r="E142" s="49">
        <f>VLOOKUP($A142,'Data shares'!$C:$FA,128)*100</f>
        <v>3.7800000000000002</v>
      </c>
      <c r="F142" s="49">
        <f>VLOOKUP($A142,'Data shares'!$C:$FA,129)</f>
        <v>333750</v>
      </c>
      <c r="G142" s="17"/>
    </row>
    <row r="143" spans="1:7" x14ac:dyDescent="0.25">
      <c r="A143" s="101" t="s">
        <v>486</v>
      </c>
      <c r="B143" s="17">
        <v>32559242</v>
      </c>
      <c r="C143" s="17">
        <v>4156800</v>
      </c>
      <c r="D143" s="17">
        <f t="shared" si="2"/>
        <v>4156800</v>
      </c>
      <c r="E143" s="49">
        <f>VLOOKUP($A143,'Data shares'!$C:$FA,128)*100</f>
        <v>8.75</v>
      </c>
      <c r="F143" s="49">
        <f>VLOOKUP($A143,'Data shares'!$C:$FA,129)</f>
        <v>360800</v>
      </c>
      <c r="G143" s="17"/>
    </row>
    <row r="144" spans="1:7" x14ac:dyDescent="0.25">
      <c r="A144" s="101" t="s">
        <v>190</v>
      </c>
      <c r="B144" s="17">
        <v>256482590</v>
      </c>
      <c r="C144" s="17">
        <v>208761000</v>
      </c>
      <c r="D144" s="17">
        <f t="shared" si="2"/>
        <v>208761000</v>
      </c>
      <c r="E144" s="49">
        <f>VLOOKUP($A144,'Data shares'!$C:$FA,128)*100</f>
        <v>9.26</v>
      </c>
      <c r="F144" s="49">
        <f>VLOOKUP($A144,'Data shares'!$C:$FA,129)</f>
        <v>4428375</v>
      </c>
      <c r="G144" s="17"/>
    </row>
    <row r="145" spans="1:7" x14ac:dyDescent="0.25">
      <c r="A145" s="101" t="s">
        <v>303</v>
      </c>
      <c r="B145" s="17">
        <v>109653438</v>
      </c>
      <c r="C145" s="17">
        <v>37709100</v>
      </c>
      <c r="D145" s="17">
        <f t="shared" si="2"/>
        <v>37709100</v>
      </c>
      <c r="E145" s="49">
        <f>VLOOKUP($A145,'Data shares'!$C:$FA,128)*100</f>
        <v>14.17</v>
      </c>
      <c r="F145" s="49">
        <f>VLOOKUP($A145,'Data shares'!$C:$FA,129)</f>
        <v>4716755</v>
      </c>
      <c r="G145" s="17"/>
    </row>
    <row r="146" spans="1:7" x14ac:dyDescent="0.25">
      <c r="A146" s="101" t="s">
        <v>255</v>
      </c>
      <c r="B146" s="17">
        <v>26359259</v>
      </c>
      <c r="C146" s="17">
        <v>6916100</v>
      </c>
      <c r="D146" s="17">
        <f t="shared" si="2"/>
        <v>6916100</v>
      </c>
      <c r="E146" s="49">
        <f>VLOOKUP($A146,'Data shares'!$C:$FA,128)*100</f>
        <v>6.45</v>
      </c>
      <c r="F146" s="49">
        <f>VLOOKUP($A146,'Data shares'!$C:$FA,129)</f>
        <v>190750</v>
      </c>
      <c r="G146" s="17"/>
    </row>
    <row r="147" spans="1:7" x14ac:dyDescent="0.25">
      <c r="A147" s="101" t="s">
        <v>180</v>
      </c>
      <c r="B147" s="17">
        <v>372635498</v>
      </c>
      <c r="C147" s="17">
        <v>233426700</v>
      </c>
      <c r="D147" s="17">
        <f t="shared" si="2"/>
        <v>233426700</v>
      </c>
      <c r="E147" s="49">
        <f>VLOOKUP($A147,'Data shares'!$C:$FA,128)*100</f>
        <v>17.68</v>
      </c>
      <c r="F147" s="49">
        <f>VLOOKUP($A147,'Data shares'!$C:$FA,129)</f>
        <v>16213275</v>
      </c>
      <c r="G147" s="17"/>
    </row>
    <row r="148" spans="1:7" x14ac:dyDescent="0.25">
      <c r="A148" s="101" t="s">
        <v>179</v>
      </c>
      <c r="B148" s="17">
        <v>193321473</v>
      </c>
      <c r="C148" s="17">
        <v>47098800</v>
      </c>
      <c r="D148" s="17">
        <f t="shared" si="2"/>
        <v>47098800</v>
      </c>
      <c r="E148" s="49">
        <f>VLOOKUP($A148,'Data shares'!$C:$FA,128)*100</f>
        <v>36.449999999999996</v>
      </c>
      <c r="F148" s="49">
        <f>VLOOKUP($A148,'Data shares'!$C:$FA,129)</f>
        <v>40093200</v>
      </c>
    </row>
    <row r="149" spans="1:7" x14ac:dyDescent="0.25">
      <c r="A149" s="101" t="s">
        <v>253</v>
      </c>
      <c r="B149" s="17">
        <v>109926618</v>
      </c>
      <c r="C149" s="17">
        <v>54285000</v>
      </c>
      <c r="D149" s="17">
        <f t="shared" si="2"/>
        <v>54285000</v>
      </c>
      <c r="E149" s="49">
        <f>VLOOKUP($A149,'Data shares'!$C:$FA,128)*100</f>
        <v>6.83</v>
      </c>
      <c r="F149" s="49">
        <f>VLOOKUP($A149,'Data shares'!$C:$FA,129)</f>
        <v>1530000</v>
      </c>
    </row>
    <row r="150" spans="1:7" x14ac:dyDescent="0.25">
      <c r="A150" s="101" t="s">
        <v>261</v>
      </c>
      <c r="B150" s="17">
        <v>611563</v>
      </c>
      <c r="C150" s="17">
        <v>120180</v>
      </c>
      <c r="D150" s="17">
        <f t="shared" si="2"/>
        <v>120180</v>
      </c>
      <c r="E150" s="49">
        <f>VLOOKUP($A150,'Data shares'!$C:$FA,128)*100</f>
        <v>1.91</v>
      </c>
      <c r="F150" s="49">
        <f>VLOOKUP($A150,'Data shares'!$C:$FA,129)</f>
        <v>80300</v>
      </c>
    </row>
    <row r="151" spans="1:7" x14ac:dyDescent="0.25">
      <c r="A151" s="101" t="s">
        <v>164</v>
      </c>
      <c r="B151" s="17">
        <v>145854205</v>
      </c>
      <c r="C151" s="17">
        <v>46824000</v>
      </c>
      <c r="D151" s="17">
        <f t="shared" si="2"/>
        <v>46824000</v>
      </c>
      <c r="E151" s="49">
        <f>VLOOKUP($A151,'Data shares'!$C:$FA,128)*100</f>
        <v>6.2600000000000007</v>
      </c>
      <c r="F151" s="49">
        <f>VLOOKUP($A151,'Data shares'!$C:$FA,129)</f>
        <v>1441650</v>
      </c>
    </row>
    <row r="152" spans="1:7" x14ac:dyDescent="0.25">
      <c r="A152" s="101" t="s">
        <v>526</v>
      </c>
      <c r="B152" s="17">
        <v>44365911</v>
      </c>
      <c r="C152" s="17">
        <v>20668300</v>
      </c>
      <c r="D152" s="17">
        <f t="shared" si="2"/>
        <v>20668300</v>
      </c>
      <c r="E152" s="49">
        <f>VLOOKUP($A152,'Data shares'!$C:$FA,128)*100</f>
        <v>7.23</v>
      </c>
      <c r="F152" s="49">
        <f>VLOOKUP($A152,'Data shares'!$C:$FA,129)</f>
        <v>1745000</v>
      </c>
    </row>
    <row r="153" spans="1:7" x14ac:dyDescent="0.25">
      <c r="A153" s="101" t="s">
        <v>515</v>
      </c>
      <c r="B153" s="17">
        <v>3083179</v>
      </c>
      <c r="C153" s="17">
        <v>492075</v>
      </c>
      <c r="D153" s="17">
        <f t="shared" si="2"/>
        <v>492075</v>
      </c>
      <c r="E153" s="49">
        <f>VLOOKUP($A153,'Data shares'!$C:$FA,128)*100</f>
        <v>7.23</v>
      </c>
      <c r="F153" s="49">
        <f>VLOOKUP($A153,'Data shares'!$C:$FA,129)</f>
        <v>1745000</v>
      </c>
    </row>
    <row r="154" spans="1:7" x14ac:dyDescent="0.25">
      <c r="A154" s="101" t="s">
        <v>226</v>
      </c>
      <c r="B154" s="17">
        <v>26072630</v>
      </c>
      <c r="C154" s="17">
        <v>9897900</v>
      </c>
      <c r="D154" s="17">
        <f t="shared" si="2"/>
        <v>9897900</v>
      </c>
      <c r="E154" s="49">
        <f>VLOOKUP($A154,'Data shares'!$C:$FA,128)*100</f>
        <v>9.8000000000000007</v>
      </c>
      <c r="F154" s="49">
        <f>VLOOKUP($A154,'Data shares'!$C:$FA,129)</f>
        <v>496500</v>
      </c>
    </row>
    <row r="155" spans="1:7" x14ac:dyDescent="0.25">
      <c r="A155" s="101" t="s">
        <v>544</v>
      </c>
      <c r="B155" s="17">
        <v>139989683</v>
      </c>
      <c r="C155" s="17">
        <v>28415200</v>
      </c>
      <c r="D155" s="17">
        <f t="shared" si="2"/>
        <v>28415200</v>
      </c>
      <c r="E155" s="49">
        <f>VLOOKUP($A155,'Data shares'!$C:$FA,128)*100</f>
        <v>9.42</v>
      </c>
      <c r="F155" s="49">
        <f>VLOOKUP($A155,'Data shares'!$C:$FA,129)</f>
        <v>4972400</v>
      </c>
    </row>
    <row r="156" spans="1:7" x14ac:dyDescent="0.25">
      <c r="A156" s="101" t="s">
        <v>547</v>
      </c>
      <c r="B156" s="17">
        <v>65482129</v>
      </c>
      <c r="C156" s="17">
        <v>33944200</v>
      </c>
      <c r="D156" s="17">
        <f t="shared" si="2"/>
        <v>33944200</v>
      </c>
      <c r="E156" s="49">
        <f>VLOOKUP($A156,'Data shares'!$C:$FA,128)*100</f>
        <v>0</v>
      </c>
      <c r="F156" s="49">
        <f>VLOOKUP($A156,'Data shares'!$C:$FA,129)</f>
        <v>0</v>
      </c>
    </row>
    <row r="157" spans="1:7" x14ac:dyDescent="0.25">
      <c r="A157" s="101" t="s">
        <v>499</v>
      </c>
      <c r="B157" s="17">
        <v>66687240</v>
      </c>
      <c r="C157" s="17">
        <v>16125200</v>
      </c>
      <c r="D157" s="17">
        <f t="shared" si="2"/>
        <v>16125200</v>
      </c>
      <c r="E157" s="49">
        <f>VLOOKUP($A157,'Data shares'!$C:$FA,128)*100</f>
        <v>14.829999999999998</v>
      </c>
      <c r="F157" s="49">
        <f>VLOOKUP($A157,'Data shares'!$C:$FA,129)</f>
        <v>8026200</v>
      </c>
    </row>
    <row r="158" spans="1:7" x14ac:dyDescent="0.25">
      <c r="A158" s="101" t="s">
        <v>483</v>
      </c>
      <c r="B158" s="17">
        <v>16146181</v>
      </c>
      <c r="C158" s="17">
        <v>1914250</v>
      </c>
      <c r="D158" s="17">
        <f t="shared" si="2"/>
        <v>1914250</v>
      </c>
      <c r="E158" s="49">
        <f>VLOOKUP($A158,'Data shares'!$C:$FA,128)*100</f>
        <v>3.16</v>
      </c>
      <c r="F158" s="49">
        <f>VLOOKUP($A158,'Data shares'!$C:$FA,129)</f>
        <v>34300</v>
      </c>
    </row>
    <row r="159" spans="1:7" x14ac:dyDescent="0.25">
      <c r="A159" s="101" t="s">
        <v>546</v>
      </c>
      <c r="B159" s="17">
        <v>18282414</v>
      </c>
      <c r="C159" s="17">
        <v>13742300</v>
      </c>
      <c r="D159" s="17">
        <f t="shared" si="2"/>
        <v>13742300</v>
      </c>
      <c r="E159" s="49">
        <f>VLOOKUP($A159,'Data shares'!$C:$FA,128)*100</f>
        <v>6.79</v>
      </c>
      <c r="F159" s="49">
        <f>VLOOKUP($A159,'Data shares'!$C:$FA,129)</f>
        <v>11934225</v>
      </c>
    </row>
    <row r="160" spans="1:7" x14ac:dyDescent="0.25">
      <c r="A160" s="101" t="s">
        <v>220</v>
      </c>
      <c r="B160" s="17">
        <v>50687734</v>
      </c>
      <c r="C160" s="17">
        <v>6783500</v>
      </c>
      <c r="D160" s="17">
        <f t="shared" si="2"/>
        <v>6783500</v>
      </c>
      <c r="E160" s="49">
        <f>VLOOKUP($A160,'Data shares'!$C:$FA,128)*100</f>
        <v>7.9</v>
      </c>
      <c r="F160" s="49">
        <f>VLOOKUP($A160,'Data shares'!$C:$FA,129)</f>
        <v>710000</v>
      </c>
    </row>
    <row r="161" spans="1:6" x14ac:dyDescent="0.25">
      <c r="A161" s="101" t="s">
        <v>472</v>
      </c>
      <c r="B161" s="17">
        <v>50993734</v>
      </c>
      <c r="C161" s="17">
        <v>3803750</v>
      </c>
      <c r="D161" s="17">
        <f t="shared" si="2"/>
        <v>3803750</v>
      </c>
      <c r="E161" s="49">
        <f>VLOOKUP($A161,'Data shares'!$C:$FA,128)*100</f>
        <v>3.01</v>
      </c>
      <c r="F161" s="49">
        <f>VLOOKUP($A161,'Data shares'!$C:$FA,129)</f>
        <v>138125</v>
      </c>
    </row>
    <row r="162" spans="1:6" x14ac:dyDescent="0.25">
      <c r="A162" t="s">
        <v>535</v>
      </c>
      <c r="B162">
        <v>78168147</v>
      </c>
      <c r="C162">
        <v>9571500</v>
      </c>
      <c r="D162" s="17">
        <f t="shared" ref="D162:D204" si="3">C162</f>
        <v>9571500</v>
      </c>
      <c r="E162" s="49">
        <f>VLOOKUP($A162,'Data shares'!$C:$FA,128)*100</f>
        <v>6.1400000000000006</v>
      </c>
      <c r="F162" s="49">
        <f>VLOOKUP($A162,'Data shares'!$C:$FA,129)</f>
        <v>1298800</v>
      </c>
    </row>
    <row r="163" spans="1:6" x14ac:dyDescent="0.25">
      <c r="A163" t="s">
        <v>492</v>
      </c>
      <c r="B163">
        <v>28779078</v>
      </c>
      <c r="C163">
        <v>14404150</v>
      </c>
      <c r="D163" s="17">
        <f t="shared" si="3"/>
        <v>14404150</v>
      </c>
      <c r="E163" s="49">
        <f>VLOOKUP($A163,'Data shares'!$C:$FA,128)*100</f>
        <v>3.64</v>
      </c>
      <c r="F163" s="49">
        <f>VLOOKUP($A163,'Data shares'!$C:$FA,129)</f>
        <v>357975</v>
      </c>
    </row>
    <row r="164" spans="1:6" x14ac:dyDescent="0.25">
      <c r="A164" t="s">
        <v>298</v>
      </c>
      <c r="B164">
        <v>9731600</v>
      </c>
      <c r="C164">
        <v>863500</v>
      </c>
      <c r="D164" s="17">
        <f t="shared" si="3"/>
        <v>863500</v>
      </c>
      <c r="E164" s="49">
        <f>VLOOKUP($A164,'Data shares'!$C:$FA,128)*100</f>
        <v>2.59</v>
      </c>
      <c r="F164" s="49">
        <f>VLOOKUP($A164,'Data shares'!$C:$FA,129)</f>
        <v>62750</v>
      </c>
    </row>
    <row r="165" spans="1:6" x14ac:dyDescent="0.25">
      <c r="A165" t="s">
        <v>548</v>
      </c>
      <c r="B165">
        <v>442076</v>
      </c>
      <c r="C165">
        <v>9615</v>
      </c>
      <c r="D165" s="17">
        <f t="shared" si="3"/>
        <v>9615</v>
      </c>
      <c r="E165" s="49">
        <f>VLOOKUP($A165,'Data shares'!$C:$FA,128)*100</f>
        <v>9.1999999999999993</v>
      </c>
      <c r="F165" s="49">
        <f>VLOOKUP($A165,'Data shares'!$C:$FA,129)</f>
        <v>3234000</v>
      </c>
    </row>
    <row r="166" spans="1:6" x14ac:dyDescent="0.25">
      <c r="A166" t="s">
        <v>530</v>
      </c>
      <c r="B166">
        <v>3258166</v>
      </c>
      <c r="C166">
        <v>219750</v>
      </c>
      <c r="D166" s="17">
        <f t="shared" si="3"/>
        <v>219750</v>
      </c>
      <c r="E166" s="49">
        <f>VLOOKUP($A166,'Data shares'!$C:$FA,128)*100</f>
        <v>10.199999999999999</v>
      </c>
      <c r="F166" s="49">
        <f>VLOOKUP($A166,'Data shares'!$C:$FA,129)</f>
        <v>488250</v>
      </c>
    </row>
    <row r="167" spans="1:6" x14ac:dyDescent="0.25">
      <c r="A167" t="s">
        <v>249</v>
      </c>
      <c r="B167">
        <v>277168216</v>
      </c>
      <c r="C167">
        <v>21795375</v>
      </c>
      <c r="D167" s="17">
        <f t="shared" si="3"/>
        <v>21795375</v>
      </c>
      <c r="E167" s="49">
        <f>VLOOKUP($A167,'Data shares'!$C:$FA,128)*100</f>
        <v>12.26</v>
      </c>
      <c r="F167" s="49">
        <f>VLOOKUP($A167,'Data shares'!$C:$FA,129)</f>
        <v>1940225</v>
      </c>
    </row>
    <row r="168" spans="1:6" x14ac:dyDescent="0.25">
      <c r="A168" t="s">
        <v>216</v>
      </c>
      <c r="B168">
        <v>484955219</v>
      </c>
      <c r="C168">
        <v>230400000</v>
      </c>
      <c r="D168" s="17">
        <f t="shared" si="3"/>
        <v>230400000</v>
      </c>
      <c r="E168" s="49">
        <f>VLOOKUP($A168,'Data shares'!$C:$FA,128)*100</f>
        <v>6.79</v>
      </c>
      <c r="F168" s="49">
        <f>VLOOKUP($A168,'Data shares'!$C:$FA,129)</f>
        <v>11934225</v>
      </c>
    </row>
    <row r="169" spans="1:6" x14ac:dyDescent="0.25">
      <c r="A169" t="s">
        <v>252</v>
      </c>
      <c r="B169">
        <v>117640832</v>
      </c>
      <c r="C169">
        <v>52456000</v>
      </c>
      <c r="D169" s="17">
        <f t="shared" si="3"/>
        <v>52456000</v>
      </c>
      <c r="E169" s="49">
        <f>VLOOKUP($A169,'Data shares'!$C:$FA,128)*100</f>
        <v>0</v>
      </c>
      <c r="F169" s="49">
        <f>VLOOKUP($A169,'Data shares'!$C:$FA,129)</f>
        <v>0</v>
      </c>
    </row>
    <row r="170" spans="1:6" x14ac:dyDescent="0.25">
      <c r="A170" t="s">
        <v>205</v>
      </c>
      <c r="B170">
        <v>25513876</v>
      </c>
      <c r="C170">
        <v>3302300</v>
      </c>
      <c r="D170" s="17">
        <f t="shared" si="3"/>
        <v>3302300</v>
      </c>
      <c r="E170" s="49">
        <f>VLOOKUP($A170,'Data shares'!$C:$FA,128)*100</f>
        <v>3.35</v>
      </c>
      <c r="F170" s="49">
        <f>VLOOKUP($A170,'Data shares'!$C:$FA,129)</f>
        <v>62100</v>
      </c>
    </row>
    <row r="171" spans="1:6" x14ac:dyDescent="0.25">
      <c r="A171" t="s">
        <v>194</v>
      </c>
      <c r="B171">
        <v>202646440</v>
      </c>
      <c r="C171">
        <v>52470000</v>
      </c>
      <c r="D171" s="17">
        <f t="shared" si="3"/>
        <v>52470000</v>
      </c>
      <c r="E171" s="49">
        <f>VLOOKUP($A171,'Data shares'!$C:$FA,128)*100</f>
        <v>28.299999999999997</v>
      </c>
      <c r="F171" s="49">
        <f>VLOOKUP($A171,'Data shares'!$C:$FA,129)</f>
        <v>13066600</v>
      </c>
    </row>
    <row r="172" spans="1:6" x14ac:dyDescent="0.25">
      <c r="A172" t="s">
        <v>263</v>
      </c>
      <c r="B172">
        <v>178967755</v>
      </c>
      <c r="C172">
        <v>142910500</v>
      </c>
      <c r="D172" s="17">
        <f t="shared" si="3"/>
        <v>142910500</v>
      </c>
      <c r="E172" s="49">
        <f>VLOOKUP($A172,'Data shares'!$C:$FA,128)*100</f>
        <v>9.2299999999999986</v>
      </c>
      <c r="F172" s="49">
        <f>VLOOKUP($A172,'Data shares'!$C:$FA,129)</f>
        <v>5396250</v>
      </c>
    </row>
    <row r="173" spans="1:6" x14ac:dyDescent="0.25">
      <c r="A173" t="s">
        <v>476</v>
      </c>
      <c r="B173">
        <v>40446155</v>
      </c>
      <c r="C173">
        <v>4358800</v>
      </c>
      <c r="D173" s="17">
        <f t="shared" si="3"/>
        <v>4358800</v>
      </c>
      <c r="E173" s="49">
        <f>VLOOKUP($A173,'Data shares'!$C:$FA,128)*100</f>
        <v>0</v>
      </c>
      <c r="F173" s="49">
        <f>VLOOKUP($A173,'Data shares'!$C:$FA,129)</f>
        <v>0</v>
      </c>
    </row>
    <row r="174" spans="1:6" x14ac:dyDescent="0.25">
      <c r="A174" t="s">
        <v>187</v>
      </c>
      <c r="B174">
        <v>51436398</v>
      </c>
      <c r="C174">
        <v>7413750</v>
      </c>
      <c r="D174" s="17">
        <f t="shared" si="3"/>
        <v>7413750</v>
      </c>
      <c r="E174" s="49">
        <f>VLOOKUP($A174,'Data shares'!$C:$FA,128)*100</f>
        <v>6.5500000000000007</v>
      </c>
      <c r="F174" s="49">
        <f>VLOOKUP($A174,'Data shares'!$C:$FA,129)</f>
        <v>664000</v>
      </c>
    </row>
    <row r="175" spans="1:6" x14ac:dyDescent="0.25">
      <c r="A175" t="s">
        <v>493</v>
      </c>
      <c r="B175">
        <v>14814614</v>
      </c>
      <c r="C175">
        <v>3344250</v>
      </c>
      <c r="D175" s="17">
        <f t="shared" si="3"/>
        <v>3344250</v>
      </c>
      <c r="E175" s="49">
        <f>VLOOKUP($A175,'Data shares'!$C:$FA,128)*100</f>
        <v>8.52</v>
      </c>
      <c r="F175" s="49">
        <f>VLOOKUP($A175,'Data shares'!$C:$FA,129)</f>
        <v>106600</v>
      </c>
    </row>
    <row r="176" spans="1:6" x14ac:dyDescent="0.25">
      <c r="A176" t="s">
        <v>525</v>
      </c>
      <c r="B176">
        <v>35635456</v>
      </c>
      <c r="C176">
        <v>28959300</v>
      </c>
      <c r="D176" s="17">
        <f t="shared" si="3"/>
        <v>28959300</v>
      </c>
      <c r="E176" s="49">
        <f>VLOOKUP($A176,'Data shares'!$C:$FA,128)*100</f>
        <v>10.97</v>
      </c>
      <c r="F176" s="49">
        <f>VLOOKUP($A176,'Data shares'!$C:$FA,129)</f>
        <v>1068625</v>
      </c>
    </row>
    <row r="177" spans="1:6" x14ac:dyDescent="0.25">
      <c r="A177" t="s">
        <v>512</v>
      </c>
      <c r="B177">
        <v>7771646</v>
      </c>
      <c r="C177">
        <v>1119375</v>
      </c>
      <c r="D177" s="17">
        <f t="shared" si="3"/>
        <v>1119375</v>
      </c>
      <c r="E177" s="49">
        <f>VLOOKUP($A177,'Data shares'!$C:$FA,128)*100</f>
        <v>8.02</v>
      </c>
      <c r="F177" s="49">
        <f>VLOOKUP($A177,'Data shares'!$C:$FA,129)</f>
        <v>110850</v>
      </c>
    </row>
    <row r="178" spans="1:6" x14ac:dyDescent="0.25">
      <c r="A178" t="s">
        <v>233</v>
      </c>
      <c r="B178">
        <v>76432837</v>
      </c>
      <c r="C178">
        <v>9804000</v>
      </c>
      <c r="D178" s="17">
        <f t="shared" si="3"/>
        <v>9804000</v>
      </c>
      <c r="E178" s="49">
        <f>VLOOKUP($A178,'Data shares'!$C:$FA,128)*100</f>
        <v>4.25</v>
      </c>
      <c r="F178" s="49">
        <f>VLOOKUP($A178,'Data shares'!$C:$FA,129)</f>
        <v>468050</v>
      </c>
    </row>
    <row r="179" spans="1:6" x14ac:dyDescent="0.25">
      <c r="A179" t="s">
        <v>183</v>
      </c>
      <c r="B179">
        <v>12092405</v>
      </c>
      <c r="C179">
        <v>2606450</v>
      </c>
      <c r="D179" s="17">
        <f t="shared" si="3"/>
        <v>2606450</v>
      </c>
      <c r="E179" s="49">
        <f>VLOOKUP($A179,'Data shares'!$C:$FA,128)*100</f>
        <v>22.24</v>
      </c>
      <c r="F179" s="49">
        <f>VLOOKUP($A179,'Data shares'!$C:$FA,129)</f>
        <v>563640</v>
      </c>
    </row>
    <row r="180" spans="1:6" x14ac:dyDescent="0.25">
      <c r="A180" t="s">
        <v>280</v>
      </c>
      <c r="B180">
        <v>187084550</v>
      </c>
      <c r="C180">
        <v>50568000</v>
      </c>
      <c r="D180" s="17">
        <f t="shared" si="3"/>
        <v>50568000</v>
      </c>
      <c r="E180" s="49">
        <f>VLOOKUP($A180,'Data shares'!$C:$FA,128)*100</f>
        <v>19.5</v>
      </c>
      <c r="F180" s="49">
        <f>VLOOKUP($A180,'Data shares'!$C:$FA,129)</f>
        <v>12766575</v>
      </c>
    </row>
    <row r="181" spans="1:6" x14ac:dyDescent="0.25">
      <c r="A181" t="s">
        <v>166</v>
      </c>
      <c r="B181">
        <v>79597108</v>
      </c>
      <c r="C181">
        <v>26630000</v>
      </c>
      <c r="D181" s="17">
        <f t="shared" si="3"/>
        <v>26630000</v>
      </c>
      <c r="E181" s="49">
        <f>VLOOKUP($A181,'Data shares'!$C:$FA,128)*100</f>
        <v>5.42</v>
      </c>
      <c r="F181" s="49">
        <f>VLOOKUP($A181,'Data shares'!$C:$FA,129)</f>
        <v>133250</v>
      </c>
    </row>
    <row r="182" spans="1:6" x14ac:dyDescent="0.25">
      <c r="A182" t="s">
        <v>241</v>
      </c>
      <c r="B182">
        <v>913205148</v>
      </c>
      <c r="C182">
        <v>118527500</v>
      </c>
      <c r="D182" s="17">
        <f t="shared" si="3"/>
        <v>118527500</v>
      </c>
      <c r="E182" s="49">
        <f>VLOOKUP($A182,'Data shares'!$C:$FA,128)*100</f>
        <v>10.67</v>
      </c>
      <c r="F182" s="49">
        <f>VLOOKUP($A182,'Data shares'!$C:$FA,129)</f>
        <v>8204625</v>
      </c>
    </row>
    <row r="183" spans="1:6" x14ac:dyDescent="0.25">
      <c r="A183" t="s">
        <v>517</v>
      </c>
      <c r="B183">
        <v>10180563</v>
      </c>
      <c r="C183">
        <v>3926650</v>
      </c>
      <c r="D183" s="17">
        <f t="shared" si="3"/>
        <v>3926650</v>
      </c>
      <c r="E183" s="49">
        <f>VLOOKUP($A183,'Data shares'!$C:$FA,128)*100</f>
        <v>10.870000000000001</v>
      </c>
      <c r="F183" s="49">
        <f>VLOOKUP($A183,'Data shares'!$C:$FA,129)</f>
        <v>225125</v>
      </c>
    </row>
    <row r="184" spans="1:6" x14ac:dyDescent="0.25">
      <c r="A184" t="s">
        <v>211</v>
      </c>
      <c r="B184">
        <v>91809066</v>
      </c>
      <c r="C184">
        <v>33516000</v>
      </c>
      <c r="D184" s="17">
        <f t="shared" si="3"/>
        <v>33516000</v>
      </c>
      <c r="E184" s="49">
        <f>VLOOKUP($A184,'Data shares'!$C:$FA,128)*100</f>
        <v>15.440000000000001</v>
      </c>
      <c r="F184" s="49">
        <f>VLOOKUP($A184,'Data shares'!$C:$FA,129)</f>
        <v>2309400</v>
      </c>
    </row>
    <row r="185" spans="1:6" x14ac:dyDescent="0.25">
      <c r="A185" t="s">
        <v>518</v>
      </c>
      <c r="B185">
        <v>4636018</v>
      </c>
      <c r="C185">
        <v>608375</v>
      </c>
      <c r="D185" s="17">
        <f t="shared" si="3"/>
        <v>608375</v>
      </c>
      <c r="E185" s="49">
        <f>VLOOKUP($A185,'Data shares'!$C:$FA,128)*100</f>
        <v>6.61</v>
      </c>
      <c r="F185" s="49">
        <f>VLOOKUP($A185,'Data shares'!$C:$FA,129)</f>
        <v>59775</v>
      </c>
    </row>
    <row r="186" spans="1:6" x14ac:dyDescent="0.25">
      <c r="A186" t="s">
        <v>511</v>
      </c>
      <c r="B186">
        <v>18644752</v>
      </c>
      <c r="C186">
        <v>4227600</v>
      </c>
      <c r="D186" s="17">
        <f t="shared" si="3"/>
        <v>4227600</v>
      </c>
      <c r="E186" s="49">
        <f>VLOOKUP($A186,'Data shares'!$C:$FA,128)*100</f>
        <v>22.46</v>
      </c>
      <c r="F186" s="49">
        <f>VLOOKUP($A186,'Data shares'!$C:$FA,129)</f>
        <v>35336250</v>
      </c>
    </row>
    <row r="187" spans="1:6" x14ac:dyDescent="0.25">
      <c r="A187" t="s">
        <v>186</v>
      </c>
      <c r="B187">
        <v>48589957</v>
      </c>
      <c r="C187">
        <v>5942200</v>
      </c>
      <c r="D187" s="17">
        <f t="shared" si="3"/>
        <v>5942200</v>
      </c>
      <c r="E187" s="49">
        <f>VLOOKUP($A187,'Data shares'!$C:$FA,128)*100</f>
        <v>19.739999999999998</v>
      </c>
      <c r="F187" s="49">
        <f>VLOOKUP($A187,'Data shares'!$C:$FA,129)</f>
        <v>22951050</v>
      </c>
    </row>
    <row r="188" spans="1:6" x14ac:dyDescent="0.25">
      <c r="A188" t="s">
        <v>522</v>
      </c>
      <c r="B188">
        <v>1063050</v>
      </c>
      <c r="C188">
        <v>54050</v>
      </c>
      <c r="D188" s="17">
        <f t="shared" si="3"/>
        <v>54050</v>
      </c>
      <c r="E188" s="49">
        <f>VLOOKUP($A188,'Data shares'!$C:$FA,128)*100</f>
        <v>7.1400000000000006</v>
      </c>
      <c r="F188" s="49">
        <f>VLOOKUP($A188,'Data shares'!$C:$FA,129)</f>
        <v>219625</v>
      </c>
    </row>
    <row r="189" spans="1:6" x14ac:dyDescent="0.25">
      <c r="A189" t="s">
        <v>300</v>
      </c>
      <c r="B189">
        <v>45360865</v>
      </c>
      <c r="C189">
        <v>14277200</v>
      </c>
      <c r="D189" s="17">
        <f t="shared" si="3"/>
        <v>14277200</v>
      </c>
      <c r="E189" s="49">
        <f>VLOOKUP($A189,'Data shares'!$C:$FA,128)*100</f>
        <v>9.5399999999999991</v>
      </c>
      <c r="F189" s="49">
        <f>VLOOKUP($A189,'Data shares'!$C:$FA,129)</f>
        <v>675850</v>
      </c>
    </row>
    <row r="190" spans="1:6" x14ac:dyDescent="0.25">
      <c r="A190" t="s">
        <v>520</v>
      </c>
      <c r="B190">
        <v>23139622</v>
      </c>
      <c r="C190">
        <v>1555500</v>
      </c>
      <c r="D190" s="17">
        <f t="shared" si="3"/>
        <v>1555500</v>
      </c>
      <c r="E190" s="49">
        <f>VLOOKUP($A190,'Data shares'!$C:$FA,128)*100</f>
        <v>4.6899999999999995</v>
      </c>
      <c r="F190" s="49">
        <f>VLOOKUP($A190,'Data shares'!$C:$FA,129)</f>
        <v>481000</v>
      </c>
    </row>
    <row r="191" spans="1:6" x14ac:dyDescent="0.25">
      <c r="A191" t="s">
        <v>294</v>
      </c>
      <c r="B191">
        <v>161436977</v>
      </c>
      <c r="C191">
        <v>59382700</v>
      </c>
      <c r="D191" s="17">
        <f t="shared" si="3"/>
        <v>59382700</v>
      </c>
      <c r="E191" s="49">
        <f>VLOOKUP($A191,'Data shares'!$C:$FA,128)*100</f>
        <v>10.100000000000001</v>
      </c>
      <c r="F191" s="49">
        <f>VLOOKUP($A191,'Data shares'!$C:$FA,129)</f>
        <v>18821000</v>
      </c>
    </row>
    <row r="192" spans="1:6" x14ac:dyDescent="0.25">
      <c r="A192" t="s">
        <v>244</v>
      </c>
      <c r="B192">
        <v>265685393</v>
      </c>
      <c r="C192">
        <v>44023500</v>
      </c>
      <c r="D192" s="17">
        <f t="shared" si="3"/>
        <v>44023500</v>
      </c>
      <c r="E192" s="49">
        <f>VLOOKUP($A192,'Data shares'!$C:$FA,128)*100</f>
        <v>3.82</v>
      </c>
      <c r="F192" s="49">
        <f>VLOOKUP($A192,'Data shares'!$C:$FA,129)</f>
        <v>1373625</v>
      </c>
    </row>
    <row r="193" spans="1:6" x14ac:dyDescent="0.25">
      <c r="A193" t="s">
        <v>160</v>
      </c>
      <c r="B193">
        <v>145684825</v>
      </c>
      <c r="C193">
        <v>110820000</v>
      </c>
      <c r="D193" s="17">
        <f t="shared" si="3"/>
        <v>110820000</v>
      </c>
      <c r="E193" s="49">
        <f>VLOOKUP($A193,'Data shares'!$C:$FA,128)*100</f>
        <v>7.03</v>
      </c>
      <c r="F193" s="49">
        <f>VLOOKUP($A193,'Data shares'!$C:$FA,129)</f>
        <v>1404100</v>
      </c>
    </row>
    <row r="194" spans="1:6" x14ac:dyDescent="0.25">
      <c r="A194" t="s">
        <v>496</v>
      </c>
      <c r="B194">
        <v>11999202</v>
      </c>
      <c r="C194">
        <v>2345700</v>
      </c>
      <c r="D194" s="17">
        <f t="shared" si="3"/>
        <v>2345700</v>
      </c>
      <c r="E194" s="49">
        <f>VLOOKUP($A194,'Data shares'!$C:$FA,128)*100</f>
        <v>3.91</v>
      </c>
      <c r="F194" s="49">
        <f>VLOOKUP($A194,'Data shares'!$C:$FA,129)</f>
        <v>168000</v>
      </c>
    </row>
    <row r="195" spans="1:6" x14ac:dyDescent="0.25">
      <c r="A195" t="s">
        <v>230</v>
      </c>
      <c r="B195">
        <v>179034270</v>
      </c>
      <c r="C195">
        <v>24257400</v>
      </c>
      <c r="D195" s="17">
        <f t="shared" si="3"/>
        <v>24257400</v>
      </c>
      <c r="E195" s="49">
        <f>VLOOKUP($A195,'Data shares'!$C:$FA,128)*100</f>
        <v>10.4</v>
      </c>
      <c r="F195" s="49">
        <f>VLOOKUP($A195,'Data shares'!$C:$FA,129)</f>
        <v>1630800</v>
      </c>
    </row>
    <row r="196" spans="1:6" x14ac:dyDescent="0.25">
      <c r="A196" t="s">
        <v>203</v>
      </c>
      <c r="B196">
        <v>27165463</v>
      </c>
      <c r="C196">
        <v>3318000</v>
      </c>
      <c r="D196" s="17">
        <f t="shared" si="3"/>
        <v>3318000</v>
      </c>
      <c r="E196" s="49">
        <f>VLOOKUP($A196,'Data shares'!$C:$FA,128)*100</f>
        <v>2.04</v>
      </c>
      <c r="F196" s="49">
        <f>VLOOKUP($A196,'Data shares'!$C:$FA,129)</f>
        <v>58200</v>
      </c>
    </row>
    <row r="197" spans="1:6" x14ac:dyDescent="0.25">
      <c r="A197" t="s">
        <v>251</v>
      </c>
      <c r="B197">
        <v>184464522</v>
      </c>
      <c r="C197">
        <v>32566800</v>
      </c>
      <c r="D197" s="17">
        <f t="shared" si="3"/>
        <v>32566800</v>
      </c>
      <c r="E197" s="49">
        <f>VLOOKUP($A197,'Data shares'!$C:$FA,128)*100</f>
        <v>5.9799999999999995</v>
      </c>
      <c r="F197" s="49">
        <f>VLOOKUP($A197,'Data shares'!$C:$FA,129)</f>
        <v>1355400</v>
      </c>
    </row>
    <row r="198" spans="1:6" x14ac:dyDescent="0.25">
      <c r="A198" t="s">
        <v>254</v>
      </c>
      <c r="B198">
        <v>104419539</v>
      </c>
      <c r="C198">
        <v>12741000</v>
      </c>
      <c r="D198" s="17">
        <f t="shared" si="3"/>
        <v>12741000</v>
      </c>
      <c r="E198" s="49">
        <f>VLOOKUP($A198,'Data shares'!$C:$FA,128)*100</f>
        <v>4.1300000000000008</v>
      </c>
      <c r="F198" s="49">
        <f>VLOOKUP($A198,'Data shares'!$C:$FA,129)</f>
        <v>790800</v>
      </c>
    </row>
    <row r="199" spans="1:6" x14ac:dyDescent="0.25">
      <c r="A199" t="s">
        <v>159</v>
      </c>
      <c r="B199">
        <v>55169320</v>
      </c>
      <c r="C199">
        <v>29565500</v>
      </c>
      <c r="D199" s="17">
        <f t="shared" si="3"/>
        <v>29565500</v>
      </c>
      <c r="E199" s="49">
        <f>VLOOKUP($A199,'Data shares'!$C:$FA,128)*100</f>
        <v>4.6899999999999995</v>
      </c>
      <c r="F199" s="49">
        <f>VLOOKUP($A199,'Data shares'!$C:$FA,129)</f>
        <v>776400</v>
      </c>
    </row>
    <row r="200" spans="1:6" x14ac:dyDescent="0.25">
      <c r="A200" t="s">
        <v>201</v>
      </c>
      <c r="B200">
        <v>26654592</v>
      </c>
      <c r="C200">
        <v>3469200</v>
      </c>
      <c r="D200" s="17">
        <f t="shared" si="3"/>
        <v>3469200</v>
      </c>
      <c r="E200" s="49">
        <f>VLOOKUP($A200,'Data shares'!$C:$FA,128)*100</f>
        <v>10.75</v>
      </c>
      <c r="F200" s="49">
        <f>VLOOKUP($A200,'Data shares'!$C:$FA,129)</f>
        <v>479700</v>
      </c>
    </row>
    <row r="201" spans="1:6" x14ac:dyDescent="0.25">
      <c r="A201" t="s">
        <v>199</v>
      </c>
      <c r="B201">
        <v>102562642</v>
      </c>
      <c r="C201">
        <v>20641400</v>
      </c>
      <c r="D201" s="17">
        <f t="shared" si="3"/>
        <v>20641400</v>
      </c>
      <c r="E201" s="49">
        <f>VLOOKUP($A201,'Data shares'!$C:$FA,128)*100</f>
        <v>5.0999999999999996</v>
      </c>
      <c r="F201" s="49">
        <f>VLOOKUP($A201,'Data shares'!$C:$FA,129)</f>
        <v>527625</v>
      </c>
    </row>
    <row r="202" spans="1:6" x14ac:dyDescent="0.25">
      <c r="A202" t="s">
        <v>296</v>
      </c>
      <c r="B202">
        <v>124861039</v>
      </c>
      <c r="C202">
        <v>20543400</v>
      </c>
      <c r="D202" s="17">
        <f t="shared" si="3"/>
        <v>20543400</v>
      </c>
      <c r="E202" s="49">
        <f>VLOOKUP($A202,'Data shares'!$C:$FA,128)*100</f>
        <v>8.58</v>
      </c>
      <c r="F202" s="49">
        <f>VLOOKUP($A202,'Data shares'!$C:$FA,129)</f>
        <v>1488000</v>
      </c>
    </row>
    <row r="203" spans="1:6" x14ac:dyDescent="0.25">
      <c r="A203" t="s">
        <v>229</v>
      </c>
      <c r="B203">
        <v>127940594</v>
      </c>
      <c r="C203">
        <v>33552900</v>
      </c>
      <c r="D203" s="17">
        <f t="shared" si="3"/>
        <v>33552900</v>
      </c>
      <c r="E203" s="49">
        <f>VLOOKUP($A203,'Data shares'!$C:$FA,128)*100</f>
        <v>5.6000000000000005</v>
      </c>
      <c r="F203" s="49">
        <f>VLOOKUP($A203,'Data shares'!$C:$FA,129)</f>
        <v>2450250</v>
      </c>
    </row>
    <row r="204" spans="1:6" x14ac:dyDescent="0.25">
      <c r="A204" t="s">
        <v>497</v>
      </c>
      <c r="B204">
        <v>10251929</v>
      </c>
      <c r="C204">
        <v>266200</v>
      </c>
      <c r="D204" s="17">
        <f t="shared" si="3"/>
        <v>266200</v>
      </c>
      <c r="E204" s="49">
        <f>VLOOKUP($A204,'Data shares'!$C:$FA,128)*100</f>
        <v>5.63</v>
      </c>
      <c r="F204" s="49">
        <f>VLOOKUP($A204,'Data shares'!$C:$FA,129)</f>
        <v>63500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4" sqref="F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28" zoomScale="86" zoomScaleNormal="86" workbookViewId="0">
      <selection activeCell="K31" sqref="K31"/>
    </sheetView>
  </sheetViews>
  <sheetFormatPr defaultRowHeight="15" x14ac:dyDescent="0.25"/>
  <cols>
    <col min="1" max="1" width="11.28515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425781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140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8.710937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5703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9.710937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57031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9.140625"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3.28515625" customWidth="1"/>
    <col min="138" max="138" width="16.28515625" customWidth="1"/>
    <col min="139" max="139" width="11.710937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45860</v>
      </c>
      <c r="B2" s="227" t="s">
        <v>175</v>
      </c>
      <c r="C2" s="227" t="s">
        <v>684</v>
      </c>
      <c r="D2" s="228">
        <v>500</v>
      </c>
      <c r="E2" s="228">
        <v>9</v>
      </c>
      <c r="F2" s="231">
        <v>1143.2</v>
      </c>
      <c r="G2" s="231">
        <v>1223.4000000000001</v>
      </c>
      <c r="H2" s="228">
        <v>-80.2</v>
      </c>
      <c r="I2" s="229">
        <v>-6.5600000000000006E-2</v>
      </c>
      <c r="J2" s="231">
        <v>1144.0999999999999</v>
      </c>
      <c r="K2" s="231">
        <v>1221.2</v>
      </c>
      <c r="L2" s="228">
        <v>-77.099999999999994</v>
      </c>
      <c r="M2" s="229">
        <v>-6.3100000000000003E-2</v>
      </c>
      <c r="N2" s="231">
        <v>1143.2</v>
      </c>
      <c r="O2" s="231">
        <v>1223.4000000000001</v>
      </c>
      <c r="P2" s="228">
        <v>-80.2</v>
      </c>
      <c r="Q2" s="229">
        <v>-6.5600000000000006E-2</v>
      </c>
      <c r="R2" s="231">
        <v>1149</v>
      </c>
      <c r="S2" s="231">
        <v>1226.5</v>
      </c>
      <c r="T2" s="228">
        <v>-77.5</v>
      </c>
      <c r="U2" s="229">
        <v>-6.3200000000000006E-2</v>
      </c>
      <c r="V2" s="228">
        <v>0</v>
      </c>
      <c r="W2" s="228">
        <v>0</v>
      </c>
      <c r="X2" s="228">
        <v>0</v>
      </c>
      <c r="Y2" s="229">
        <v>0</v>
      </c>
      <c r="Z2" s="228">
        <v>-0.9</v>
      </c>
      <c r="AA2" s="228">
        <v>2.2000000000000002</v>
      </c>
      <c r="AB2" s="228">
        <v>-3.1</v>
      </c>
      <c r="AC2" s="229">
        <v>-8.0000000000000004E-4</v>
      </c>
      <c r="AD2" s="228">
        <v>-0.9</v>
      </c>
      <c r="AE2" s="228">
        <v>2.2000000000000002</v>
      </c>
      <c r="AF2" s="228">
        <v>-3.1</v>
      </c>
      <c r="AG2" s="229">
        <v>-8.0000000000000004E-4</v>
      </c>
      <c r="AH2" s="228">
        <v>4.9000000000000004</v>
      </c>
      <c r="AI2" s="228">
        <v>5.3</v>
      </c>
      <c r="AJ2" s="228">
        <v>-0.4</v>
      </c>
      <c r="AK2" s="229">
        <v>4.3E-3</v>
      </c>
      <c r="AL2" s="228">
        <v>0</v>
      </c>
      <c r="AM2" s="228">
        <v>0</v>
      </c>
      <c r="AN2" s="228">
        <v>0</v>
      </c>
      <c r="AO2" s="229">
        <v>0</v>
      </c>
      <c r="AP2" s="231">
        <v>1147.44</v>
      </c>
      <c r="AQ2" s="231">
        <v>1149.3499999999999</v>
      </c>
      <c r="AR2" s="228">
        <v>0</v>
      </c>
      <c r="AS2" s="228">
        <v>757</v>
      </c>
      <c r="AT2" s="228">
        <v>66</v>
      </c>
      <c r="AU2" s="228">
        <v>691</v>
      </c>
      <c r="AV2" s="229">
        <v>10.472300000000001</v>
      </c>
      <c r="AW2" s="228">
        <v>696</v>
      </c>
      <c r="AX2" s="228">
        <v>63</v>
      </c>
      <c r="AY2" s="228">
        <v>634</v>
      </c>
      <c r="AZ2" s="229">
        <v>10.1335</v>
      </c>
      <c r="BA2" s="228">
        <v>60</v>
      </c>
      <c r="BB2" s="228">
        <v>3</v>
      </c>
      <c r="BC2" s="228">
        <v>57</v>
      </c>
      <c r="BD2" s="229">
        <v>16.5167</v>
      </c>
      <c r="BE2" s="228">
        <v>0</v>
      </c>
      <c r="BF2" s="228">
        <v>0</v>
      </c>
      <c r="BG2" s="228">
        <v>0</v>
      </c>
      <c r="BH2" s="229">
        <v>0</v>
      </c>
      <c r="BI2" s="230">
        <v>1006</v>
      </c>
      <c r="BJ2" s="228">
        <v>272</v>
      </c>
      <c r="BK2" s="228">
        <v>734</v>
      </c>
      <c r="BL2" s="229">
        <v>2.6993</v>
      </c>
      <c r="BM2" s="228">
        <v>776</v>
      </c>
      <c r="BN2" s="228">
        <v>73</v>
      </c>
      <c r="BO2" s="228">
        <v>703</v>
      </c>
      <c r="BP2" s="229">
        <v>9.6173999999999999</v>
      </c>
      <c r="BQ2" s="230">
        <v>2538</v>
      </c>
      <c r="BR2" s="228">
        <v>411</v>
      </c>
      <c r="BS2" s="230">
        <v>2127</v>
      </c>
      <c r="BT2" s="229">
        <v>5.1772</v>
      </c>
      <c r="BU2" s="230">
        <v>31637841</v>
      </c>
      <c r="BV2" s="230">
        <v>463771</v>
      </c>
      <c r="BW2" s="230">
        <v>31174070</v>
      </c>
      <c r="BX2" s="229">
        <v>67.218699999999998</v>
      </c>
      <c r="BY2" s="228">
        <v>418</v>
      </c>
      <c r="BZ2" s="228">
        <v>207</v>
      </c>
      <c r="CA2" s="228">
        <v>210</v>
      </c>
      <c r="CB2" s="229">
        <v>1.0126999999999999</v>
      </c>
      <c r="CC2" s="228">
        <v>385</v>
      </c>
      <c r="CD2" s="228">
        <v>202</v>
      </c>
      <c r="CE2" s="228">
        <v>183</v>
      </c>
      <c r="CF2" s="229">
        <v>0.90200000000000002</v>
      </c>
      <c r="CG2" s="228">
        <v>32</v>
      </c>
      <c r="CH2" s="228">
        <v>5</v>
      </c>
      <c r="CI2" s="228">
        <v>27</v>
      </c>
      <c r="CJ2" s="229">
        <v>5.4713000000000003</v>
      </c>
      <c r="CK2" s="228">
        <v>0</v>
      </c>
      <c r="CL2" s="228">
        <v>0</v>
      </c>
      <c r="CM2" s="228">
        <v>0</v>
      </c>
      <c r="CN2" s="229">
        <v>0</v>
      </c>
      <c r="CO2" s="228">
        <v>309</v>
      </c>
      <c r="CP2" s="228">
        <v>116</v>
      </c>
      <c r="CQ2" s="228">
        <v>194</v>
      </c>
      <c r="CR2" s="229">
        <v>1.6751</v>
      </c>
      <c r="CS2" s="228">
        <v>184</v>
      </c>
      <c r="CT2" s="228">
        <v>63</v>
      </c>
      <c r="CU2" s="228">
        <v>120</v>
      </c>
      <c r="CV2" s="229">
        <v>1.9033</v>
      </c>
      <c r="CW2" s="228">
        <v>911</v>
      </c>
      <c r="CX2" s="228">
        <v>386</v>
      </c>
      <c r="CY2" s="228">
        <v>524</v>
      </c>
      <c r="CZ2" s="229">
        <v>1.3567</v>
      </c>
      <c r="DA2" s="228">
        <v>29.41</v>
      </c>
      <c r="DB2" s="228">
        <v>34.58</v>
      </c>
      <c r="DC2" s="228">
        <v>-5.17</v>
      </c>
      <c r="DD2" s="228">
        <v>-5.17</v>
      </c>
      <c r="DE2" s="228">
        <v>50.07</v>
      </c>
      <c r="DF2" s="228">
        <v>49.39</v>
      </c>
      <c r="DG2" s="228">
        <v>-20.66</v>
      </c>
      <c r="DH2" s="228">
        <v>0.68</v>
      </c>
      <c r="DI2" s="228">
        <v>30.32</v>
      </c>
      <c r="DJ2" s="228">
        <v>34.409999999999997</v>
      </c>
      <c r="DK2" s="228">
        <v>-4.09</v>
      </c>
      <c r="DL2" s="228">
        <v>-4.09</v>
      </c>
      <c r="DM2" s="228">
        <v>28.23</v>
      </c>
      <c r="DN2" s="228">
        <v>35.229999999999997</v>
      </c>
      <c r="DO2" s="228">
        <v>-7</v>
      </c>
      <c r="DP2" s="228">
        <v>-7</v>
      </c>
      <c r="DQ2" s="228">
        <v>0.59</v>
      </c>
      <c r="DR2" s="228">
        <v>0.55000000000000004</v>
      </c>
      <c r="DS2" s="228">
        <v>0.04</v>
      </c>
      <c r="DT2" s="229">
        <v>7.2700000000000001E-2</v>
      </c>
      <c r="DU2" s="231">
        <v>1160</v>
      </c>
      <c r="DV2" s="231">
        <v>1160</v>
      </c>
      <c r="DW2" s="228">
        <v>0.77</v>
      </c>
      <c r="DX2" s="228">
        <v>0.27</v>
      </c>
      <c r="DY2" s="228">
        <v>0.5</v>
      </c>
      <c r="DZ2" s="229">
        <v>1.8519000000000001</v>
      </c>
      <c r="EA2" s="229">
        <v>7.7100000000000002E-2</v>
      </c>
      <c r="EB2" s="230">
        <v>43500</v>
      </c>
      <c r="EC2" s="229">
        <v>5.1000000000000004E-3</v>
      </c>
      <c r="ED2" s="229">
        <v>7.7100000000000002E-2</v>
      </c>
      <c r="EE2" s="228">
        <v>1.91</v>
      </c>
      <c r="EF2" s="229">
        <v>1.6999999999999999E-3</v>
      </c>
      <c r="EG2" s="230">
        <v>20195366</v>
      </c>
      <c r="EH2" s="230">
        <v>207270</v>
      </c>
      <c r="EI2" s="229">
        <v>96.435100000000006</v>
      </c>
      <c r="EJ2" s="229">
        <v>0.63829999999999998</v>
      </c>
      <c r="EK2" s="231">
        <v>1062.3499999999999</v>
      </c>
      <c r="EL2" s="228">
        <v>781.05</v>
      </c>
      <c r="EM2" s="228">
        <v>759.65</v>
      </c>
      <c r="EN2" s="228">
        <v>0</v>
      </c>
      <c r="EO2" s="231">
        <v>2603.06</v>
      </c>
      <c r="EP2" s="228">
        <v>450.08</v>
      </c>
      <c r="EQ2" s="231">
        <v>2152.9699999999998</v>
      </c>
      <c r="ER2" s="229">
        <v>4.7835000000000001</v>
      </c>
      <c r="ES2" s="228">
        <v>327.32</v>
      </c>
      <c r="ET2" s="228">
        <v>183.08</v>
      </c>
      <c r="EU2" s="228">
        <v>417.78</v>
      </c>
      <c r="EV2" s="231">
        <v>72384900</v>
      </c>
      <c r="EW2" s="228">
        <v>928.18</v>
      </c>
      <c r="EX2" s="228">
        <v>414.22</v>
      </c>
      <c r="EY2" s="228">
        <v>513.96</v>
      </c>
      <c r="EZ2" s="229">
        <v>1.2407999999999999</v>
      </c>
      <c r="FA2" s="229">
        <v>0.11</v>
      </c>
      <c r="FB2" s="227" t="s">
        <v>567</v>
      </c>
      <c r="FC2">
        <f>BY2-CC2</f>
        <v>33</v>
      </c>
    </row>
    <row r="3" spans="1:159" ht="17.25" thickBot="1" x14ac:dyDescent="0.3">
      <c r="A3" s="226">
        <v>45860</v>
      </c>
      <c r="B3" s="227" t="s">
        <v>498</v>
      </c>
      <c r="C3" s="227" t="s">
        <v>476</v>
      </c>
      <c r="D3" s="228">
        <v>1325</v>
      </c>
      <c r="E3" s="228">
        <v>9</v>
      </c>
      <c r="F3" s="228">
        <v>423.7</v>
      </c>
      <c r="G3" s="228">
        <v>442.85</v>
      </c>
      <c r="H3" s="228">
        <v>-19.149999999999999</v>
      </c>
      <c r="I3" s="229">
        <v>-4.3200000000000002E-2</v>
      </c>
      <c r="J3" s="228">
        <v>422.95</v>
      </c>
      <c r="K3" s="228">
        <v>441.9</v>
      </c>
      <c r="L3" s="228">
        <v>-18.95</v>
      </c>
      <c r="M3" s="229">
        <v>-4.2900000000000001E-2</v>
      </c>
      <c r="N3" s="228">
        <v>423.7</v>
      </c>
      <c r="O3" s="228">
        <v>442.85</v>
      </c>
      <c r="P3" s="228">
        <v>-19.149999999999999</v>
      </c>
      <c r="Q3" s="229">
        <v>-4.3200000000000002E-2</v>
      </c>
      <c r="R3" s="228">
        <v>0</v>
      </c>
      <c r="S3" s="228">
        <v>0</v>
      </c>
      <c r="T3" s="228">
        <v>0</v>
      </c>
      <c r="U3" s="229">
        <v>0</v>
      </c>
      <c r="V3" s="228">
        <v>0</v>
      </c>
      <c r="W3" s="228">
        <v>0</v>
      </c>
      <c r="X3" s="228">
        <v>0</v>
      </c>
      <c r="Y3" s="229">
        <v>0</v>
      </c>
      <c r="Z3" s="228">
        <v>0.75</v>
      </c>
      <c r="AA3" s="228">
        <v>0.95</v>
      </c>
      <c r="AB3" s="228">
        <v>-0.2</v>
      </c>
      <c r="AC3" s="229">
        <v>1.8E-3</v>
      </c>
      <c r="AD3" s="228">
        <v>0.75</v>
      </c>
      <c r="AE3" s="228">
        <v>0.95</v>
      </c>
      <c r="AF3" s="228">
        <v>-0.2</v>
      </c>
      <c r="AG3" s="229">
        <v>1.8E-3</v>
      </c>
      <c r="AH3" s="228">
        <v>0</v>
      </c>
      <c r="AI3" s="228">
        <v>0</v>
      </c>
      <c r="AJ3" s="228">
        <v>0</v>
      </c>
      <c r="AK3" s="229">
        <v>0</v>
      </c>
      <c r="AL3" s="228">
        <v>0</v>
      </c>
      <c r="AM3" s="228">
        <v>0</v>
      </c>
      <c r="AN3" s="228">
        <v>0</v>
      </c>
      <c r="AO3" s="229">
        <v>0</v>
      </c>
      <c r="AP3" s="228">
        <v>428.9</v>
      </c>
      <c r="AQ3" s="228">
        <v>0</v>
      </c>
      <c r="AR3" s="228">
        <v>0</v>
      </c>
      <c r="AS3" s="228">
        <v>239</v>
      </c>
      <c r="AT3" s="228">
        <v>93</v>
      </c>
      <c r="AU3" s="228">
        <v>146</v>
      </c>
      <c r="AV3" s="229">
        <v>1.5815999999999999</v>
      </c>
      <c r="AW3" s="228">
        <v>239</v>
      </c>
      <c r="AX3" s="228">
        <v>93</v>
      </c>
      <c r="AY3" s="228">
        <v>146</v>
      </c>
      <c r="AZ3" s="229">
        <v>1.5815999999999999</v>
      </c>
      <c r="BA3" s="228">
        <v>0</v>
      </c>
      <c r="BB3" s="228">
        <v>0</v>
      </c>
      <c r="BC3" s="228">
        <v>0</v>
      </c>
      <c r="BD3" s="229">
        <v>0</v>
      </c>
      <c r="BE3" s="228">
        <v>0</v>
      </c>
      <c r="BF3" s="228">
        <v>0</v>
      </c>
      <c r="BG3" s="228">
        <v>0</v>
      </c>
      <c r="BH3" s="229">
        <v>0</v>
      </c>
      <c r="BI3" s="230">
        <v>1082</v>
      </c>
      <c r="BJ3" s="228">
        <v>349</v>
      </c>
      <c r="BK3" s="228">
        <v>733</v>
      </c>
      <c r="BL3" s="229">
        <v>2.0998999999999999</v>
      </c>
      <c r="BM3" s="228">
        <v>553</v>
      </c>
      <c r="BN3" s="228">
        <v>74</v>
      </c>
      <c r="BO3" s="228">
        <v>479</v>
      </c>
      <c r="BP3" s="229">
        <v>6.5137</v>
      </c>
      <c r="BQ3" s="230">
        <v>1873</v>
      </c>
      <c r="BR3" s="228">
        <v>515</v>
      </c>
      <c r="BS3" s="230">
        <v>1358</v>
      </c>
      <c r="BT3" s="229">
        <v>2.6368999999999998</v>
      </c>
      <c r="BU3" s="230">
        <v>4012425</v>
      </c>
      <c r="BV3" s="230">
        <v>842549</v>
      </c>
      <c r="BW3" s="230">
        <v>3169876</v>
      </c>
      <c r="BX3" s="229">
        <v>3.7622</v>
      </c>
      <c r="BY3" s="228">
        <v>509</v>
      </c>
      <c r="BZ3" s="228">
        <v>518</v>
      </c>
      <c r="CA3" s="228">
        <v>-9</v>
      </c>
      <c r="CB3" s="229">
        <v>-1.66E-2</v>
      </c>
      <c r="CC3" s="228">
        <v>509</v>
      </c>
      <c r="CD3" s="228">
        <v>518</v>
      </c>
      <c r="CE3" s="228">
        <v>-9</v>
      </c>
      <c r="CF3" s="229">
        <v>-1.66E-2</v>
      </c>
      <c r="CG3" s="228">
        <v>0</v>
      </c>
      <c r="CH3" s="228">
        <v>0</v>
      </c>
      <c r="CI3" s="228">
        <v>0</v>
      </c>
      <c r="CJ3" s="229">
        <v>0</v>
      </c>
      <c r="CK3" s="228">
        <v>0</v>
      </c>
      <c r="CL3" s="228">
        <v>0</v>
      </c>
      <c r="CM3" s="228">
        <v>0</v>
      </c>
      <c r="CN3" s="229">
        <v>0</v>
      </c>
      <c r="CO3" s="228">
        <v>797</v>
      </c>
      <c r="CP3" s="228">
        <v>506</v>
      </c>
      <c r="CQ3" s="228">
        <v>292</v>
      </c>
      <c r="CR3" s="229">
        <v>0.57679999999999998</v>
      </c>
      <c r="CS3" s="228">
        <v>202</v>
      </c>
      <c r="CT3" s="228">
        <v>173</v>
      </c>
      <c r="CU3" s="228">
        <v>30</v>
      </c>
      <c r="CV3" s="229">
        <v>0.17150000000000001</v>
      </c>
      <c r="CW3" s="230">
        <v>1509</v>
      </c>
      <c r="CX3" s="230">
        <v>1196</v>
      </c>
      <c r="CY3" s="228">
        <v>313</v>
      </c>
      <c r="CZ3" s="229">
        <v>0.26140000000000002</v>
      </c>
      <c r="DA3" s="228">
        <v>41.19</v>
      </c>
      <c r="DB3" s="228">
        <v>36.89</v>
      </c>
      <c r="DC3" s="228">
        <v>4.3</v>
      </c>
      <c r="DD3" s="228">
        <v>4.3</v>
      </c>
      <c r="DE3" s="228">
        <v>44.3</v>
      </c>
      <c r="DF3" s="228">
        <v>44.01</v>
      </c>
      <c r="DG3" s="228">
        <v>-3.11</v>
      </c>
      <c r="DH3" s="228">
        <v>0.28999999999999998</v>
      </c>
      <c r="DI3" s="228">
        <v>43.95</v>
      </c>
      <c r="DJ3" s="228">
        <v>38</v>
      </c>
      <c r="DK3" s="228">
        <v>5.95</v>
      </c>
      <c r="DL3" s="228">
        <v>5.95</v>
      </c>
      <c r="DM3" s="228">
        <v>35.78</v>
      </c>
      <c r="DN3" s="228">
        <v>31.63</v>
      </c>
      <c r="DO3" s="228">
        <v>4.1500000000000004</v>
      </c>
      <c r="DP3" s="228">
        <v>4.1500000000000004</v>
      </c>
      <c r="DQ3" s="228">
        <v>0.25</v>
      </c>
      <c r="DR3" s="228">
        <v>0.34</v>
      </c>
      <c r="DS3" s="228">
        <v>-0.09</v>
      </c>
      <c r="DT3" s="229">
        <v>-0.26469999999999999</v>
      </c>
      <c r="DU3" s="228">
        <v>490</v>
      </c>
      <c r="DV3" s="228">
        <v>420</v>
      </c>
      <c r="DW3" s="228">
        <v>0.51</v>
      </c>
      <c r="DX3" s="228">
        <v>0.21</v>
      </c>
      <c r="DY3" s="228">
        <v>0.3</v>
      </c>
      <c r="DZ3" s="229">
        <v>1.4286000000000001</v>
      </c>
      <c r="EA3" s="229">
        <v>0</v>
      </c>
      <c r="EB3" s="228">
        <v>0</v>
      </c>
      <c r="EC3" s="229">
        <v>0</v>
      </c>
      <c r="ED3" s="229">
        <v>0</v>
      </c>
      <c r="EE3" s="228">
        <v>0</v>
      </c>
      <c r="EF3" s="229">
        <v>0</v>
      </c>
      <c r="EG3" s="230">
        <v>1679457</v>
      </c>
      <c r="EH3" s="230">
        <v>282395</v>
      </c>
      <c r="EI3" s="229">
        <v>4.9471999999999996</v>
      </c>
      <c r="EJ3" s="229">
        <v>0.41860000000000003</v>
      </c>
      <c r="EK3" s="231">
        <v>1198.95</v>
      </c>
      <c r="EL3" s="228">
        <v>567.12</v>
      </c>
      <c r="EM3" s="228">
        <v>241.92</v>
      </c>
      <c r="EN3" s="228">
        <v>0</v>
      </c>
      <c r="EO3" s="231">
        <v>2007.99</v>
      </c>
      <c r="EP3" s="228">
        <v>568.37</v>
      </c>
      <c r="EQ3" s="231">
        <v>1439.62</v>
      </c>
      <c r="ER3" s="229">
        <v>2.5329000000000002</v>
      </c>
      <c r="ES3" s="228">
        <v>900.85</v>
      </c>
      <c r="ET3" s="228">
        <v>209.83</v>
      </c>
      <c r="EU3" s="228">
        <v>509.25</v>
      </c>
      <c r="EV3" s="231">
        <v>41876170</v>
      </c>
      <c r="EW3" s="231">
        <v>1619.94</v>
      </c>
      <c r="EX3" s="231">
        <v>1300.92</v>
      </c>
      <c r="EY3" s="228">
        <v>319.02</v>
      </c>
      <c r="EZ3" s="229">
        <v>0.2452</v>
      </c>
      <c r="FA3" s="229">
        <v>0.85060000000000002</v>
      </c>
      <c r="FB3" s="227" t="s">
        <v>568</v>
      </c>
      <c r="FC3">
        <f t="shared" ref="FC3:FC66" si="0">BY3-CC3</f>
        <v>0</v>
      </c>
    </row>
    <row r="4" spans="1:159" ht="17.25" thickBot="1" x14ac:dyDescent="0.3">
      <c r="A4" s="226">
        <v>45860</v>
      </c>
      <c r="B4" s="227" t="s">
        <v>184</v>
      </c>
      <c r="C4" s="227" t="s">
        <v>553</v>
      </c>
      <c r="D4" s="228">
        <v>125</v>
      </c>
      <c r="E4" s="228">
        <v>9</v>
      </c>
      <c r="F4" s="231">
        <v>5766</v>
      </c>
      <c r="G4" s="231">
        <v>5852</v>
      </c>
      <c r="H4" s="228">
        <v>-86</v>
      </c>
      <c r="I4" s="229">
        <v>-1.47E-2</v>
      </c>
      <c r="J4" s="231">
        <v>5755</v>
      </c>
      <c r="K4" s="231">
        <v>5836</v>
      </c>
      <c r="L4" s="228">
        <v>-81</v>
      </c>
      <c r="M4" s="229">
        <v>-1.3899999999999999E-2</v>
      </c>
      <c r="N4" s="231">
        <v>5766</v>
      </c>
      <c r="O4" s="231">
        <v>5852</v>
      </c>
      <c r="P4" s="228">
        <v>-86</v>
      </c>
      <c r="Q4" s="229">
        <v>-1.47E-2</v>
      </c>
      <c r="R4" s="231">
        <v>5789</v>
      </c>
      <c r="S4" s="231">
        <v>5874.5</v>
      </c>
      <c r="T4" s="228">
        <v>-85.5</v>
      </c>
      <c r="U4" s="229">
        <v>-1.46E-2</v>
      </c>
      <c r="V4" s="228">
        <v>0</v>
      </c>
      <c r="W4" s="228">
        <v>0</v>
      </c>
      <c r="X4" s="228">
        <v>0</v>
      </c>
      <c r="Y4" s="229">
        <v>0</v>
      </c>
      <c r="Z4" s="228">
        <v>11</v>
      </c>
      <c r="AA4" s="228">
        <v>16</v>
      </c>
      <c r="AB4" s="228">
        <v>-5</v>
      </c>
      <c r="AC4" s="229">
        <v>1.9E-3</v>
      </c>
      <c r="AD4" s="228">
        <v>11</v>
      </c>
      <c r="AE4" s="228">
        <v>16</v>
      </c>
      <c r="AF4" s="228">
        <v>-5</v>
      </c>
      <c r="AG4" s="229">
        <v>1.9E-3</v>
      </c>
      <c r="AH4" s="228">
        <v>34</v>
      </c>
      <c r="AI4" s="228">
        <v>38.5</v>
      </c>
      <c r="AJ4" s="228">
        <v>-4.5</v>
      </c>
      <c r="AK4" s="229">
        <v>5.8999999999999999E-3</v>
      </c>
      <c r="AL4" s="228">
        <v>0</v>
      </c>
      <c r="AM4" s="228">
        <v>0</v>
      </c>
      <c r="AN4" s="228">
        <v>0</v>
      </c>
      <c r="AO4" s="229">
        <v>0</v>
      </c>
      <c r="AP4" s="231">
        <v>5794.84</v>
      </c>
      <c r="AQ4" s="231">
        <v>5821.72</v>
      </c>
      <c r="AR4" s="228">
        <v>0</v>
      </c>
      <c r="AS4" s="228">
        <v>273</v>
      </c>
      <c r="AT4" s="228">
        <v>640</v>
      </c>
      <c r="AU4" s="228">
        <v>-368</v>
      </c>
      <c r="AV4" s="229">
        <v>-0.57420000000000004</v>
      </c>
      <c r="AW4" s="228">
        <v>217</v>
      </c>
      <c r="AX4" s="228">
        <v>543</v>
      </c>
      <c r="AY4" s="228">
        <v>-326</v>
      </c>
      <c r="AZ4" s="229">
        <v>-0.60029999999999994</v>
      </c>
      <c r="BA4" s="228">
        <v>53</v>
      </c>
      <c r="BB4" s="228">
        <v>90</v>
      </c>
      <c r="BC4" s="228">
        <v>-37</v>
      </c>
      <c r="BD4" s="229">
        <v>-0.4133</v>
      </c>
      <c r="BE4" s="228">
        <v>0</v>
      </c>
      <c r="BF4" s="228">
        <v>0</v>
      </c>
      <c r="BG4" s="228">
        <v>0</v>
      </c>
      <c r="BH4" s="229">
        <v>0</v>
      </c>
      <c r="BI4" s="230">
        <v>1193</v>
      </c>
      <c r="BJ4" s="230">
        <v>3156</v>
      </c>
      <c r="BK4" s="230">
        <v>-1963</v>
      </c>
      <c r="BL4" s="229">
        <v>-0.62190000000000001</v>
      </c>
      <c r="BM4" s="228">
        <v>732</v>
      </c>
      <c r="BN4" s="230">
        <v>1273</v>
      </c>
      <c r="BO4" s="228">
        <v>-541</v>
      </c>
      <c r="BP4" s="229">
        <v>-0.42499999999999999</v>
      </c>
      <c r="BQ4" s="230">
        <v>2198</v>
      </c>
      <c r="BR4" s="230">
        <v>5069</v>
      </c>
      <c r="BS4" s="230">
        <v>-2872</v>
      </c>
      <c r="BT4" s="229">
        <v>-0.5665</v>
      </c>
      <c r="BU4" s="230">
        <v>354895</v>
      </c>
      <c r="BV4" s="230">
        <v>454139</v>
      </c>
      <c r="BW4" s="230">
        <v>-99244</v>
      </c>
      <c r="BX4" s="229">
        <v>-0.2185</v>
      </c>
      <c r="BY4" s="230">
        <v>1762</v>
      </c>
      <c r="BZ4" s="230">
        <v>1772</v>
      </c>
      <c r="CA4" s="228">
        <v>-10</v>
      </c>
      <c r="CB4" s="229">
        <v>-5.7999999999999996E-3</v>
      </c>
      <c r="CC4" s="230">
        <v>1621</v>
      </c>
      <c r="CD4" s="230">
        <v>1632</v>
      </c>
      <c r="CE4" s="228">
        <v>-10</v>
      </c>
      <c r="CF4" s="229">
        <v>-6.1999999999999998E-3</v>
      </c>
      <c r="CG4" s="228">
        <v>126</v>
      </c>
      <c r="CH4" s="228">
        <v>127</v>
      </c>
      <c r="CI4" s="228">
        <v>-1</v>
      </c>
      <c r="CJ4" s="229">
        <v>-6.3E-3</v>
      </c>
      <c r="CK4" s="228">
        <v>0</v>
      </c>
      <c r="CL4" s="228">
        <v>0</v>
      </c>
      <c r="CM4" s="228">
        <v>0</v>
      </c>
      <c r="CN4" s="229">
        <v>0</v>
      </c>
      <c r="CO4" s="230">
        <v>1018</v>
      </c>
      <c r="CP4" s="228">
        <v>964</v>
      </c>
      <c r="CQ4" s="228">
        <v>54</v>
      </c>
      <c r="CR4" s="229">
        <v>5.5599999999999997E-2</v>
      </c>
      <c r="CS4" s="228">
        <v>567</v>
      </c>
      <c r="CT4" s="228">
        <v>598</v>
      </c>
      <c r="CU4" s="228">
        <v>-31</v>
      </c>
      <c r="CV4" s="229">
        <v>-5.1999999999999998E-2</v>
      </c>
      <c r="CW4" s="230">
        <v>3346</v>
      </c>
      <c r="CX4" s="230">
        <v>3334</v>
      </c>
      <c r="CY4" s="228">
        <v>12</v>
      </c>
      <c r="CZ4" s="229">
        <v>3.7000000000000002E-3</v>
      </c>
      <c r="DA4" s="228">
        <v>28.2</v>
      </c>
      <c r="DB4" s="228">
        <v>28.92</v>
      </c>
      <c r="DC4" s="228">
        <v>-0.72</v>
      </c>
      <c r="DD4" s="228">
        <v>-0.72</v>
      </c>
      <c r="DE4" s="228">
        <v>40.369999999999997</v>
      </c>
      <c r="DF4" s="228">
        <v>40.43</v>
      </c>
      <c r="DG4" s="228">
        <v>-12.17</v>
      </c>
      <c r="DH4" s="228">
        <v>-0.06</v>
      </c>
      <c r="DI4" s="228">
        <v>28.49</v>
      </c>
      <c r="DJ4" s="228">
        <v>28.44</v>
      </c>
      <c r="DK4" s="228">
        <v>0.05</v>
      </c>
      <c r="DL4" s="228">
        <v>0.05</v>
      </c>
      <c r="DM4" s="228">
        <v>27.73</v>
      </c>
      <c r="DN4" s="228">
        <v>30.12</v>
      </c>
      <c r="DO4" s="228">
        <v>-2.39</v>
      </c>
      <c r="DP4" s="228">
        <v>-2.39</v>
      </c>
      <c r="DQ4" s="228">
        <v>0.56000000000000005</v>
      </c>
      <c r="DR4" s="228">
        <v>0.62</v>
      </c>
      <c r="DS4" s="228">
        <v>-0.06</v>
      </c>
      <c r="DT4" s="229">
        <v>-9.6799999999999997E-2</v>
      </c>
      <c r="DU4" s="231">
        <v>6200</v>
      </c>
      <c r="DV4" s="231">
        <v>5500</v>
      </c>
      <c r="DW4" s="228">
        <v>0.61</v>
      </c>
      <c r="DX4" s="228">
        <v>0.4</v>
      </c>
      <c r="DY4" s="228">
        <v>0.21</v>
      </c>
      <c r="DZ4" s="229">
        <v>0.52500000000000002</v>
      </c>
      <c r="EA4" s="229">
        <v>7.1400000000000005E-2</v>
      </c>
      <c r="EB4" s="230">
        <v>219625</v>
      </c>
      <c r="EC4" s="229">
        <v>4.0000000000000001E-3</v>
      </c>
      <c r="ED4" s="229">
        <v>7.1400000000000005E-2</v>
      </c>
      <c r="EE4" s="228">
        <v>26.88</v>
      </c>
      <c r="EF4" s="229">
        <v>4.5999999999999999E-3</v>
      </c>
      <c r="EG4" s="230">
        <v>219030</v>
      </c>
      <c r="EH4" s="230">
        <v>177307</v>
      </c>
      <c r="EI4" s="229">
        <v>0.23530000000000001</v>
      </c>
      <c r="EJ4" s="229">
        <v>0.61719999999999997</v>
      </c>
      <c r="EK4" s="231">
        <v>1248.21</v>
      </c>
      <c r="EL4" s="228">
        <v>722</v>
      </c>
      <c r="EM4" s="228">
        <v>274.38</v>
      </c>
      <c r="EN4" s="228">
        <v>0</v>
      </c>
      <c r="EO4" s="231">
        <v>2244.58</v>
      </c>
      <c r="EP4" s="231">
        <v>5178.6899999999996</v>
      </c>
      <c r="EQ4" s="231">
        <v>-2934.11</v>
      </c>
      <c r="ER4" s="229">
        <v>-0.56659999999999999</v>
      </c>
      <c r="ES4" s="231">
        <v>1078.3</v>
      </c>
      <c r="ET4" s="228">
        <v>553.87</v>
      </c>
      <c r="EU4" s="231">
        <v>1762.16</v>
      </c>
      <c r="EV4" s="231">
        <v>10595418</v>
      </c>
      <c r="EW4" s="231">
        <v>3394.33</v>
      </c>
      <c r="EX4" s="231">
        <v>3405.14</v>
      </c>
      <c r="EY4" s="228">
        <v>-10.81</v>
      </c>
      <c r="EZ4" s="229">
        <v>-3.2000000000000002E-3</v>
      </c>
      <c r="FA4" s="229">
        <v>0.54769999999999996</v>
      </c>
      <c r="FB4" s="227" t="s">
        <v>568</v>
      </c>
      <c r="FC4">
        <f t="shared" si="0"/>
        <v>141</v>
      </c>
    </row>
    <row r="5" spans="1:159" ht="17.25" thickBot="1" x14ac:dyDescent="0.3">
      <c r="A5" s="226">
        <v>45860</v>
      </c>
      <c r="B5" s="227" t="s">
        <v>175</v>
      </c>
      <c r="C5" s="227" t="s">
        <v>544</v>
      </c>
      <c r="D5" s="228">
        <v>3100</v>
      </c>
      <c r="E5" s="228">
        <v>9</v>
      </c>
      <c r="F5" s="228">
        <v>269.39999999999998</v>
      </c>
      <c r="G5" s="228">
        <v>272.25</v>
      </c>
      <c r="H5" s="228">
        <v>-2.85</v>
      </c>
      <c r="I5" s="229">
        <v>-1.0500000000000001E-2</v>
      </c>
      <c r="J5" s="228">
        <v>268.55</v>
      </c>
      <c r="K5" s="228">
        <v>271.05</v>
      </c>
      <c r="L5" s="228">
        <v>-2.5</v>
      </c>
      <c r="M5" s="229">
        <v>-9.1999999999999998E-3</v>
      </c>
      <c r="N5" s="228">
        <v>269.39999999999998</v>
      </c>
      <c r="O5" s="228">
        <v>272.25</v>
      </c>
      <c r="P5" s="228">
        <v>-2.85</v>
      </c>
      <c r="Q5" s="229">
        <v>-1.0500000000000001E-2</v>
      </c>
      <c r="R5" s="228">
        <v>270.7</v>
      </c>
      <c r="S5" s="228">
        <v>273.5</v>
      </c>
      <c r="T5" s="228">
        <v>-2.8</v>
      </c>
      <c r="U5" s="229">
        <v>-1.0200000000000001E-2</v>
      </c>
      <c r="V5" s="228">
        <v>0</v>
      </c>
      <c r="W5" s="228">
        <v>0</v>
      </c>
      <c r="X5" s="228">
        <v>0</v>
      </c>
      <c r="Y5" s="229">
        <v>0</v>
      </c>
      <c r="Z5" s="228">
        <v>0.85</v>
      </c>
      <c r="AA5" s="228">
        <v>1.2</v>
      </c>
      <c r="AB5" s="228">
        <v>-0.35</v>
      </c>
      <c r="AC5" s="229">
        <v>3.2000000000000002E-3</v>
      </c>
      <c r="AD5" s="228">
        <v>0.85</v>
      </c>
      <c r="AE5" s="228">
        <v>1.2</v>
      </c>
      <c r="AF5" s="228">
        <v>-0.35</v>
      </c>
      <c r="AG5" s="229">
        <v>3.2000000000000002E-3</v>
      </c>
      <c r="AH5" s="228">
        <v>2.15</v>
      </c>
      <c r="AI5" s="228">
        <v>2.4500000000000002</v>
      </c>
      <c r="AJ5" s="228">
        <v>-0.3</v>
      </c>
      <c r="AK5" s="229">
        <v>8.0000000000000002E-3</v>
      </c>
      <c r="AL5" s="228">
        <v>0</v>
      </c>
      <c r="AM5" s="228">
        <v>0</v>
      </c>
      <c r="AN5" s="228">
        <v>0</v>
      </c>
      <c r="AO5" s="229">
        <v>0</v>
      </c>
      <c r="AP5" s="228">
        <v>270.87</v>
      </c>
      <c r="AQ5" s="228">
        <v>272.35000000000002</v>
      </c>
      <c r="AR5" s="228">
        <v>0</v>
      </c>
      <c r="AS5" s="228">
        <v>189</v>
      </c>
      <c r="AT5" s="228">
        <v>287</v>
      </c>
      <c r="AU5" s="228">
        <v>-98</v>
      </c>
      <c r="AV5" s="229">
        <v>-0.3407</v>
      </c>
      <c r="AW5" s="228">
        <v>131</v>
      </c>
      <c r="AX5" s="228">
        <v>204</v>
      </c>
      <c r="AY5" s="228">
        <v>-73</v>
      </c>
      <c r="AZ5" s="229">
        <v>-0.35709999999999997</v>
      </c>
      <c r="BA5" s="228">
        <v>57</v>
      </c>
      <c r="BB5" s="228">
        <v>81</v>
      </c>
      <c r="BC5" s="228">
        <v>-24</v>
      </c>
      <c r="BD5" s="229">
        <v>-0.30049999999999999</v>
      </c>
      <c r="BE5" s="228">
        <v>0</v>
      </c>
      <c r="BF5" s="228">
        <v>0</v>
      </c>
      <c r="BG5" s="228">
        <v>0</v>
      </c>
      <c r="BH5" s="229">
        <v>0</v>
      </c>
      <c r="BI5" s="228">
        <v>388</v>
      </c>
      <c r="BJ5" s="228">
        <v>600</v>
      </c>
      <c r="BK5" s="228">
        <v>-213</v>
      </c>
      <c r="BL5" s="229">
        <v>-0.35449999999999998</v>
      </c>
      <c r="BM5" s="228">
        <v>216</v>
      </c>
      <c r="BN5" s="228">
        <v>385</v>
      </c>
      <c r="BO5" s="228">
        <v>-169</v>
      </c>
      <c r="BP5" s="229">
        <v>-0.439</v>
      </c>
      <c r="BQ5" s="228">
        <v>793</v>
      </c>
      <c r="BR5" s="230">
        <v>1272</v>
      </c>
      <c r="BS5" s="228">
        <v>-480</v>
      </c>
      <c r="BT5" s="229">
        <v>-0.37690000000000001</v>
      </c>
      <c r="BU5" s="230">
        <v>2404111</v>
      </c>
      <c r="BV5" s="230">
        <v>3845381</v>
      </c>
      <c r="BW5" s="230">
        <v>-1441270</v>
      </c>
      <c r="BX5" s="229">
        <v>-0.37480000000000002</v>
      </c>
      <c r="BY5" s="230">
        <v>1466</v>
      </c>
      <c r="BZ5" s="230">
        <v>1480</v>
      </c>
      <c r="CA5" s="228">
        <v>-14</v>
      </c>
      <c r="CB5" s="229">
        <v>-9.4000000000000004E-3</v>
      </c>
      <c r="CC5" s="230">
        <v>1323</v>
      </c>
      <c r="CD5" s="230">
        <v>1341</v>
      </c>
      <c r="CE5" s="228">
        <v>-18</v>
      </c>
      <c r="CF5" s="229">
        <v>-1.37E-2</v>
      </c>
      <c r="CG5" s="228">
        <v>138</v>
      </c>
      <c r="CH5" s="228">
        <v>134</v>
      </c>
      <c r="CI5" s="228">
        <v>4</v>
      </c>
      <c r="CJ5" s="229">
        <v>3.1199999999999999E-2</v>
      </c>
      <c r="CK5" s="228">
        <v>0</v>
      </c>
      <c r="CL5" s="228">
        <v>0</v>
      </c>
      <c r="CM5" s="228">
        <v>0</v>
      </c>
      <c r="CN5" s="229">
        <v>0</v>
      </c>
      <c r="CO5" s="228">
        <v>625</v>
      </c>
      <c r="CP5" s="228">
        <v>629</v>
      </c>
      <c r="CQ5" s="228">
        <v>-4</v>
      </c>
      <c r="CR5" s="229">
        <v>-6.1999999999999998E-3</v>
      </c>
      <c r="CS5" s="228">
        <v>378</v>
      </c>
      <c r="CT5" s="228">
        <v>379</v>
      </c>
      <c r="CU5" s="228">
        <v>-1</v>
      </c>
      <c r="CV5" s="229">
        <v>-2.8999999999999998E-3</v>
      </c>
      <c r="CW5" s="230">
        <v>2469</v>
      </c>
      <c r="CX5" s="230">
        <v>2488</v>
      </c>
      <c r="CY5" s="228">
        <v>-19</v>
      </c>
      <c r="CZ5" s="229">
        <v>-7.6E-3</v>
      </c>
      <c r="DA5" s="228">
        <v>29.98</v>
      </c>
      <c r="DB5" s="228">
        <v>29.94</v>
      </c>
      <c r="DC5" s="228">
        <v>0.04</v>
      </c>
      <c r="DD5" s="228">
        <v>0.04</v>
      </c>
      <c r="DE5" s="228">
        <v>40.270000000000003</v>
      </c>
      <c r="DF5" s="228">
        <v>40.340000000000003</v>
      </c>
      <c r="DG5" s="228">
        <v>-10.29</v>
      </c>
      <c r="DH5" s="228">
        <v>-7.0000000000000007E-2</v>
      </c>
      <c r="DI5" s="228">
        <v>30.04</v>
      </c>
      <c r="DJ5" s="228">
        <v>29.44</v>
      </c>
      <c r="DK5" s="228">
        <v>0.6</v>
      </c>
      <c r="DL5" s="228">
        <v>0.6</v>
      </c>
      <c r="DM5" s="228">
        <v>29.88</v>
      </c>
      <c r="DN5" s="228">
        <v>30.71</v>
      </c>
      <c r="DO5" s="228">
        <v>-0.83</v>
      </c>
      <c r="DP5" s="228">
        <v>-0.83</v>
      </c>
      <c r="DQ5" s="228">
        <v>0.6</v>
      </c>
      <c r="DR5" s="228">
        <v>0.6</v>
      </c>
      <c r="DS5" s="228">
        <v>0</v>
      </c>
      <c r="DT5" s="229">
        <v>0</v>
      </c>
      <c r="DU5" s="228">
        <v>270</v>
      </c>
      <c r="DV5" s="228">
        <v>260</v>
      </c>
      <c r="DW5" s="228">
        <v>0.56000000000000005</v>
      </c>
      <c r="DX5" s="228">
        <v>0.64</v>
      </c>
      <c r="DY5" s="228">
        <v>-0.08</v>
      </c>
      <c r="DZ5" s="229">
        <v>-0.125</v>
      </c>
      <c r="EA5" s="229">
        <v>9.4200000000000006E-2</v>
      </c>
      <c r="EB5" s="230">
        <v>4972400</v>
      </c>
      <c r="EC5" s="229">
        <v>4.7999999999999996E-3</v>
      </c>
      <c r="ED5" s="229">
        <v>9.4200000000000006E-2</v>
      </c>
      <c r="EE5" s="228">
        <v>1.48</v>
      </c>
      <c r="EF5" s="229">
        <v>5.4999999999999997E-3</v>
      </c>
      <c r="EG5" s="230">
        <v>963538</v>
      </c>
      <c r="EH5" s="230">
        <v>1936008</v>
      </c>
      <c r="EI5" s="229">
        <v>-0.50229999999999997</v>
      </c>
      <c r="EJ5" s="229">
        <v>0.40079999999999999</v>
      </c>
      <c r="EK5" s="228">
        <v>404.65</v>
      </c>
      <c r="EL5" s="228">
        <v>213.99</v>
      </c>
      <c r="EM5" s="228">
        <v>190.6</v>
      </c>
      <c r="EN5" s="228">
        <v>0</v>
      </c>
      <c r="EO5" s="228">
        <v>809.24</v>
      </c>
      <c r="EP5" s="231">
        <v>1288.5</v>
      </c>
      <c r="EQ5" s="228">
        <v>-479.26</v>
      </c>
      <c r="ER5" s="229">
        <v>-0.372</v>
      </c>
      <c r="ES5" s="228">
        <v>643.58000000000004</v>
      </c>
      <c r="ET5" s="228">
        <v>360.56</v>
      </c>
      <c r="EU5" s="231">
        <v>1467.05</v>
      </c>
      <c r="EV5" s="231">
        <v>162442174</v>
      </c>
      <c r="EW5" s="231">
        <v>2471.19</v>
      </c>
      <c r="EX5" s="231">
        <v>2504.94</v>
      </c>
      <c r="EY5" s="228">
        <v>-33.75</v>
      </c>
      <c r="EZ5" s="229">
        <v>-1.35E-2</v>
      </c>
      <c r="FA5" s="229">
        <v>0.56410000000000005</v>
      </c>
      <c r="FB5" s="227" t="s">
        <v>568</v>
      </c>
      <c r="FC5">
        <f t="shared" si="0"/>
        <v>143</v>
      </c>
    </row>
    <row r="6" spans="1:159" ht="17.25" thickBot="1" x14ac:dyDescent="0.3">
      <c r="A6" s="226">
        <v>45860</v>
      </c>
      <c r="B6" s="227" t="s">
        <v>197</v>
      </c>
      <c r="C6" s="227" t="s">
        <v>499</v>
      </c>
      <c r="D6" s="228">
        <v>2600</v>
      </c>
      <c r="E6" s="228">
        <v>9</v>
      </c>
      <c r="F6" s="228">
        <v>75.64</v>
      </c>
      <c r="G6" s="228">
        <v>75.209999999999994</v>
      </c>
      <c r="H6" s="228">
        <v>0.43</v>
      </c>
      <c r="I6" s="229">
        <v>5.7000000000000002E-3</v>
      </c>
      <c r="J6" s="228">
        <v>75.64</v>
      </c>
      <c r="K6" s="228">
        <v>75.099999999999994</v>
      </c>
      <c r="L6" s="228">
        <v>0.54</v>
      </c>
      <c r="M6" s="229">
        <v>7.1999999999999998E-3</v>
      </c>
      <c r="N6" s="228">
        <v>75.64</v>
      </c>
      <c r="O6" s="228">
        <v>75.209999999999994</v>
      </c>
      <c r="P6" s="228">
        <v>0.43</v>
      </c>
      <c r="Q6" s="229">
        <v>5.7000000000000002E-3</v>
      </c>
      <c r="R6" s="228">
        <v>76.010000000000005</v>
      </c>
      <c r="S6" s="228">
        <v>75.59</v>
      </c>
      <c r="T6" s="228">
        <v>0.42</v>
      </c>
      <c r="U6" s="229">
        <v>5.5999999999999999E-3</v>
      </c>
      <c r="V6" s="228">
        <v>0</v>
      </c>
      <c r="W6" s="228">
        <v>0</v>
      </c>
      <c r="X6" s="228">
        <v>0</v>
      </c>
      <c r="Y6" s="229">
        <v>0</v>
      </c>
      <c r="Z6" s="228">
        <v>0</v>
      </c>
      <c r="AA6" s="228">
        <v>0.11</v>
      </c>
      <c r="AB6" s="228">
        <v>-0.11</v>
      </c>
      <c r="AC6" s="229">
        <v>0</v>
      </c>
      <c r="AD6" s="228">
        <v>0</v>
      </c>
      <c r="AE6" s="228">
        <v>0.11</v>
      </c>
      <c r="AF6" s="228">
        <v>-0.11</v>
      </c>
      <c r="AG6" s="229">
        <v>0</v>
      </c>
      <c r="AH6" s="228">
        <v>0.37</v>
      </c>
      <c r="AI6" s="228">
        <v>0.49</v>
      </c>
      <c r="AJ6" s="228">
        <v>-0.12</v>
      </c>
      <c r="AK6" s="229">
        <v>4.8999999999999998E-3</v>
      </c>
      <c r="AL6" s="228">
        <v>0</v>
      </c>
      <c r="AM6" s="228">
        <v>0</v>
      </c>
      <c r="AN6" s="228">
        <v>0</v>
      </c>
      <c r="AO6" s="229">
        <v>0</v>
      </c>
      <c r="AP6" s="228">
        <v>75.430000000000007</v>
      </c>
      <c r="AQ6" s="228">
        <v>75.83</v>
      </c>
      <c r="AR6" s="228">
        <v>0</v>
      </c>
      <c r="AS6" s="228">
        <v>53</v>
      </c>
      <c r="AT6" s="228">
        <v>42</v>
      </c>
      <c r="AU6" s="228">
        <v>11</v>
      </c>
      <c r="AV6" s="229">
        <v>0.25119999999999998</v>
      </c>
      <c r="AW6" s="228">
        <v>42</v>
      </c>
      <c r="AX6" s="228">
        <v>30</v>
      </c>
      <c r="AY6" s="228">
        <v>12</v>
      </c>
      <c r="AZ6" s="229">
        <v>0.39100000000000001</v>
      </c>
      <c r="BA6" s="228">
        <v>11</v>
      </c>
      <c r="BB6" s="228">
        <v>12</v>
      </c>
      <c r="BC6" s="228">
        <v>-1</v>
      </c>
      <c r="BD6" s="229">
        <v>-9.2100000000000001E-2</v>
      </c>
      <c r="BE6" s="228">
        <v>0</v>
      </c>
      <c r="BF6" s="228">
        <v>0</v>
      </c>
      <c r="BG6" s="228">
        <v>0</v>
      </c>
      <c r="BH6" s="229">
        <v>0</v>
      </c>
      <c r="BI6" s="228">
        <v>87</v>
      </c>
      <c r="BJ6" s="228">
        <v>70</v>
      </c>
      <c r="BK6" s="228">
        <v>17</v>
      </c>
      <c r="BL6" s="229">
        <v>0.2477</v>
      </c>
      <c r="BM6" s="228">
        <v>22</v>
      </c>
      <c r="BN6" s="228">
        <v>22</v>
      </c>
      <c r="BO6" s="228">
        <v>1</v>
      </c>
      <c r="BP6" s="229">
        <v>3.1600000000000003E-2</v>
      </c>
      <c r="BQ6" s="228">
        <v>162</v>
      </c>
      <c r="BR6" s="228">
        <v>134</v>
      </c>
      <c r="BS6" s="228">
        <v>29</v>
      </c>
      <c r="BT6" s="229">
        <v>0.2135</v>
      </c>
      <c r="BU6" s="230">
        <v>6649523</v>
      </c>
      <c r="BV6" s="230">
        <v>2504179</v>
      </c>
      <c r="BW6" s="230">
        <v>4145344</v>
      </c>
      <c r="BX6" s="229">
        <v>1.6554</v>
      </c>
      <c r="BY6" s="228">
        <v>451</v>
      </c>
      <c r="BZ6" s="228">
        <v>454</v>
      </c>
      <c r="CA6" s="228">
        <v>-3</v>
      </c>
      <c r="CB6" s="229">
        <v>-6.7000000000000002E-3</v>
      </c>
      <c r="CC6" s="228">
        <v>384</v>
      </c>
      <c r="CD6" s="228">
        <v>393</v>
      </c>
      <c r="CE6" s="228">
        <v>-9</v>
      </c>
      <c r="CF6" s="229">
        <v>-2.3300000000000001E-2</v>
      </c>
      <c r="CG6" s="228">
        <v>67</v>
      </c>
      <c r="CH6" s="228">
        <v>61</v>
      </c>
      <c r="CI6" s="228">
        <v>6</v>
      </c>
      <c r="CJ6" s="229">
        <v>0.1004</v>
      </c>
      <c r="CK6" s="228">
        <v>0</v>
      </c>
      <c r="CL6" s="228">
        <v>0</v>
      </c>
      <c r="CM6" s="228">
        <v>0</v>
      </c>
      <c r="CN6" s="229">
        <v>0</v>
      </c>
      <c r="CO6" s="228">
        <v>227</v>
      </c>
      <c r="CP6" s="228">
        <v>232</v>
      </c>
      <c r="CQ6" s="228">
        <v>-5</v>
      </c>
      <c r="CR6" s="229">
        <v>-2.0400000000000001E-2</v>
      </c>
      <c r="CS6" s="228">
        <v>160</v>
      </c>
      <c r="CT6" s="228">
        <v>158</v>
      </c>
      <c r="CU6" s="228">
        <v>2</v>
      </c>
      <c r="CV6" s="229">
        <v>1.11E-2</v>
      </c>
      <c r="CW6" s="228">
        <v>837</v>
      </c>
      <c r="CX6" s="228">
        <v>843</v>
      </c>
      <c r="CY6" s="228">
        <v>-6</v>
      </c>
      <c r="CZ6" s="229">
        <v>-7.1999999999999998E-3</v>
      </c>
      <c r="DA6" s="228">
        <v>32.35</v>
      </c>
      <c r="DB6" s="228">
        <v>34.94</v>
      </c>
      <c r="DC6" s="228">
        <v>-2.59</v>
      </c>
      <c r="DD6" s="228">
        <v>-2.59</v>
      </c>
      <c r="DE6" s="228">
        <v>43.73</v>
      </c>
      <c r="DF6" s="228">
        <v>43.83</v>
      </c>
      <c r="DG6" s="228">
        <v>-11.38</v>
      </c>
      <c r="DH6" s="228">
        <v>-0.1</v>
      </c>
      <c r="DI6" s="228">
        <v>33.47</v>
      </c>
      <c r="DJ6" s="228">
        <v>35.979999999999997</v>
      </c>
      <c r="DK6" s="228">
        <v>-2.5099999999999998</v>
      </c>
      <c r="DL6" s="228">
        <v>-2.5099999999999998</v>
      </c>
      <c r="DM6" s="228">
        <v>28.01</v>
      </c>
      <c r="DN6" s="228">
        <v>31.62</v>
      </c>
      <c r="DO6" s="228">
        <v>-3.61</v>
      </c>
      <c r="DP6" s="228">
        <v>-3.61</v>
      </c>
      <c r="DQ6" s="228">
        <v>0.7</v>
      </c>
      <c r="DR6" s="228">
        <v>0.68</v>
      </c>
      <c r="DS6" s="228">
        <v>0.02</v>
      </c>
      <c r="DT6" s="229">
        <v>2.9399999999999999E-2</v>
      </c>
      <c r="DU6" s="228">
        <v>80</v>
      </c>
      <c r="DV6" s="228">
        <v>75</v>
      </c>
      <c r="DW6" s="228">
        <v>0.26</v>
      </c>
      <c r="DX6" s="228">
        <v>0.31</v>
      </c>
      <c r="DY6" s="228">
        <v>-0.05</v>
      </c>
      <c r="DZ6" s="229">
        <v>-0.1613</v>
      </c>
      <c r="EA6" s="229">
        <v>0.14829999999999999</v>
      </c>
      <c r="EB6" s="230">
        <v>8026200</v>
      </c>
      <c r="EC6" s="229">
        <v>4.8999999999999998E-3</v>
      </c>
      <c r="ED6" s="229">
        <v>0.14829999999999999</v>
      </c>
      <c r="EE6" s="228">
        <v>0.4</v>
      </c>
      <c r="EF6" s="229">
        <v>5.3E-3</v>
      </c>
      <c r="EG6" s="230">
        <v>4387048</v>
      </c>
      <c r="EH6" s="230">
        <v>992348</v>
      </c>
      <c r="EI6" s="229">
        <v>3.4209000000000001</v>
      </c>
      <c r="EJ6" s="229">
        <v>0.65980000000000005</v>
      </c>
      <c r="EK6" s="228">
        <v>91.24</v>
      </c>
      <c r="EL6" s="228">
        <v>22.77</v>
      </c>
      <c r="EM6" s="228">
        <v>52.52</v>
      </c>
      <c r="EN6" s="228">
        <v>0</v>
      </c>
      <c r="EO6" s="228">
        <v>166.53</v>
      </c>
      <c r="EP6" s="228">
        <v>137.29</v>
      </c>
      <c r="EQ6" s="228">
        <v>29.24</v>
      </c>
      <c r="ER6" s="229">
        <v>0.21299999999999999</v>
      </c>
      <c r="ES6" s="228">
        <v>241.99</v>
      </c>
      <c r="ET6" s="228">
        <v>154.03</v>
      </c>
      <c r="EU6" s="228">
        <v>450.94</v>
      </c>
      <c r="EV6" s="231">
        <v>121580965</v>
      </c>
      <c r="EW6" s="228">
        <v>846.97</v>
      </c>
      <c r="EX6" s="228">
        <v>850.69</v>
      </c>
      <c r="EY6" s="228">
        <v>-3.72</v>
      </c>
      <c r="EZ6" s="229">
        <v>-4.4000000000000003E-3</v>
      </c>
      <c r="FA6" s="229">
        <v>0.91059999999999997</v>
      </c>
      <c r="FB6" s="227" t="s">
        <v>556</v>
      </c>
      <c r="FC6">
        <f t="shared" si="0"/>
        <v>67</v>
      </c>
    </row>
    <row r="7" spans="1:159" ht="17.25" thickBot="1" x14ac:dyDescent="0.3">
      <c r="A7" s="226">
        <v>45860</v>
      </c>
      <c r="B7" s="227" t="s">
        <v>157</v>
      </c>
      <c r="C7" s="227" t="s">
        <v>158</v>
      </c>
      <c r="D7" s="228">
        <v>300</v>
      </c>
      <c r="E7" s="228">
        <v>9</v>
      </c>
      <c r="F7" s="231">
        <v>1959.7</v>
      </c>
      <c r="G7" s="231">
        <v>1980.6</v>
      </c>
      <c r="H7" s="228">
        <v>-20.9</v>
      </c>
      <c r="I7" s="229">
        <v>-1.06E-2</v>
      </c>
      <c r="J7" s="231">
        <v>1958.9</v>
      </c>
      <c r="K7" s="231">
        <v>1978.4</v>
      </c>
      <c r="L7" s="228">
        <v>-19.5</v>
      </c>
      <c r="M7" s="229">
        <v>-9.9000000000000008E-3</v>
      </c>
      <c r="N7" s="231">
        <v>1959.7</v>
      </c>
      <c r="O7" s="231">
        <v>1980.6</v>
      </c>
      <c r="P7" s="228">
        <v>-20.9</v>
      </c>
      <c r="Q7" s="229">
        <v>-1.06E-2</v>
      </c>
      <c r="R7" s="228">
        <v>0</v>
      </c>
      <c r="S7" s="228">
        <v>0</v>
      </c>
      <c r="T7" s="228">
        <v>0</v>
      </c>
      <c r="U7" s="229">
        <v>0</v>
      </c>
      <c r="V7" s="228">
        <v>0</v>
      </c>
      <c r="W7" s="228">
        <v>0</v>
      </c>
      <c r="X7" s="228">
        <v>0</v>
      </c>
      <c r="Y7" s="229">
        <v>0</v>
      </c>
      <c r="Z7" s="228">
        <v>0.8</v>
      </c>
      <c r="AA7" s="228">
        <v>2.2000000000000002</v>
      </c>
      <c r="AB7" s="228">
        <v>-1.4</v>
      </c>
      <c r="AC7" s="229">
        <v>4.0000000000000002E-4</v>
      </c>
      <c r="AD7" s="228">
        <v>0.8</v>
      </c>
      <c r="AE7" s="228">
        <v>2.2000000000000002</v>
      </c>
      <c r="AF7" s="228">
        <v>-1.4</v>
      </c>
      <c r="AG7" s="229">
        <v>4.0000000000000002E-4</v>
      </c>
      <c r="AH7" s="228">
        <v>0</v>
      </c>
      <c r="AI7" s="228">
        <v>0</v>
      </c>
      <c r="AJ7" s="228">
        <v>0</v>
      </c>
      <c r="AK7" s="229">
        <v>0</v>
      </c>
      <c r="AL7" s="228">
        <v>0</v>
      </c>
      <c r="AM7" s="228">
        <v>0</v>
      </c>
      <c r="AN7" s="228">
        <v>0</v>
      </c>
      <c r="AO7" s="229">
        <v>0</v>
      </c>
      <c r="AP7" s="231">
        <v>1972.05</v>
      </c>
      <c r="AQ7" s="228">
        <v>0</v>
      </c>
      <c r="AR7" s="228">
        <v>0</v>
      </c>
      <c r="AS7" s="228">
        <v>115</v>
      </c>
      <c r="AT7" s="228">
        <v>126</v>
      </c>
      <c r="AU7" s="228">
        <v>-11</v>
      </c>
      <c r="AV7" s="229">
        <v>-0.09</v>
      </c>
      <c r="AW7" s="228">
        <v>115</v>
      </c>
      <c r="AX7" s="228">
        <v>126</v>
      </c>
      <c r="AY7" s="228">
        <v>-11</v>
      </c>
      <c r="AZ7" s="229">
        <v>-0.09</v>
      </c>
      <c r="BA7" s="228">
        <v>0</v>
      </c>
      <c r="BB7" s="228">
        <v>0</v>
      </c>
      <c r="BC7" s="228">
        <v>0</v>
      </c>
      <c r="BD7" s="229">
        <v>0</v>
      </c>
      <c r="BE7" s="228">
        <v>0</v>
      </c>
      <c r="BF7" s="228">
        <v>0</v>
      </c>
      <c r="BG7" s="228">
        <v>0</v>
      </c>
      <c r="BH7" s="229">
        <v>0</v>
      </c>
      <c r="BI7" s="228">
        <v>305</v>
      </c>
      <c r="BJ7" s="228">
        <v>240</v>
      </c>
      <c r="BK7" s="228">
        <v>65</v>
      </c>
      <c r="BL7" s="229">
        <v>0.26950000000000002</v>
      </c>
      <c r="BM7" s="228">
        <v>69</v>
      </c>
      <c r="BN7" s="228">
        <v>64</v>
      </c>
      <c r="BO7" s="228">
        <v>5</v>
      </c>
      <c r="BP7" s="229">
        <v>0.08</v>
      </c>
      <c r="BQ7" s="228">
        <v>488</v>
      </c>
      <c r="BR7" s="228">
        <v>430</v>
      </c>
      <c r="BS7" s="228">
        <v>58</v>
      </c>
      <c r="BT7" s="229">
        <v>0.13589999999999999</v>
      </c>
      <c r="BU7" s="230">
        <v>233235</v>
      </c>
      <c r="BV7" s="230">
        <v>391372</v>
      </c>
      <c r="BW7" s="230">
        <v>-158137</v>
      </c>
      <c r="BX7" s="229">
        <v>-0.40410000000000001</v>
      </c>
      <c r="BY7" s="228">
        <v>712</v>
      </c>
      <c r="BZ7" s="228">
        <v>728</v>
      </c>
      <c r="CA7" s="228">
        <v>-16</v>
      </c>
      <c r="CB7" s="229">
        <v>-2.1600000000000001E-2</v>
      </c>
      <c r="CC7" s="228">
        <v>712</v>
      </c>
      <c r="CD7" s="228">
        <v>728</v>
      </c>
      <c r="CE7" s="228">
        <v>-16</v>
      </c>
      <c r="CF7" s="229">
        <v>-2.1600000000000001E-2</v>
      </c>
      <c r="CG7" s="228">
        <v>0</v>
      </c>
      <c r="CH7" s="228">
        <v>0</v>
      </c>
      <c r="CI7" s="228">
        <v>0</v>
      </c>
      <c r="CJ7" s="229">
        <v>0</v>
      </c>
      <c r="CK7" s="228">
        <v>0</v>
      </c>
      <c r="CL7" s="228">
        <v>0</v>
      </c>
      <c r="CM7" s="228">
        <v>0</v>
      </c>
      <c r="CN7" s="229">
        <v>0</v>
      </c>
      <c r="CO7" s="228">
        <v>375</v>
      </c>
      <c r="CP7" s="228">
        <v>360</v>
      </c>
      <c r="CQ7" s="228">
        <v>15</v>
      </c>
      <c r="CR7" s="229">
        <v>4.2700000000000002E-2</v>
      </c>
      <c r="CS7" s="228">
        <v>237</v>
      </c>
      <c r="CT7" s="228">
        <v>224</v>
      </c>
      <c r="CU7" s="228">
        <v>13</v>
      </c>
      <c r="CV7" s="229">
        <v>5.7000000000000002E-2</v>
      </c>
      <c r="CW7" s="230">
        <v>1324</v>
      </c>
      <c r="CX7" s="230">
        <v>1311</v>
      </c>
      <c r="CY7" s="228">
        <v>12</v>
      </c>
      <c r="CZ7" s="229">
        <v>9.4000000000000004E-3</v>
      </c>
      <c r="DA7" s="228">
        <v>28.85</v>
      </c>
      <c r="DB7" s="228">
        <v>29.41</v>
      </c>
      <c r="DC7" s="228">
        <v>-0.56000000000000005</v>
      </c>
      <c r="DD7" s="228">
        <v>-0.56000000000000005</v>
      </c>
      <c r="DE7" s="228">
        <v>32.51</v>
      </c>
      <c r="DF7" s="228">
        <v>32.56</v>
      </c>
      <c r="DG7" s="228">
        <v>-3.66</v>
      </c>
      <c r="DH7" s="228">
        <v>-0.05</v>
      </c>
      <c r="DI7" s="228">
        <v>29.03</v>
      </c>
      <c r="DJ7" s="228">
        <v>29.43</v>
      </c>
      <c r="DK7" s="228">
        <v>-0.4</v>
      </c>
      <c r="DL7" s="228">
        <v>-0.4</v>
      </c>
      <c r="DM7" s="228">
        <v>28.08</v>
      </c>
      <c r="DN7" s="228">
        <v>29.35</v>
      </c>
      <c r="DO7" s="228">
        <v>-1.27</v>
      </c>
      <c r="DP7" s="228">
        <v>-1.27</v>
      </c>
      <c r="DQ7" s="228">
        <v>0.63</v>
      </c>
      <c r="DR7" s="228">
        <v>0.62</v>
      </c>
      <c r="DS7" s="228">
        <v>0.01</v>
      </c>
      <c r="DT7" s="229">
        <v>1.61E-2</v>
      </c>
      <c r="DU7" s="231">
        <v>2000</v>
      </c>
      <c r="DV7" s="231">
        <v>1900</v>
      </c>
      <c r="DW7" s="228">
        <v>0.23</v>
      </c>
      <c r="DX7" s="228">
        <v>0.27</v>
      </c>
      <c r="DY7" s="228">
        <v>-0.04</v>
      </c>
      <c r="DZ7" s="229">
        <v>-0.14810000000000001</v>
      </c>
      <c r="EA7" s="229">
        <v>0</v>
      </c>
      <c r="EB7" s="228">
        <v>0</v>
      </c>
      <c r="EC7" s="229">
        <v>0</v>
      </c>
      <c r="ED7" s="229">
        <v>0</v>
      </c>
      <c r="EE7" s="228">
        <v>0</v>
      </c>
      <c r="EF7" s="229">
        <v>0</v>
      </c>
      <c r="EG7" s="230">
        <v>131943</v>
      </c>
      <c r="EH7" s="230">
        <v>237516</v>
      </c>
      <c r="EI7" s="229">
        <v>-0.44450000000000001</v>
      </c>
      <c r="EJ7" s="229">
        <v>0.56569999999999998</v>
      </c>
      <c r="EK7" s="228">
        <v>316.99</v>
      </c>
      <c r="EL7" s="228">
        <v>69.5</v>
      </c>
      <c r="EM7" s="228">
        <v>115.42</v>
      </c>
      <c r="EN7" s="228">
        <v>0</v>
      </c>
      <c r="EO7" s="228">
        <v>501.91</v>
      </c>
      <c r="EP7" s="228">
        <v>441.01</v>
      </c>
      <c r="EQ7" s="228">
        <v>60.9</v>
      </c>
      <c r="ER7" s="229">
        <v>0.1381</v>
      </c>
      <c r="ES7" s="228">
        <v>383.36</v>
      </c>
      <c r="ET7" s="228">
        <v>227.82</v>
      </c>
      <c r="EU7" s="228">
        <v>712.31</v>
      </c>
      <c r="EV7" s="231">
        <v>16266067</v>
      </c>
      <c r="EW7" s="231">
        <v>1323.5</v>
      </c>
      <c r="EX7" s="231">
        <v>1318.44</v>
      </c>
      <c r="EY7" s="228">
        <v>5.0599999999999996</v>
      </c>
      <c r="EZ7" s="229">
        <v>3.8E-3</v>
      </c>
      <c r="FA7" s="229">
        <v>0.4153</v>
      </c>
      <c r="FB7" s="227" t="s">
        <v>568</v>
      </c>
      <c r="FC7">
        <f t="shared" si="0"/>
        <v>0</v>
      </c>
    </row>
    <row r="8" spans="1:159" ht="17.25" thickBot="1" x14ac:dyDescent="0.3">
      <c r="A8" s="226">
        <v>45860</v>
      </c>
      <c r="B8" s="227" t="s">
        <v>161</v>
      </c>
      <c r="C8" s="227" t="s">
        <v>580</v>
      </c>
      <c r="D8" s="228">
        <v>675</v>
      </c>
      <c r="E8" s="228">
        <v>9</v>
      </c>
      <c r="F8" s="228">
        <v>867.45</v>
      </c>
      <c r="G8" s="228">
        <v>873.85</v>
      </c>
      <c r="H8" s="228">
        <v>-6.4</v>
      </c>
      <c r="I8" s="229">
        <v>-7.3000000000000001E-3</v>
      </c>
      <c r="J8" s="228">
        <v>867.2</v>
      </c>
      <c r="K8" s="228">
        <v>871.65</v>
      </c>
      <c r="L8" s="228">
        <v>-4.45</v>
      </c>
      <c r="M8" s="229">
        <v>-5.1000000000000004E-3</v>
      </c>
      <c r="N8" s="228">
        <v>867.45</v>
      </c>
      <c r="O8" s="228">
        <v>873.85</v>
      </c>
      <c r="P8" s="228">
        <v>-6.4</v>
      </c>
      <c r="Q8" s="229">
        <v>-7.3000000000000001E-3</v>
      </c>
      <c r="R8" s="228">
        <v>872</v>
      </c>
      <c r="S8" s="228">
        <v>878.7</v>
      </c>
      <c r="T8" s="228">
        <v>-6.7</v>
      </c>
      <c r="U8" s="229">
        <v>-7.6E-3</v>
      </c>
      <c r="V8" s="228">
        <v>0</v>
      </c>
      <c r="W8" s="228">
        <v>0</v>
      </c>
      <c r="X8" s="228">
        <v>0</v>
      </c>
      <c r="Y8" s="229">
        <v>0</v>
      </c>
      <c r="Z8" s="228">
        <v>0.25</v>
      </c>
      <c r="AA8" s="228">
        <v>2.2000000000000002</v>
      </c>
      <c r="AB8" s="228">
        <v>-1.95</v>
      </c>
      <c r="AC8" s="229">
        <v>2.9999999999999997E-4</v>
      </c>
      <c r="AD8" s="228">
        <v>0.25</v>
      </c>
      <c r="AE8" s="228">
        <v>2.2000000000000002</v>
      </c>
      <c r="AF8" s="228">
        <v>-1.95</v>
      </c>
      <c r="AG8" s="229">
        <v>2.9999999999999997E-4</v>
      </c>
      <c r="AH8" s="228">
        <v>4.8</v>
      </c>
      <c r="AI8" s="228">
        <v>7.05</v>
      </c>
      <c r="AJ8" s="228">
        <v>-2.25</v>
      </c>
      <c r="AK8" s="229">
        <v>5.4999999999999997E-3</v>
      </c>
      <c r="AL8" s="228">
        <v>0</v>
      </c>
      <c r="AM8" s="228">
        <v>0</v>
      </c>
      <c r="AN8" s="228">
        <v>0</v>
      </c>
      <c r="AO8" s="229">
        <v>0</v>
      </c>
      <c r="AP8" s="228">
        <v>871.01</v>
      </c>
      <c r="AQ8" s="228">
        <v>875.91</v>
      </c>
      <c r="AR8" s="228">
        <v>0</v>
      </c>
      <c r="AS8" s="228">
        <v>75</v>
      </c>
      <c r="AT8" s="228">
        <v>109</v>
      </c>
      <c r="AU8" s="228">
        <v>-34</v>
      </c>
      <c r="AV8" s="229">
        <v>-0.30990000000000001</v>
      </c>
      <c r="AW8" s="228">
        <v>61</v>
      </c>
      <c r="AX8" s="228">
        <v>88</v>
      </c>
      <c r="AY8" s="228">
        <v>-27</v>
      </c>
      <c r="AZ8" s="229">
        <v>-0.30880000000000002</v>
      </c>
      <c r="BA8" s="228">
        <v>13</v>
      </c>
      <c r="BB8" s="228">
        <v>20</v>
      </c>
      <c r="BC8" s="228">
        <v>-7</v>
      </c>
      <c r="BD8" s="229">
        <v>-0.34100000000000003</v>
      </c>
      <c r="BE8" s="228">
        <v>0</v>
      </c>
      <c r="BF8" s="228">
        <v>0</v>
      </c>
      <c r="BG8" s="228">
        <v>0</v>
      </c>
      <c r="BH8" s="229">
        <v>0</v>
      </c>
      <c r="BI8" s="228">
        <v>154</v>
      </c>
      <c r="BJ8" s="228">
        <v>207</v>
      </c>
      <c r="BK8" s="228">
        <v>-53</v>
      </c>
      <c r="BL8" s="229">
        <v>-0.2555</v>
      </c>
      <c r="BM8" s="228">
        <v>40</v>
      </c>
      <c r="BN8" s="228">
        <v>95</v>
      </c>
      <c r="BO8" s="228">
        <v>-55</v>
      </c>
      <c r="BP8" s="229">
        <v>-0.57399999999999995</v>
      </c>
      <c r="BQ8" s="228">
        <v>270</v>
      </c>
      <c r="BR8" s="228">
        <v>411</v>
      </c>
      <c r="BS8" s="228">
        <v>-141</v>
      </c>
      <c r="BT8" s="229">
        <v>-0.34350000000000003</v>
      </c>
      <c r="BU8" s="230">
        <v>721015</v>
      </c>
      <c r="BV8" s="230">
        <v>915066</v>
      </c>
      <c r="BW8" s="230">
        <v>-194051</v>
      </c>
      <c r="BX8" s="229">
        <v>-0.21210000000000001</v>
      </c>
      <c r="BY8" s="230">
        <v>1718</v>
      </c>
      <c r="BZ8" s="230">
        <v>1730</v>
      </c>
      <c r="CA8" s="228">
        <v>-12</v>
      </c>
      <c r="CB8" s="229">
        <v>-6.8999999999999999E-3</v>
      </c>
      <c r="CC8" s="230">
        <v>1634</v>
      </c>
      <c r="CD8" s="230">
        <v>1651</v>
      </c>
      <c r="CE8" s="228">
        <v>-17</v>
      </c>
      <c r="CF8" s="229">
        <v>-1.0500000000000001E-2</v>
      </c>
      <c r="CG8" s="228">
        <v>80</v>
      </c>
      <c r="CH8" s="228">
        <v>75</v>
      </c>
      <c r="CI8" s="228">
        <v>5</v>
      </c>
      <c r="CJ8" s="229">
        <v>6.5000000000000002E-2</v>
      </c>
      <c r="CK8" s="228">
        <v>0</v>
      </c>
      <c r="CL8" s="228">
        <v>0</v>
      </c>
      <c r="CM8" s="228">
        <v>0</v>
      </c>
      <c r="CN8" s="229">
        <v>0</v>
      </c>
      <c r="CO8" s="228">
        <v>318</v>
      </c>
      <c r="CP8" s="228">
        <v>327</v>
      </c>
      <c r="CQ8" s="228">
        <v>-8</v>
      </c>
      <c r="CR8" s="229">
        <v>-2.5100000000000001E-2</v>
      </c>
      <c r="CS8" s="228">
        <v>218</v>
      </c>
      <c r="CT8" s="228">
        <v>220</v>
      </c>
      <c r="CU8" s="228">
        <v>-2</v>
      </c>
      <c r="CV8" s="229">
        <v>-9.9000000000000008E-3</v>
      </c>
      <c r="CW8" s="230">
        <v>2254</v>
      </c>
      <c r="CX8" s="230">
        <v>2276</v>
      </c>
      <c r="CY8" s="228">
        <v>-22</v>
      </c>
      <c r="CZ8" s="229">
        <v>-9.7999999999999997E-3</v>
      </c>
      <c r="DA8" s="228">
        <v>39.229999999999997</v>
      </c>
      <c r="DB8" s="228">
        <v>38.81</v>
      </c>
      <c r="DC8" s="228">
        <v>0.42</v>
      </c>
      <c r="DD8" s="228">
        <v>0.42</v>
      </c>
      <c r="DE8" s="228">
        <v>61.06</v>
      </c>
      <c r="DF8" s="228">
        <v>61.21</v>
      </c>
      <c r="DG8" s="228">
        <v>-21.83</v>
      </c>
      <c r="DH8" s="228">
        <v>-0.15</v>
      </c>
      <c r="DI8" s="228">
        <v>39.68</v>
      </c>
      <c r="DJ8" s="228">
        <v>39.24</v>
      </c>
      <c r="DK8" s="228">
        <v>0.44</v>
      </c>
      <c r="DL8" s="228">
        <v>0.44</v>
      </c>
      <c r="DM8" s="228">
        <v>37.49</v>
      </c>
      <c r="DN8" s="228">
        <v>37.880000000000003</v>
      </c>
      <c r="DO8" s="228">
        <v>-0.39</v>
      </c>
      <c r="DP8" s="228">
        <v>-0.39</v>
      </c>
      <c r="DQ8" s="228">
        <v>0.68</v>
      </c>
      <c r="DR8" s="228">
        <v>0.67</v>
      </c>
      <c r="DS8" s="228">
        <v>0.01</v>
      </c>
      <c r="DT8" s="229">
        <v>1.49E-2</v>
      </c>
      <c r="DU8" s="228">
        <v>900</v>
      </c>
      <c r="DV8" s="228">
        <v>840</v>
      </c>
      <c r="DW8" s="228">
        <v>0.26</v>
      </c>
      <c r="DX8" s="228">
        <v>0.46</v>
      </c>
      <c r="DY8" s="228">
        <v>-0.2</v>
      </c>
      <c r="DZ8" s="229">
        <v>-0.43480000000000002</v>
      </c>
      <c r="EA8" s="229">
        <v>4.6399999999999997E-2</v>
      </c>
      <c r="EB8" s="230">
        <v>861975</v>
      </c>
      <c r="EC8" s="229">
        <v>5.1999999999999998E-3</v>
      </c>
      <c r="ED8" s="229">
        <v>4.6399999999999997E-2</v>
      </c>
      <c r="EE8" s="228">
        <v>4.9000000000000004</v>
      </c>
      <c r="EF8" s="229">
        <v>5.5999999999999999E-3</v>
      </c>
      <c r="EG8" s="230">
        <v>361567</v>
      </c>
      <c r="EH8" s="230">
        <v>350426</v>
      </c>
      <c r="EI8" s="229">
        <v>3.1800000000000002E-2</v>
      </c>
      <c r="EJ8" s="229">
        <v>0.50149999999999995</v>
      </c>
      <c r="EK8" s="228">
        <v>164.33</v>
      </c>
      <c r="EL8" s="228">
        <v>40.619999999999997</v>
      </c>
      <c r="EM8" s="228">
        <v>75.63</v>
      </c>
      <c r="EN8" s="228">
        <v>0</v>
      </c>
      <c r="EO8" s="228">
        <v>280.58999999999997</v>
      </c>
      <c r="EP8" s="228">
        <v>425.34</v>
      </c>
      <c r="EQ8" s="228">
        <v>-144.75</v>
      </c>
      <c r="ER8" s="229">
        <v>-0.34029999999999999</v>
      </c>
      <c r="ES8" s="228">
        <v>338.13</v>
      </c>
      <c r="ET8" s="228">
        <v>214.25</v>
      </c>
      <c r="EU8" s="231">
        <v>1718.05</v>
      </c>
      <c r="EV8" s="231">
        <v>72215231</v>
      </c>
      <c r="EW8" s="231">
        <v>2270.4299999999998</v>
      </c>
      <c r="EX8" s="231">
        <v>2306.41</v>
      </c>
      <c r="EY8" s="228">
        <v>-35.979999999999997</v>
      </c>
      <c r="EZ8" s="229">
        <v>-1.5599999999999999E-2</v>
      </c>
      <c r="FA8" s="229">
        <v>0.35980000000000001</v>
      </c>
      <c r="FB8" s="227" t="s">
        <v>568</v>
      </c>
      <c r="FC8">
        <f t="shared" si="0"/>
        <v>84</v>
      </c>
    </row>
    <row r="9" spans="1:159" ht="17.25" thickBot="1" x14ac:dyDescent="0.3">
      <c r="A9" s="226">
        <v>45860</v>
      </c>
      <c r="B9" s="227" t="s">
        <v>215</v>
      </c>
      <c r="C9" s="227" t="s">
        <v>159</v>
      </c>
      <c r="D9" s="228">
        <v>300</v>
      </c>
      <c r="E9" s="228">
        <v>9</v>
      </c>
      <c r="F9" s="231">
        <v>2594.5</v>
      </c>
      <c r="G9" s="231">
        <v>2625.8</v>
      </c>
      <c r="H9" s="228">
        <v>-31.3</v>
      </c>
      <c r="I9" s="229">
        <v>-1.1900000000000001E-2</v>
      </c>
      <c r="J9" s="231">
        <v>2587.8000000000002</v>
      </c>
      <c r="K9" s="231">
        <v>2619.5</v>
      </c>
      <c r="L9" s="228">
        <v>-31.7</v>
      </c>
      <c r="M9" s="229">
        <v>-1.21E-2</v>
      </c>
      <c r="N9" s="231">
        <v>2594.5</v>
      </c>
      <c r="O9" s="231">
        <v>2625.8</v>
      </c>
      <c r="P9" s="228">
        <v>-31.3</v>
      </c>
      <c r="Q9" s="229">
        <v>-1.1900000000000001E-2</v>
      </c>
      <c r="R9" s="231">
        <v>2608.1999999999998</v>
      </c>
      <c r="S9" s="231">
        <v>2639.5</v>
      </c>
      <c r="T9" s="228">
        <v>-31.3</v>
      </c>
      <c r="U9" s="229">
        <v>-1.1900000000000001E-2</v>
      </c>
      <c r="V9" s="228">
        <v>0</v>
      </c>
      <c r="W9" s="228">
        <v>0</v>
      </c>
      <c r="X9" s="228">
        <v>0</v>
      </c>
      <c r="Y9" s="229">
        <v>0</v>
      </c>
      <c r="Z9" s="228">
        <v>6.7</v>
      </c>
      <c r="AA9" s="228">
        <v>6.3</v>
      </c>
      <c r="AB9" s="228">
        <v>0.4</v>
      </c>
      <c r="AC9" s="229">
        <v>2.5999999999999999E-3</v>
      </c>
      <c r="AD9" s="228">
        <v>6.7</v>
      </c>
      <c r="AE9" s="228">
        <v>6.3</v>
      </c>
      <c r="AF9" s="228">
        <v>0.4</v>
      </c>
      <c r="AG9" s="229">
        <v>2.5999999999999999E-3</v>
      </c>
      <c r="AH9" s="228">
        <v>20.399999999999999</v>
      </c>
      <c r="AI9" s="228">
        <v>20</v>
      </c>
      <c r="AJ9" s="228">
        <v>0.4</v>
      </c>
      <c r="AK9" s="229">
        <v>7.9000000000000008E-3</v>
      </c>
      <c r="AL9" s="228">
        <v>0</v>
      </c>
      <c r="AM9" s="228">
        <v>0</v>
      </c>
      <c r="AN9" s="228">
        <v>0</v>
      </c>
      <c r="AO9" s="229">
        <v>0</v>
      </c>
      <c r="AP9" s="231">
        <v>2607.9499999999998</v>
      </c>
      <c r="AQ9" s="231">
        <v>2620.9699999999998</v>
      </c>
      <c r="AR9" s="228">
        <v>0</v>
      </c>
      <c r="AS9" s="228">
        <v>300</v>
      </c>
      <c r="AT9" s="228">
        <v>320</v>
      </c>
      <c r="AU9" s="228">
        <v>-20</v>
      </c>
      <c r="AV9" s="229">
        <v>-6.3200000000000006E-2</v>
      </c>
      <c r="AW9" s="228">
        <v>249</v>
      </c>
      <c r="AX9" s="228">
        <v>289</v>
      </c>
      <c r="AY9" s="228">
        <v>-39</v>
      </c>
      <c r="AZ9" s="229">
        <v>-0.13619999999999999</v>
      </c>
      <c r="BA9" s="228">
        <v>49</v>
      </c>
      <c r="BB9" s="228">
        <v>31</v>
      </c>
      <c r="BC9" s="228">
        <v>18</v>
      </c>
      <c r="BD9" s="229">
        <v>0.5736</v>
      </c>
      <c r="BE9" s="228">
        <v>0</v>
      </c>
      <c r="BF9" s="228">
        <v>0</v>
      </c>
      <c r="BG9" s="228">
        <v>0</v>
      </c>
      <c r="BH9" s="229">
        <v>0</v>
      </c>
      <c r="BI9" s="230">
        <v>1118</v>
      </c>
      <c r="BJ9" s="230">
        <v>1115</v>
      </c>
      <c r="BK9" s="228">
        <v>3</v>
      </c>
      <c r="BL9" s="229">
        <v>2.8E-3</v>
      </c>
      <c r="BM9" s="228">
        <v>520</v>
      </c>
      <c r="BN9" s="228">
        <v>610</v>
      </c>
      <c r="BO9" s="228">
        <v>-90</v>
      </c>
      <c r="BP9" s="229">
        <v>-0.14810000000000001</v>
      </c>
      <c r="BQ9" s="230">
        <v>1938</v>
      </c>
      <c r="BR9" s="230">
        <v>2045</v>
      </c>
      <c r="BS9" s="228">
        <v>-107</v>
      </c>
      <c r="BT9" s="229">
        <v>-5.2600000000000001E-2</v>
      </c>
      <c r="BU9" s="230">
        <v>409117</v>
      </c>
      <c r="BV9" s="230">
        <v>412144</v>
      </c>
      <c r="BW9" s="230">
        <v>-3027</v>
      </c>
      <c r="BX9" s="229">
        <v>-7.3000000000000001E-3</v>
      </c>
      <c r="BY9" s="230">
        <v>4735</v>
      </c>
      <c r="BZ9" s="230">
        <v>4724</v>
      </c>
      <c r="CA9" s="228">
        <v>11</v>
      </c>
      <c r="CB9" s="229">
        <v>2.2000000000000001E-3</v>
      </c>
      <c r="CC9" s="230">
        <v>4502</v>
      </c>
      <c r="CD9" s="230">
        <v>4513</v>
      </c>
      <c r="CE9" s="228">
        <v>-11</v>
      </c>
      <c r="CF9" s="229">
        <v>-2.3999999999999998E-3</v>
      </c>
      <c r="CG9" s="228">
        <v>222</v>
      </c>
      <c r="CH9" s="228">
        <v>201</v>
      </c>
      <c r="CI9" s="228">
        <v>20</v>
      </c>
      <c r="CJ9" s="229">
        <v>0.1016</v>
      </c>
      <c r="CK9" s="228">
        <v>0</v>
      </c>
      <c r="CL9" s="228">
        <v>0</v>
      </c>
      <c r="CM9" s="228">
        <v>0</v>
      </c>
      <c r="CN9" s="229">
        <v>0</v>
      </c>
      <c r="CO9" s="230">
        <v>2138</v>
      </c>
      <c r="CP9" s="230">
        <v>2093</v>
      </c>
      <c r="CQ9" s="228">
        <v>45</v>
      </c>
      <c r="CR9" s="229">
        <v>2.1399999999999999E-2</v>
      </c>
      <c r="CS9" s="230">
        <v>1748</v>
      </c>
      <c r="CT9" s="230">
        <v>1761</v>
      </c>
      <c r="CU9" s="228">
        <v>-14</v>
      </c>
      <c r="CV9" s="229">
        <v>-7.7999999999999996E-3</v>
      </c>
      <c r="CW9" s="230">
        <v>8620</v>
      </c>
      <c r="CX9" s="230">
        <v>8579</v>
      </c>
      <c r="CY9" s="228">
        <v>42</v>
      </c>
      <c r="CZ9" s="229">
        <v>4.7999999999999996E-3</v>
      </c>
      <c r="DA9" s="228">
        <v>26.5</v>
      </c>
      <c r="DB9" s="228">
        <v>26.87</v>
      </c>
      <c r="DC9" s="228">
        <v>-0.37</v>
      </c>
      <c r="DD9" s="228">
        <v>-0.37</v>
      </c>
      <c r="DE9" s="228">
        <v>53.62</v>
      </c>
      <c r="DF9" s="228">
        <v>53.73</v>
      </c>
      <c r="DG9" s="228">
        <v>-27.12</v>
      </c>
      <c r="DH9" s="228">
        <v>-0.11</v>
      </c>
      <c r="DI9" s="228">
        <v>26.44</v>
      </c>
      <c r="DJ9" s="228">
        <v>26.35</v>
      </c>
      <c r="DK9" s="228">
        <v>0.09</v>
      </c>
      <c r="DL9" s="228">
        <v>0.09</v>
      </c>
      <c r="DM9" s="228">
        <v>26.61</v>
      </c>
      <c r="DN9" s="228">
        <v>27.83</v>
      </c>
      <c r="DO9" s="228">
        <v>-1.22</v>
      </c>
      <c r="DP9" s="228">
        <v>-1.22</v>
      </c>
      <c r="DQ9" s="228">
        <v>0.82</v>
      </c>
      <c r="DR9" s="228">
        <v>0.84</v>
      </c>
      <c r="DS9" s="228">
        <v>-0.02</v>
      </c>
      <c r="DT9" s="229">
        <v>-2.3800000000000002E-2</v>
      </c>
      <c r="DU9" s="231">
        <v>2600</v>
      </c>
      <c r="DV9" s="231">
        <v>2700</v>
      </c>
      <c r="DW9" s="228">
        <v>0.46</v>
      </c>
      <c r="DX9" s="228">
        <v>0.55000000000000004</v>
      </c>
      <c r="DY9" s="228">
        <v>-0.09</v>
      </c>
      <c r="DZ9" s="229">
        <v>-0.1636</v>
      </c>
      <c r="EA9" s="229">
        <v>4.6899999999999997E-2</v>
      </c>
      <c r="EB9" s="230">
        <v>776400</v>
      </c>
      <c r="EC9" s="229">
        <v>5.3E-3</v>
      </c>
      <c r="ED9" s="229">
        <v>4.6899999999999997E-2</v>
      </c>
      <c r="EE9" s="228">
        <v>13.02</v>
      </c>
      <c r="EF9" s="229">
        <v>5.0000000000000001E-3</v>
      </c>
      <c r="EG9" s="230">
        <v>135564</v>
      </c>
      <c r="EH9" s="230">
        <v>144998</v>
      </c>
      <c r="EI9" s="229">
        <v>-6.5100000000000005E-2</v>
      </c>
      <c r="EJ9" s="229">
        <v>0.33139999999999997</v>
      </c>
      <c r="EK9" s="231">
        <v>1165.3399999999999</v>
      </c>
      <c r="EL9" s="228">
        <v>515.98</v>
      </c>
      <c r="EM9" s="228">
        <v>301.79000000000002</v>
      </c>
      <c r="EN9" s="228">
        <v>0</v>
      </c>
      <c r="EO9" s="231">
        <v>1983.11</v>
      </c>
      <c r="EP9" s="231">
        <v>2089.79</v>
      </c>
      <c r="EQ9" s="228">
        <v>-106.69</v>
      </c>
      <c r="ER9" s="229">
        <v>-5.11E-2</v>
      </c>
      <c r="ES9" s="231">
        <v>2204.2600000000002</v>
      </c>
      <c r="ET9" s="231">
        <v>1744.42</v>
      </c>
      <c r="EU9" s="231">
        <v>4735.91</v>
      </c>
      <c r="EV9" s="231">
        <v>60081955</v>
      </c>
      <c r="EW9" s="231">
        <v>8684.59</v>
      </c>
      <c r="EX9" s="231">
        <v>8699.02</v>
      </c>
      <c r="EY9" s="228">
        <v>-14.43</v>
      </c>
      <c r="EZ9" s="229">
        <v>-1.6999999999999999E-3</v>
      </c>
      <c r="FA9" s="229">
        <v>0.55300000000000005</v>
      </c>
      <c r="FB9" s="227" t="s">
        <v>567</v>
      </c>
      <c r="FC9">
        <f t="shared" si="0"/>
        <v>233</v>
      </c>
    </row>
    <row r="10" spans="1:159" ht="17.25" thickBot="1" x14ac:dyDescent="0.3">
      <c r="A10" s="226">
        <v>45860</v>
      </c>
      <c r="B10" s="227" t="s">
        <v>161</v>
      </c>
      <c r="C10" s="227" t="s">
        <v>607</v>
      </c>
      <c r="D10" s="228">
        <v>600</v>
      </c>
      <c r="E10" s="228">
        <v>9</v>
      </c>
      <c r="F10" s="231">
        <v>1016.2</v>
      </c>
      <c r="G10" s="231">
        <v>1038.7</v>
      </c>
      <c r="H10" s="228">
        <v>-22.5</v>
      </c>
      <c r="I10" s="229">
        <v>-2.1700000000000001E-2</v>
      </c>
      <c r="J10" s="231">
        <v>1013.7</v>
      </c>
      <c r="K10" s="231">
        <v>1036.5999999999999</v>
      </c>
      <c r="L10" s="228">
        <v>-22.9</v>
      </c>
      <c r="M10" s="229">
        <v>-2.2100000000000002E-2</v>
      </c>
      <c r="N10" s="231">
        <v>1016.2</v>
      </c>
      <c r="O10" s="231">
        <v>1038.7</v>
      </c>
      <c r="P10" s="228">
        <v>-22.5</v>
      </c>
      <c r="Q10" s="229">
        <v>-2.1700000000000001E-2</v>
      </c>
      <c r="R10" s="231">
        <v>1020.3</v>
      </c>
      <c r="S10" s="231">
        <v>1044.4000000000001</v>
      </c>
      <c r="T10" s="228">
        <v>-24.1</v>
      </c>
      <c r="U10" s="229">
        <v>-2.3099999999999999E-2</v>
      </c>
      <c r="V10" s="228">
        <v>0</v>
      </c>
      <c r="W10" s="228">
        <v>0</v>
      </c>
      <c r="X10" s="228">
        <v>0</v>
      </c>
      <c r="Y10" s="229">
        <v>0</v>
      </c>
      <c r="Z10" s="228">
        <v>2.5</v>
      </c>
      <c r="AA10" s="228">
        <v>2.1</v>
      </c>
      <c r="AB10" s="228">
        <v>0.4</v>
      </c>
      <c r="AC10" s="229">
        <v>2.5000000000000001E-3</v>
      </c>
      <c r="AD10" s="228">
        <v>2.5</v>
      </c>
      <c r="AE10" s="228">
        <v>2.1</v>
      </c>
      <c r="AF10" s="228">
        <v>0.4</v>
      </c>
      <c r="AG10" s="229">
        <v>2.5000000000000001E-3</v>
      </c>
      <c r="AH10" s="228">
        <v>6.6</v>
      </c>
      <c r="AI10" s="228">
        <v>7.8</v>
      </c>
      <c r="AJ10" s="228">
        <v>-1.2</v>
      </c>
      <c r="AK10" s="229">
        <v>6.4999999999999997E-3</v>
      </c>
      <c r="AL10" s="228">
        <v>0</v>
      </c>
      <c r="AM10" s="228">
        <v>0</v>
      </c>
      <c r="AN10" s="228">
        <v>0</v>
      </c>
      <c r="AO10" s="229">
        <v>0</v>
      </c>
      <c r="AP10" s="231">
        <v>1021.37</v>
      </c>
      <c r="AQ10" s="231">
        <v>1029.53</v>
      </c>
      <c r="AR10" s="228">
        <v>0</v>
      </c>
      <c r="AS10" s="228">
        <v>330</v>
      </c>
      <c r="AT10" s="228">
        <v>146</v>
      </c>
      <c r="AU10" s="228">
        <v>184</v>
      </c>
      <c r="AV10" s="229">
        <v>1.2608999999999999</v>
      </c>
      <c r="AW10" s="228">
        <v>268</v>
      </c>
      <c r="AX10" s="228">
        <v>104</v>
      </c>
      <c r="AY10" s="228">
        <v>163</v>
      </c>
      <c r="AZ10" s="229">
        <v>1.5646</v>
      </c>
      <c r="BA10" s="228">
        <v>60</v>
      </c>
      <c r="BB10" s="228">
        <v>41</v>
      </c>
      <c r="BC10" s="228">
        <v>19</v>
      </c>
      <c r="BD10" s="229">
        <v>0.4738</v>
      </c>
      <c r="BE10" s="228">
        <v>0</v>
      </c>
      <c r="BF10" s="228">
        <v>0</v>
      </c>
      <c r="BG10" s="228">
        <v>0</v>
      </c>
      <c r="BH10" s="229">
        <v>0</v>
      </c>
      <c r="BI10" s="228">
        <v>868</v>
      </c>
      <c r="BJ10" s="228">
        <v>605</v>
      </c>
      <c r="BK10" s="228">
        <v>263</v>
      </c>
      <c r="BL10" s="229">
        <v>0.43480000000000002</v>
      </c>
      <c r="BM10" s="228">
        <v>336</v>
      </c>
      <c r="BN10" s="228">
        <v>124</v>
      </c>
      <c r="BO10" s="228">
        <v>213</v>
      </c>
      <c r="BP10" s="229">
        <v>1.7236</v>
      </c>
      <c r="BQ10" s="230">
        <v>1534</v>
      </c>
      <c r="BR10" s="228">
        <v>874</v>
      </c>
      <c r="BS10" s="228">
        <v>660</v>
      </c>
      <c r="BT10" s="229">
        <v>0.75490000000000002</v>
      </c>
      <c r="BU10" s="230">
        <v>1434254</v>
      </c>
      <c r="BV10" s="230">
        <v>1042280</v>
      </c>
      <c r="BW10" s="230">
        <v>391974</v>
      </c>
      <c r="BX10" s="229">
        <v>0.37609999999999999</v>
      </c>
      <c r="BY10" s="230">
        <v>2013</v>
      </c>
      <c r="BZ10" s="230">
        <v>1994</v>
      </c>
      <c r="CA10" s="228">
        <v>19</v>
      </c>
      <c r="CB10" s="229">
        <v>9.4000000000000004E-3</v>
      </c>
      <c r="CC10" s="230">
        <v>1853</v>
      </c>
      <c r="CD10" s="230">
        <v>1858</v>
      </c>
      <c r="CE10" s="228">
        <v>-5</v>
      </c>
      <c r="CF10" s="229">
        <v>-2.8999999999999998E-3</v>
      </c>
      <c r="CG10" s="228">
        <v>150</v>
      </c>
      <c r="CH10" s="228">
        <v>127</v>
      </c>
      <c r="CI10" s="228">
        <v>23</v>
      </c>
      <c r="CJ10" s="229">
        <v>0.18010000000000001</v>
      </c>
      <c r="CK10" s="228">
        <v>0</v>
      </c>
      <c r="CL10" s="228">
        <v>0</v>
      </c>
      <c r="CM10" s="228">
        <v>0</v>
      </c>
      <c r="CN10" s="229">
        <v>0</v>
      </c>
      <c r="CO10" s="228">
        <v>784</v>
      </c>
      <c r="CP10" s="228">
        <v>852</v>
      </c>
      <c r="CQ10" s="228">
        <v>-67</v>
      </c>
      <c r="CR10" s="229">
        <v>-7.8899999999999998E-2</v>
      </c>
      <c r="CS10" s="228">
        <v>475</v>
      </c>
      <c r="CT10" s="228">
        <v>471</v>
      </c>
      <c r="CU10" s="228">
        <v>4</v>
      </c>
      <c r="CV10" s="229">
        <v>8.0000000000000002E-3</v>
      </c>
      <c r="CW10" s="230">
        <v>3272</v>
      </c>
      <c r="CX10" s="230">
        <v>3316</v>
      </c>
      <c r="CY10" s="228">
        <v>-45</v>
      </c>
      <c r="CZ10" s="229">
        <v>-1.35E-2</v>
      </c>
      <c r="DA10" s="228">
        <v>41.65</v>
      </c>
      <c r="DB10" s="228">
        <v>41.8</v>
      </c>
      <c r="DC10" s="228">
        <v>-0.15</v>
      </c>
      <c r="DD10" s="228">
        <v>-0.15</v>
      </c>
      <c r="DE10" s="228">
        <v>62.31</v>
      </c>
      <c r="DF10" s="228">
        <v>62.39</v>
      </c>
      <c r="DG10" s="228">
        <v>-20.66</v>
      </c>
      <c r="DH10" s="228">
        <v>-0.08</v>
      </c>
      <c r="DI10" s="228">
        <v>41.45</v>
      </c>
      <c r="DJ10" s="228">
        <v>41.89</v>
      </c>
      <c r="DK10" s="228">
        <v>-0.44</v>
      </c>
      <c r="DL10" s="228">
        <v>-0.44</v>
      </c>
      <c r="DM10" s="228">
        <v>42.15</v>
      </c>
      <c r="DN10" s="228">
        <v>41.32</v>
      </c>
      <c r="DO10" s="228">
        <v>0.83</v>
      </c>
      <c r="DP10" s="228">
        <v>0.83</v>
      </c>
      <c r="DQ10" s="228">
        <v>0.61</v>
      </c>
      <c r="DR10" s="228">
        <v>0.55000000000000004</v>
      </c>
      <c r="DS10" s="228">
        <v>0.06</v>
      </c>
      <c r="DT10" s="229">
        <v>0.1091</v>
      </c>
      <c r="DU10" s="231">
        <v>1000</v>
      </c>
      <c r="DV10" s="231">
        <v>1000</v>
      </c>
      <c r="DW10" s="228">
        <v>0.39</v>
      </c>
      <c r="DX10" s="228">
        <v>0.2</v>
      </c>
      <c r="DY10" s="228">
        <v>0.19</v>
      </c>
      <c r="DZ10" s="229">
        <v>0.95</v>
      </c>
      <c r="EA10" s="229">
        <v>7.4399999999999994E-2</v>
      </c>
      <c r="EB10" s="230">
        <v>1249200</v>
      </c>
      <c r="EC10" s="229">
        <v>4.0000000000000001E-3</v>
      </c>
      <c r="ED10" s="229">
        <v>7.4399999999999994E-2</v>
      </c>
      <c r="EE10" s="228">
        <v>8.16</v>
      </c>
      <c r="EF10" s="229">
        <v>8.0000000000000002E-3</v>
      </c>
      <c r="EG10" s="230">
        <v>425031</v>
      </c>
      <c r="EH10" s="230">
        <v>339310</v>
      </c>
      <c r="EI10" s="229">
        <v>0.25259999999999999</v>
      </c>
      <c r="EJ10" s="229">
        <v>0.29630000000000001</v>
      </c>
      <c r="EK10" s="228">
        <v>924.09</v>
      </c>
      <c r="EL10" s="228">
        <v>339.82</v>
      </c>
      <c r="EM10" s="228">
        <v>332.48</v>
      </c>
      <c r="EN10" s="228">
        <v>0</v>
      </c>
      <c r="EO10" s="231">
        <v>1596.38</v>
      </c>
      <c r="EP10" s="228">
        <v>930.87</v>
      </c>
      <c r="EQ10" s="228">
        <v>665.51</v>
      </c>
      <c r="ER10" s="229">
        <v>0.71489999999999998</v>
      </c>
      <c r="ES10" s="228">
        <v>813.91</v>
      </c>
      <c r="ET10" s="228">
        <v>465.75</v>
      </c>
      <c r="EU10" s="231">
        <v>2013.59</v>
      </c>
      <c r="EV10" s="231">
        <v>123755903</v>
      </c>
      <c r="EW10" s="231">
        <v>3293.25</v>
      </c>
      <c r="EX10" s="231">
        <v>3391.78</v>
      </c>
      <c r="EY10" s="228">
        <v>-98.53</v>
      </c>
      <c r="EZ10" s="229">
        <v>-2.9000000000000001E-2</v>
      </c>
      <c r="FA10" s="229">
        <v>0.26019999999999999</v>
      </c>
      <c r="FB10" s="227" t="s">
        <v>567</v>
      </c>
      <c r="FC10">
        <f t="shared" si="0"/>
        <v>160</v>
      </c>
    </row>
    <row r="11" spans="1:159" ht="17.25" thickBot="1" x14ac:dyDescent="0.3">
      <c r="A11" s="226">
        <v>45860</v>
      </c>
      <c r="B11" s="227" t="s">
        <v>215</v>
      </c>
      <c r="C11" s="227" t="s">
        <v>160</v>
      </c>
      <c r="D11" s="228">
        <v>475</v>
      </c>
      <c r="E11" s="228">
        <v>9</v>
      </c>
      <c r="F11" s="231">
        <v>1425.7</v>
      </c>
      <c r="G11" s="231">
        <v>1452.9</v>
      </c>
      <c r="H11" s="228">
        <v>-27.2</v>
      </c>
      <c r="I11" s="229">
        <v>-1.8700000000000001E-2</v>
      </c>
      <c r="J11" s="231">
        <v>1420.7</v>
      </c>
      <c r="K11" s="231">
        <v>1450.5</v>
      </c>
      <c r="L11" s="228">
        <v>-29.8</v>
      </c>
      <c r="M11" s="229">
        <v>-2.0500000000000001E-2</v>
      </c>
      <c r="N11" s="231">
        <v>1425.7</v>
      </c>
      <c r="O11" s="231">
        <v>1452.9</v>
      </c>
      <c r="P11" s="228">
        <v>-27.2</v>
      </c>
      <c r="Q11" s="229">
        <v>-1.8700000000000001E-2</v>
      </c>
      <c r="R11" s="231">
        <v>1432.5</v>
      </c>
      <c r="S11" s="231">
        <v>1459.8</v>
      </c>
      <c r="T11" s="228">
        <v>-27.3</v>
      </c>
      <c r="U11" s="229">
        <v>-1.8700000000000001E-2</v>
      </c>
      <c r="V11" s="228">
        <v>0</v>
      </c>
      <c r="W11" s="228">
        <v>0</v>
      </c>
      <c r="X11" s="228">
        <v>0</v>
      </c>
      <c r="Y11" s="229">
        <v>0</v>
      </c>
      <c r="Z11" s="228">
        <v>5</v>
      </c>
      <c r="AA11" s="228">
        <v>2.4</v>
      </c>
      <c r="AB11" s="228">
        <v>2.6</v>
      </c>
      <c r="AC11" s="229">
        <v>3.5000000000000001E-3</v>
      </c>
      <c r="AD11" s="228">
        <v>5</v>
      </c>
      <c r="AE11" s="228">
        <v>2.4</v>
      </c>
      <c r="AF11" s="228">
        <v>2.6</v>
      </c>
      <c r="AG11" s="229">
        <v>3.5000000000000001E-3</v>
      </c>
      <c r="AH11" s="228">
        <v>11.8</v>
      </c>
      <c r="AI11" s="228">
        <v>9.3000000000000007</v>
      </c>
      <c r="AJ11" s="228">
        <v>2.5</v>
      </c>
      <c r="AK11" s="229">
        <v>8.3000000000000001E-3</v>
      </c>
      <c r="AL11" s="228">
        <v>0</v>
      </c>
      <c r="AM11" s="228">
        <v>0</v>
      </c>
      <c r="AN11" s="228">
        <v>0</v>
      </c>
      <c r="AO11" s="229">
        <v>0</v>
      </c>
      <c r="AP11" s="231">
        <v>1436.62</v>
      </c>
      <c r="AQ11" s="231">
        <v>1442.73</v>
      </c>
      <c r="AR11" s="228">
        <v>0</v>
      </c>
      <c r="AS11" s="228">
        <v>476</v>
      </c>
      <c r="AT11" s="228">
        <v>242</v>
      </c>
      <c r="AU11" s="228">
        <v>234</v>
      </c>
      <c r="AV11" s="229">
        <v>0.96560000000000001</v>
      </c>
      <c r="AW11" s="228">
        <v>346</v>
      </c>
      <c r="AX11" s="228">
        <v>198</v>
      </c>
      <c r="AY11" s="228">
        <v>148</v>
      </c>
      <c r="AZ11" s="229">
        <v>0.74560000000000004</v>
      </c>
      <c r="BA11" s="228">
        <v>56</v>
      </c>
      <c r="BB11" s="228">
        <v>41</v>
      </c>
      <c r="BC11" s="228">
        <v>15</v>
      </c>
      <c r="BD11" s="229">
        <v>0.3574</v>
      </c>
      <c r="BE11" s="228">
        <v>0</v>
      </c>
      <c r="BF11" s="228">
        <v>0</v>
      </c>
      <c r="BG11" s="228">
        <v>0</v>
      </c>
      <c r="BH11" s="229">
        <v>0</v>
      </c>
      <c r="BI11" s="228">
        <v>941</v>
      </c>
      <c r="BJ11" s="228">
        <v>896</v>
      </c>
      <c r="BK11" s="228">
        <v>45</v>
      </c>
      <c r="BL11" s="229">
        <v>5.04E-2</v>
      </c>
      <c r="BM11" s="228">
        <v>537</v>
      </c>
      <c r="BN11" s="228">
        <v>347</v>
      </c>
      <c r="BO11" s="228">
        <v>190</v>
      </c>
      <c r="BP11" s="229">
        <v>0.54730000000000001</v>
      </c>
      <c r="BQ11" s="230">
        <v>1954</v>
      </c>
      <c r="BR11" s="230">
        <v>1485</v>
      </c>
      <c r="BS11" s="228">
        <v>469</v>
      </c>
      <c r="BT11" s="229">
        <v>0.31590000000000001</v>
      </c>
      <c r="BU11" s="230">
        <v>1010419</v>
      </c>
      <c r="BV11" s="230">
        <v>848676</v>
      </c>
      <c r="BW11" s="230">
        <v>161743</v>
      </c>
      <c r="BX11" s="229">
        <v>0.19059999999999999</v>
      </c>
      <c r="BY11" s="230">
        <v>3207</v>
      </c>
      <c r="BZ11" s="230">
        <v>3205</v>
      </c>
      <c r="CA11" s="228">
        <v>1</v>
      </c>
      <c r="CB11" s="229">
        <v>4.0000000000000002E-4</v>
      </c>
      <c r="CC11" s="230">
        <v>2899</v>
      </c>
      <c r="CD11" s="230">
        <v>2994</v>
      </c>
      <c r="CE11" s="228">
        <v>-95</v>
      </c>
      <c r="CF11" s="229">
        <v>-3.1800000000000002E-2</v>
      </c>
      <c r="CG11" s="228">
        <v>225</v>
      </c>
      <c r="CH11" s="228">
        <v>200</v>
      </c>
      <c r="CI11" s="228">
        <v>25</v>
      </c>
      <c r="CJ11" s="229">
        <v>0.1255</v>
      </c>
      <c r="CK11" s="228">
        <v>0</v>
      </c>
      <c r="CL11" s="228">
        <v>0</v>
      </c>
      <c r="CM11" s="228">
        <v>0</v>
      </c>
      <c r="CN11" s="229">
        <v>0</v>
      </c>
      <c r="CO11" s="230">
        <v>1156</v>
      </c>
      <c r="CP11" s="230">
        <v>1124</v>
      </c>
      <c r="CQ11" s="228">
        <v>32</v>
      </c>
      <c r="CR11" s="229">
        <v>2.8299999999999999E-2</v>
      </c>
      <c r="CS11" s="228">
        <v>860</v>
      </c>
      <c r="CT11" s="228">
        <v>835</v>
      </c>
      <c r="CU11" s="228">
        <v>24</v>
      </c>
      <c r="CV11" s="229">
        <v>2.92E-2</v>
      </c>
      <c r="CW11" s="230">
        <v>5223</v>
      </c>
      <c r="CX11" s="230">
        <v>5165</v>
      </c>
      <c r="CY11" s="228">
        <v>57</v>
      </c>
      <c r="CZ11" s="229">
        <v>1.11E-2</v>
      </c>
      <c r="DA11" s="228">
        <v>26.05</v>
      </c>
      <c r="DB11" s="228">
        <v>25.26</v>
      </c>
      <c r="DC11" s="228">
        <v>0.79</v>
      </c>
      <c r="DD11" s="228">
        <v>0.79</v>
      </c>
      <c r="DE11" s="228">
        <v>43.02</v>
      </c>
      <c r="DF11" s="228">
        <v>43.04</v>
      </c>
      <c r="DG11" s="228">
        <v>-16.97</v>
      </c>
      <c r="DH11" s="228">
        <v>-0.02</v>
      </c>
      <c r="DI11" s="228">
        <v>26.29</v>
      </c>
      <c r="DJ11" s="228">
        <v>24.94</v>
      </c>
      <c r="DK11" s="228">
        <v>1.35</v>
      </c>
      <c r="DL11" s="228">
        <v>1.35</v>
      </c>
      <c r="DM11" s="228">
        <v>25.62</v>
      </c>
      <c r="DN11" s="228">
        <v>26.08</v>
      </c>
      <c r="DO11" s="228">
        <v>-0.46</v>
      </c>
      <c r="DP11" s="228">
        <v>-0.46</v>
      </c>
      <c r="DQ11" s="228">
        <v>0.74</v>
      </c>
      <c r="DR11" s="228">
        <v>0.74</v>
      </c>
      <c r="DS11" s="228">
        <v>0</v>
      </c>
      <c r="DT11" s="229">
        <v>0</v>
      </c>
      <c r="DU11" s="231">
        <v>1500</v>
      </c>
      <c r="DV11" s="231">
        <v>1400</v>
      </c>
      <c r="DW11" s="228">
        <v>0.56999999999999995</v>
      </c>
      <c r="DX11" s="228">
        <v>0.39</v>
      </c>
      <c r="DY11" s="228">
        <v>0.18</v>
      </c>
      <c r="DZ11" s="229">
        <v>0.46150000000000002</v>
      </c>
      <c r="EA11" s="229">
        <v>7.0300000000000001E-2</v>
      </c>
      <c r="EB11" s="230">
        <v>1404100</v>
      </c>
      <c r="EC11" s="229">
        <v>4.7999999999999996E-3</v>
      </c>
      <c r="ED11" s="229">
        <v>7.0300000000000001E-2</v>
      </c>
      <c r="EE11" s="228">
        <v>6.11</v>
      </c>
      <c r="EF11" s="229">
        <v>4.3E-3</v>
      </c>
      <c r="EG11" s="230">
        <v>478704</v>
      </c>
      <c r="EH11" s="230">
        <v>391060</v>
      </c>
      <c r="EI11" s="229">
        <v>0.22409999999999999</v>
      </c>
      <c r="EJ11" s="229">
        <v>0.4738</v>
      </c>
      <c r="EK11" s="228">
        <v>979.63</v>
      </c>
      <c r="EL11" s="228">
        <v>537.67999999999995</v>
      </c>
      <c r="EM11" s="228">
        <v>481.25</v>
      </c>
      <c r="EN11" s="228">
        <v>0</v>
      </c>
      <c r="EO11" s="231">
        <v>1998.56</v>
      </c>
      <c r="EP11" s="231">
        <v>1531.68</v>
      </c>
      <c r="EQ11" s="228">
        <v>466.88</v>
      </c>
      <c r="ER11" s="229">
        <v>0.30480000000000002</v>
      </c>
      <c r="ES11" s="231">
        <v>1196.71</v>
      </c>
      <c r="ET11" s="228">
        <v>832.11</v>
      </c>
      <c r="EU11" s="231">
        <v>3208.51</v>
      </c>
      <c r="EV11" s="231">
        <v>147352572</v>
      </c>
      <c r="EW11" s="231">
        <v>5237.33</v>
      </c>
      <c r="EX11" s="231">
        <v>5241.13</v>
      </c>
      <c r="EY11" s="228">
        <v>-3.8</v>
      </c>
      <c r="EZ11" s="229">
        <v>-6.9999999999999999E-4</v>
      </c>
      <c r="FA11" s="229">
        <v>0.24859999999999999</v>
      </c>
      <c r="FB11" s="227" t="s">
        <v>567</v>
      </c>
      <c r="FC11">
        <f t="shared" si="0"/>
        <v>308</v>
      </c>
    </row>
    <row r="12" spans="1:159" ht="17.25" thickBot="1" x14ac:dyDescent="0.3">
      <c r="A12" s="226">
        <v>45860</v>
      </c>
      <c r="B12" s="227" t="s">
        <v>170</v>
      </c>
      <c r="C12" s="227" t="s">
        <v>497</v>
      </c>
      <c r="D12" s="228">
        <v>125</v>
      </c>
      <c r="E12" s="228">
        <v>9</v>
      </c>
      <c r="F12" s="231">
        <v>4973.6000000000004</v>
      </c>
      <c r="G12" s="231">
        <v>5006.8999999999996</v>
      </c>
      <c r="H12" s="228">
        <v>-33.299999999999997</v>
      </c>
      <c r="I12" s="229">
        <v>-6.7000000000000002E-3</v>
      </c>
      <c r="J12" s="231">
        <v>4971.8</v>
      </c>
      <c r="K12" s="231">
        <v>4999.7</v>
      </c>
      <c r="L12" s="228">
        <v>-27.9</v>
      </c>
      <c r="M12" s="229">
        <v>-5.5999999999999999E-3</v>
      </c>
      <c r="N12" s="231">
        <v>4973.6000000000004</v>
      </c>
      <c r="O12" s="231">
        <v>5006.8999999999996</v>
      </c>
      <c r="P12" s="228">
        <v>-33.299999999999997</v>
      </c>
      <c r="Q12" s="229">
        <v>-6.7000000000000002E-3</v>
      </c>
      <c r="R12" s="231">
        <v>4987.8</v>
      </c>
      <c r="S12" s="231">
        <v>5020.2</v>
      </c>
      <c r="T12" s="228">
        <v>-32.4</v>
      </c>
      <c r="U12" s="229">
        <v>-6.4999999999999997E-3</v>
      </c>
      <c r="V12" s="228">
        <v>0</v>
      </c>
      <c r="W12" s="228">
        <v>0</v>
      </c>
      <c r="X12" s="228">
        <v>0</v>
      </c>
      <c r="Y12" s="229">
        <v>0</v>
      </c>
      <c r="Z12" s="228">
        <v>1.8</v>
      </c>
      <c r="AA12" s="228">
        <v>7.2</v>
      </c>
      <c r="AB12" s="228">
        <v>-5.4</v>
      </c>
      <c r="AC12" s="229">
        <v>4.0000000000000002E-4</v>
      </c>
      <c r="AD12" s="228">
        <v>1.8</v>
      </c>
      <c r="AE12" s="228">
        <v>7.2</v>
      </c>
      <c r="AF12" s="228">
        <v>-5.4</v>
      </c>
      <c r="AG12" s="229">
        <v>4.0000000000000002E-4</v>
      </c>
      <c r="AH12" s="228">
        <v>16</v>
      </c>
      <c r="AI12" s="228">
        <v>20.5</v>
      </c>
      <c r="AJ12" s="228">
        <v>-4.5</v>
      </c>
      <c r="AK12" s="229">
        <v>3.2000000000000002E-3</v>
      </c>
      <c r="AL12" s="228">
        <v>0</v>
      </c>
      <c r="AM12" s="228">
        <v>0</v>
      </c>
      <c r="AN12" s="228">
        <v>0</v>
      </c>
      <c r="AO12" s="229">
        <v>0</v>
      </c>
      <c r="AP12" s="231">
        <v>4970.04</v>
      </c>
      <c r="AQ12" s="231">
        <v>4989.7700000000004</v>
      </c>
      <c r="AR12" s="228">
        <v>0</v>
      </c>
      <c r="AS12" s="228">
        <v>58</v>
      </c>
      <c r="AT12" s="228">
        <v>57</v>
      </c>
      <c r="AU12" s="228">
        <v>1</v>
      </c>
      <c r="AV12" s="229">
        <v>1.9699999999999999E-2</v>
      </c>
      <c r="AW12" s="228">
        <v>49</v>
      </c>
      <c r="AX12" s="228">
        <v>47</v>
      </c>
      <c r="AY12" s="228">
        <v>1</v>
      </c>
      <c r="AZ12" s="229">
        <v>2.9000000000000001E-2</v>
      </c>
      <c r="BA12" s="228">
        <v>9</v>
      </c>
      <c r="BB12" s="228">
        <v>10</v>
      </c>
      <c r="BC12" s="228">
        <v>-1</v>
      </c>
      <c r="BD12" s="229">
        <v>-9.6799999999999997E-2</v>
      </c>
      <c r="BE12" s="228">
        <v>0</v>
      </c>
      <c r="BF12" s="228">
        <v>0</v>
      </c>
      <c r="BG12" s="228">
        <v>0</v>
      </c>
      <c r="BH12" s="229">
        <v>0</v>
      </c>
      <c r="BI12" s="228">
        <v>131</v>
      </c>
      <c r="BJ12" s="228">
        <v>56</v>
      </c>
      <c r="BK12" s="228">
        <v>75</v>
      </c>
      <c r="BL12" s="229">
        <v>1.3332999999999999</v>
      </c>
      <c r="BM12" s="228">
        <v>43</v>
      </c>
      <c r="BN12" s="228">
        <v>38</v>
      </c>
      <c r="BO12" s="228">
        <v>6</v>
      </c>
      <c r="BP12" s="229">
        <v>0.15540000000000001</v>
      </c>
      <c r="BQ12" s="228">
        <v>232</v>
      </c>
      <c r="BR12" s="228">
        <v>151</v>
      </c>
      <c r="BS12" s="228">
        <v>82</v>
      </c>
      <c r="BT12" s="229">
        <v>0.54190000000000005</v>
      </c>
      <c r="BU12" s="230">
        <v>64164</v>
      </c>
      <c r="BV12" s="230">
        <v>60044</v>
      </c>
      <c r="BW12" s="230">
        <v>4120</v>
      </c>
      <c r="BX12" s="229">
        <v>6.8599999999999994E-2</v>
      </c>
      <c r="BY12" s="228">
        <v>603</v>
      </c>
      <c r="BZ12" s="228">
        <v>604</v>
      </c>
      <c r="CA12" s="228">
        <v>0</v>
      </c>
      <c r="CB12" s="229">
        <v>-8.0000000000000004E-4</v>
      </c>
      <c r="CC12" s="228">
        <v>567</v>
      </c>
      <c r="CD12" s="228">
        <v>569</v>
      </c>
      <c r="CE12" s="228">
        <v>-3</v>
      </c>
      <c r="CF12" s="229">
        <v>-4.4999999999999997E-3</v>
      </c>
      <c r="CG12" s="228">
        <v>34</v>
      </c>
      <c r="CH12" s="228">
        <v>32</v>
      </c>
      <c r="CI12" s="228">
        <v>2</v>
      </c>
      <c r="CJ12" s="229">
        <v>7.4800000000000005E-2</v>
      </c>
      <c r="CK12" s="228">
        <v>0</v>
      </c>
      <c r="CL12" s="228">
        <v>0</v>
      </c>
      <c r="CM12" s="228">
        <v>0</v>
      </c>
      <c r="CN12" s="229">
        <v>0</v>
      </c>
      <c r="CO12" s="228">
        <v>174</v>
      </c>
      <c r="CP12" s="228">
        <v>165</v>
      </c>
      <c r="CQ12" s="228">
        <v>9</v>
      </c>
      <c r="CR12" s="229">
        <v>5.1900000000000002E-2</v>
      </c>
      <c r="CS12" s="228">
        <v>100</v>
      </c>
      <c r="CT12" s="228">
        <v>99</v>
      </c>
      <c r="CU12" s="228">
        <v>1</v>
      </c>
      <c r="CV12" s="229">
        <v>1.01E-2</v>
      </c>
      <c r="CW12" s="228">
        <v>877</v>
      </c>
      <c r="CX12" s="228">
        <v>868</v>
      </c>
      <c r="CY12" s="228">
        <v>9</v>
      </c>
      <c r="CZ12" s="229">
        <v>1.0500000000000001E-2</v>
      </c>
      <c r="DA12" s="228">
        <v>20.76</v>
      </c>
      <c r="DB12" s="228">
        <v>20.72</v>
      </c>
      <c r="DC12" s="228">
        <v>0.04</v>
      </c>
      <c r="DD12" s="228">
        <v>0.04</v>
      </c>
      <c r="DE12" s="228">
        <v>28.97</v>
      </c>
      <c r="DF12" s="228">
        <v>29.03</v>
      </c>
      <c r="DG12" s="228">
        <v>-8.2100000000000009</v>
      </c>
      <c r="DH12" s="228">
        <v>-0.06</v>
      </c>
      <c r="DI12" s="228">
        <v>20.96</v>
      </c>
      <c r="DJ12" s="228">
        <v>20.65</v>
      </c>
      <c r="DK12" s="228">
        <v>0.31</v>
      </c>
      <c r="DL12" s="228">
        <v>0.31</v>
      </c>
      <c r="DM12" s="228">
        <v>20.16</v>
      </c>
      <c r="DN12" s="228">
        <v>20.82</v>
      </c>
      <c r="DO12" s="228">
        <v>-0.66</v>
      </c>
      <c r="DP12" s="228">
        <v>-0.66</v>
      </c>
      <c r="DQ12" s="228">
        <v>0.56999999999999995</v>
      </c>
      <c r="DR12" s="228">
        <v>0.6</v>
      </c>
      <c r="DS12" s="228">
        <v>-0.03</v>
      </c>
      <c r="DT12" s="229">
        <v>-0.05</v>
      </c>
      <c r="DU12" s="231">
        <v>5000</v>
      </c>
      <c r="DV12" s="231">
        <v>5000</v>
      </c>
      <c r="DW12" s="228">
        <v>0.33</v>
      </c>
      <c r="DX12" s="228">
        <v>0.67</v>
      </c>
      <c r="DY12" s="228">
        <v>-0.34</v>
      </c>
      <c r="DZ12" s="229">
        <v>-0.50749999999999995</v>
      </c>
      <c r="EA12" s="229">
        <v>5.6300000000000003E-2</v>
      </c>
      <c r="EB12" s="230">
        <v>63500</v>
      </c>
      <c r="EC12" s="229">
        <v>2.8999999999999998E-3</v>
      </c>
      <c r="ED12" s="229">
        <v>5.6300000000000003E-2</v>
      </c>
      <c r="EE12" s="228">
        <v>19.73</v>
      </c>
      <c r="EF12" s="229">
        <v>4.0000000000000001E-3</v>
      </c>
      <c r="EG12" s="230">
        <v>39417</v>
      </c>
      <c r="EH12" s="230">
        <v>45535</v>
      </c>
      <c r="EI12" s="229">
        <v>-0.13439999999999999</v>
      </c>
      <c r="EJ12" s="229">
        <v>0.61429999999999996</v>
      </c>
      <c r="EK12" s="228">
        <v>135.69999999999999</v>
      </c>
      <c r="EL12" s="228">
        <v>43.38</v>
      </c>
      <c r="EM12" s="228">
        <v>58.06</v>
      </c>
      <c r="EN12" s="228">
        <v>0</v>
      </c>
      <c r="EO12" s="228">
        <v>237.14</v>
      </c>
      <c r="EP12" s="228">
        <v>152.21</v>
      </c>
      <c r="EQ12" s="228">
        <v>84.94</v>
      </c>
      <c r="ER12" s="229">
        <v>0.55800000000000005</v>
      </c>
      <c r="ES12" s="228">
        <v>178.31</v>
      </c>
      <c r="ET12" s="228">
        <v>96.43</v>
      </c>
      <c r="EU12" s="228">
        <v>603.41</v>
      </c>
      <c r="EV12" s="231">
        <v>10730378</v>
      </c>
      <c r="EW12" s="228">
        <v>878.15</v>
      </c>
      <c r="EX12" s="228">
        <v>872.53</v>
      </c>
      <c r="EY12" s="228">
        <v>5.62</v>
      </c>
      <c r="EZ12" s="229">
        <v>6.4000000000000003E-3</v>
      </c>
      <c r="FA12" s="229">
        <v>0.1643</v>
      </c>
      <c r="FB12" s="227" t="s">
        <v>568</v>
      </c>
      <c r="FC12">
        <f t="shared" si="0"/>
        <v>36</v>
      </c>
    </row>
    <row r="13" spans="1:159" ht="17.25" thickBot="1" x14ac:dyDescent="0.3">
      <c r="A13" s="226">
        <v>45860</v>
      </c>
      <c r="B13" s="227" t="s">
        <v>184</v>
      </c>
      <c r="C13" s="227" t="s">
        <v>683</v>
      </c>
      <c r="D13" s="228">
        <v>100</v>
      </c>
      <c r="E13" s="228">
        <v>9</v>
      </c>
      <c r="F13" s="231">
        <v>7388.5</v>
      </c>
      <c r="G13" s="231">
        <v>7500.5</v>
      </c>
      <c r="H13" s="228">
        <v>-112</v>
      </c>
      <c r="I13" s="229">
        <v>-1.49E-2</v>
      </c>
      <c r="J13" s="231">
        <v>7369</v>
      </c>
      <c r="K13" s="231">
        <v>7469.5</v>
      </c>
      <c r="L13" s="228">
        <v>-100.5</v>
      </c>
      <c r="M13" s="229">
        <v>-1.35E-2</v>
      </c>
      <c r="N13" s="231">
        <v>7388.5</v>
      </c>
      <c r="O13" s="231">
        <v>7500.5</v>
      </c>
      <c r="P13" s="228">
        <v>-112</v>
      </c>
      <c r="Q13" s="229">
        <v>-1.49E-2</v>
      </c>
      <c r="R13" s="231">
        <v>7419.5</v>
      </c>
      <c r="S13" s="231">
        <v>7531.5</v>
      </c>
      <c r="T13" s="228">
        <v>-112</v>
      </c>
      <c r="U13" s="229">
        <v>-1.49E-2</v>
      </c>
      <c r="V13" s="228">
        <v>0</v>
      </c>
      <c r="W13" s="228">
        <v>0</v>
      </c>
      <c r="X13" s="228">
        <v>0</v>
      </c>
      <c r="Y13" s="229">
        <v>0</v>
      </c>
      <c r="Z13" s="228">
        <v>19.5</v>
      </c>
      <c r="AA13" s="228">
        <v>31</v>
      </c>
      <c r="AB13" s="228">
        <v>-11.5</v>
      </c>
      <c r="AC13" s="229">
        <v>2.5999999999999999E-3</v>
      </c>
      <c r="AD13" s="228">
        <v>19.5</v>
      </c>
      <c r="AE13" s="228">
        <v>31</v>
      </c>
      <c r="AF13" s="228">
        <v>-11.5</v>
      </c>
      <c r="AG13" s="229">
        <v>2.5999999999999999E-3</v>
      </c>
      <c r="AH13" s="228">
        <v>50.5</v>
      </c>
      <c r="AI13" s="228">
        <v>62</v>
      </c>
      <c r="AJ13" s="228">
        <v>-11.5</v>
      </c>
      <c r="AK13" s="229">
        <v>6.8999999999999999E-3</v>
      </c>
      <c r="AL13" s="228">
        <v>0</v>
      </c>
      <c r="AM13" s="228">
        <v>0</v>
      </c>
      <c r="AN13" s="228">
        <v>0</v>
      </c>
      <c r="AO13" s="229">
        <v>0</v>
      </c>
      <c r="AP13" s="231">
        <v>7467.53</v>
      </c>
      <c r="AQ13" s="231">
        <v>7521.97</v>
      </c>
      <c r="AR13" s="228">
        <v>0</v>
      </c>
      <c r="AS13" s="228">
        <v>84</v>
      </c>
      <c r="AT13" s="228">
        <v>98</v>
      </c>
      <c r="AU13" s="228">
        <v>-14</v>
      </c>
      <c r="AV13" s="229">
        <v>-0.14269999999999999</v>
      </c>
      <c r="AW13" s="228">
        <v>74</v>
      </c>
      <c r="AX13" s="228">
        <v>90</v>
      </c>
      <c r="AY13" s="228">
        <v>-15</v>
      </c>
      <c r="AZ13" s="229">
        <v>-0.17199999999999999</v>
      </c>
      <c r="BA13" s="228">
        <v>10</v>
      </c>
      <c r="BB13" s="228">
        <v>9</v>
      </c>
      <c r="BC13" s="228">
        <v>1</v>
      </c>
      <c r="BD13" s="229">
        <v>0.13789999999999999</v>
      </c>
      <c r="BE13" s="228">
        <v>0</v>
      </c>
      <c r="BF13" s="228">
        <v>0</v>
      </c>
      <c r="BG13" s="228">
        <v>0</v>
      </c>
      <c r="BH13" s="229">
        <v>0</v>
      </c>
      <c r="BI13" s="228">
        <v>296</v>
      </c>
      <c r="BJ13" s="228">
        <v>286</v>
      </c>
      <c r="BK13" s="228">
        <v>10</v>
      </c>
      <c r="BL13" s="229">
        <v>3.4299999999999997E-2</v>
      </c>
      <c r="BM13" s="228">
        <v>60</v>
      </c>
      <c r="BN13" s="228">
        <v>105</v>
      </c>
      <c r="BO13" s="228">
        <v>-45</v>
      </c>
      <c r="BP13" s="229">
        <v>-0.42749999999999999</v>
      </c>
      <c r="BQ13" s="228">
        <v>441</v>
      </c>
      <c r="BR13" s="228">
        <v>490</v>
      </c>
      <c r="BS13" s="228">
        <v>-49</v>
      </c>
      <c r="BT13" s="229">
        <v>-0.10059999999999999</v>
      </c>
      <c r="BU13" s="230">
        <v>170406</v>
      </c>
      <c r="BV13" s="230">
        <v>260712</v>
      </c>
      <c r="BW13" s="230">
        <v>-90306</v>
      </c>
      <c r="BX13" s="229">
        <v>-0.34639999999999999</v>
      </c>
      <c r="BY13" s="228">
        <v>237</v>
      </c>
      <c r="BZ13" s="228">
        <v>238</v>
      </c>
      <c r="CA13" s="228">
        <v>-1</v>
      </c>
      <c r="CB13" s="229">
        <v>-2.5000000000000001E-3</v>
      </c>
      <c r="CC13" s="228">
        <v>221</v>
      </c>
      <c r="CD13" s="228">
        <v>223</v>
      </c>
      <c r="CE13" s="228">
        <v>-2</v>
      </c>
      <c r="CF13" s="229">
        <v>-8.3000000000000001E-3</v>
      </c>
      <c r="CG13" s="228">
        <v>14</v>
      </c>
      <c r="CH13" s="228">
        <v>13</v>
      </c>
      <c r="CI13" s="228">
        <v>1</v>
      </c>
      <c r="CJ13" s="229">
        <v>7.7799999999999994E-2</v>
      </c>
      <c r="CK13" s="228">
        <v>0</v>
      </c>
      <c r="CL13" s="228">
        <v>0</v>
      </c>
      <c r="CM13" s="228">
        <v>0</v>
      </c>
      <c r="CN13" s="229">
        <v>0</v>
      </c>
      <c r="CO13" s="228">
        <v>226</v>
      </c>
      <c r="CP13" s="228">
        <v>233</v>
      </c>
      <c r="CQ13" s="228">
        <v>-6</v>
      </c>
      <c r="CR13" s="229">
        <v>-2.6700000000000002E-2</v>
      </c>
      <c r="CS13" s="228">
        <v>132</v>
      </c>
      <c r="CT13" s="228">
        <v>132</v>
      </c>
      <c r="CU13" s="228">
        <v>0</v>
      </c>
      <c r="CV13" s="229">
        <v>3.3999999999999998E-3</v>
      </c>
      <c r="CW13" s="228">
        <v>596</v>
      </c>
      <c r="CX13" s="228">
        <v>602</v>
      </c>
      <c r="CY13" s="228">
        <v>-6</v>
      </c>
      <c r="CZ13" s="229">
        <v>-1.0500000000000001E-2</v>
      </c>
      <c r="DA13" s="228">
        <v>40.72</v>
      </c>
      <c r="DB13" s="228">
        <v>39.659999999999997</v>
      </c>
      <c r="DC13" s="228">
        <v>1.06</v>
      </c>
      <c r="DD13" s="228">
        <v>1.06</v>
      </c>
      <c r="DE13" s="228">
        <v>58.04</v>
      </c>
      <c r="DF13" s="228">
        <v>58.15</v>
      </c>
      <c r="DG13" s="228">
        <v>-17.32</v>
      </c>
      <c r="DH13" s="228">
        <v>-0.11</v>
      </c>
      <c r="DI13" s="228">
        <v>40.97</v>
      </c>
      <c r="DJ13" s="228">
        <v>39.54</v>
      </c>
      <c r="DK13" s="228">
        <v>1.43</v>
      </c>
      <c r="DL13" s="228">
        <v>1.43</v>
      </c>
      <c r="DM13" s="228">
        <v>39.49</v>
      </c>
      <c r="DN13" s="228">
        <v>39.99</v>
      </c>
      <c r="DO13" s="228">
        <v>-0.5</v>
      </c>
      <c r="DP13" s="228">
        <v>-0.5</v>
      </c>
      <c r="DQ13" s="228">
        <v>0.57999999999999996</v>
      </c>
      <c r="DR13" s="228">
        <v>0.56999999999999995</v>
      </c>
      <c r="DS13" s="228">
        <v>0.01</v>
      </c>
      <c r="DT13" s="229">
        <v>1.7500000000000002E-2</v>
      </c>
      <c r="DU13" s="231">
        <v>7700</v>
      </c>
      <c r="DV13" s="231">
        <v>7000</v>
      </c>
      <c r="DW13" s="228">
        <v>0.2</v>
      </c>
      <c r="DX13" s="228">
        <v>0.37</v>
      </c>
      <c r="DY13" s="228">
        <v>-0.17</v>
      </c>
      <c r="DZ13" s="229">
        <v>-0.45950000000000002</v>
      </c>
      <c r="EA13" s="229">
        <v>6.0400000000000002E-2</v>
      </c>
      <c r="EB13" s="230">
        <v>18000</v>
      </c>
      <c r="EC13" s="229">
        <v>4.1999999999999997E-3</v>
      </c>
      <c r="ED13" s="229">
        <v>6.0400000000000002E-2</v>
      </c>
      <c r="EE13" s="228">
        <v>54.44</v>
      </c>
      <c r="EF13" s="229">
        <v>7.3000000000000001E-3</v>
      </c>
      <c r="EG13" s="230">
        <v>47798</v>
      </c>
      <c r="EH13" s="230">
        <v>112563</v>
      </c>
      <c r="EI13" s="229">
        <v>-0.57540000000000002</v>
      </c>
      <c r="EJ13" s="229">
        <v>0.28050000000000003</v>
      </c>
      <c r="EK13" s="228">
        <v>316.83999999999997</v>
      </c>
      <c r="EL13" s="228">
        <v>59.23</v>
      </c>
      <c r="EM13" s="228">
        <v>85.28</v>
      </c>
      <c r="EN13" s="228">
        <v>0</v>
      </c>
      <c r="EO13" s="228">
        <v>461.34</v>
      </c>
      <c r="EP13" s="228">
        <v>512.11</v>
      </c>
      <c r="EQ13" s="228">
        <v>-50.76</v>
      </c>
      <c r="ER13" s="229">
        <v>-9.9099999999999994E-2</v>
      </c>
      <c r="ES13" s="228">
        <v>237.83</v>
      </c>
      <c r="ET13" s="228">
        <v>129.44</v>
      </c>
      <c r="EU13" s="228">
        <v>237.25</v>
      </c>
      <c r="EV13" s="231">
        <v>4078053</v>
      </c>
      <c r="EW13" s="228">
        <v>604.52</v>
      </c>
      <c r="EX13" s="228">
        <v>615.42999999999995</v>
      </c>
      <c r="EY13" s="228">
        <v>-10.91</v>
      </c>
      <c r="EZ13" s="229">
        <v>-1.77E-2</v>
      </c>
      <c r="FA13" s="229">
        <v>0.1978</v>
      </c>
      <c r="FB13" s="227" t="s">
        <v>568</v>
      </c>
      <c r="FC13">
        <f t="shared" si="0"/>
        <v>16</v>
      </c>
    </row>
    <row r="14" spans="1:159" ht="17.25" thickBot="1" x14ac:dyDescent="0.3">
      <c r="A14" s="226">
        <v>45860</v>
      </c>
      <c r="B14" s="227" t="s">
        <v>157</v>
      </c>
      <c r="C14" s="227" t="s">
        <v>164</v>
      </c>
      <c r="D14" s="228">
        <v>1050</v>
      </c>
      <c r="E14" s="228">
        <v>9</v>
      </c>
      <c r="F14" s="228">
        <v>620.75</v>
      </c>
      <c r="G14" s="228">
        <v>614.9</v>
      </c>
      <c r="H14" s="228">
        <v>5.85</v>
      </c>
      <c r="I14" s="229">
        <v>9.4999999999999998E-3</v>
      </c>
      <c r="J14" s="228">
        <v>620.54999999999995</v>
      </c>
      <c r="K14" s="228">
        <v>613.25</v>
      </c>
      <c r="L14" s="228">
        <v>7.3</v>
      </c>
      <c r="M14" s="229">
        <v>1.1900000000000001E-2</v>
      </c>
      <c r="N14" s="228">
        <v>620.75</v>
      </c>
      <c r="O14" s="228">
        <v>614.9</v>
      </c>
      <c r="P14" s="228">
        <v>5.85</v>
      </c>
      <c r="Q14" s="229">
        <v>9.4999999999999998E-3</v>
      </c>
      <c r="R14" s="228">
        <v>623.9</v>
      </c>
      <c r="S14" s="228">
        <v>618.04999999999995</v>
      </c>
      <c r="T14" s="228">
        <v>5.85</v>
      </c>
      <c r="U14" s="229">
        <v>9.4999999999999998E-3</v>
      </c>
      <c r="V14" s="228">
        <v>0</v>
      </c>
      <c r="W14" s="228">
        <v>0</v>
      </c>
      <c r="X14" s="228">
        <v>0</v>
      </c>
      <c r="Y14" s="229">
        <v>0</v>
      </c>
      <c r="Z14" s="228">
        <v>0.2</v>
      </c>
      <c r="AA14" s="228">
        <v>1.65</v>
      </c>
      <c r="AB14" s="228">
        <v>-1.45</v>
      </c>
      <c r="AC14" s="229">
        <v>2.9999999999999997E-4</v>
      </c>
      <c r="AD14" s="228">
        <v>0.2</v>
      </c>
      <c r="AE14" s="228">
        <v>1.65</v>
      </c>
      <c r="AF14" s="228">
        <v>-1.45</v>
      </c>
      <c r="AG14" s="229">
        <v>2.9999999999999997E-4</v>
      </c>
      <c r="AH14" s="228">
        <v>3.35</v>
      </c>
      <c r="AI14" s="228">
        <v>4.8</v>
      </c>
      <c r="AJ14" s="228">
        <v>-1.45</v>
      </c>
      <c r="AK14" s="229">
        <v>5.4000000000000003E-3</v>
      </c>
      <c r="AL14" s="228">
        <v>0</v>
      </c>
      <c r="AM14" s="228">
        <v>0</v>
      </c>
      <c r="AN14" s="228">
        <v>0</v>
      </c>
      <c r="AO14" s="229">
        <v>0</v>
      </c>
      <c r="AP14" s="228">
        <v>621.80999999999995</v>
      </c>
      <c r="AQ14" s="228">
        <v>624.89</v>
      </c>
      <c r="AR14" s="228">
        <v>0</v>
      </c>
      <c r="AS14" s="228">
        <v>567</v>
      </c>
      <c r="AT14" s="228">
        <v>442</v>
      </c>
      <c r="AU14" s="228">
        <v>125</v>
      </c>
      <c r="AV14" s="229">
        <v>0.28360000000000002</v>
      </c>
      <c r="AW14" s="228">
        <v>466</v>
      </c>
      <c r="AX14" s="228">
        <v>369</v>
      </c>
      <c r="AY14" s="228">
        <v>97</v>
      </c>
      <c r="AZ14" s="229">
        <v>0.26200000000000001</v>
      </c>
      <c r="BA14" s="228">
        <v>98</v>
      </c>
      <c r="BB14" s="228">
        <v>68</v>
      </c>
      <c r="BC14" s="228">
        <v>30</v>
      </c>
      <c r="BD14" s="229">
        <v>0.43890000000000001</v>
      </c>
      <c r="BE14" s="228">
        <v>0</v>
      </c>
      <c r="BF14" s="228">
        <v>0</v>
      </c>
      <c r="BG14" s="228">
        <v>0</v>
      </c>
      <c r="BH14" s="229">
        <v>0</v>
      </c>
      <c r="BI14" s="230">
        <v>1914</v>
      </c>
      <c r="BJ14" s="230">
        <v>2192</v>
      </c>
      <c r="BK14" s="228">
        <v>-279</v>
      </c>
      <c r="BL14" s="229">
        <v>-0.12709999999999999</v>
      </c>
      <c r="BM14" s="228">
        <v>744</v>
      </c>
      <c r="BN14" s="228">
        <v>583</v>
      </c>
      <c r="BO14" s="228">
        <v>161</v>
      </c>
      <c r="BP14" s="229">
        <v>0.2767</v>
      </c>
      <c r="BQ14" s="230">
        <v>3225</v>
      </c>
      <c r="BR14" s="230">
        <v>3217</v>
      </c>
      <c r="BS14" s="228">
        <v>8</v>
      </c>
      <c r="BT14" s="229">
        <v>2.5000000000000001E-3</v>
      </c>
      <c r="BU14" s="230">
        <v>6169753</v>
      </c>
      <c r="BV14" s="230">
        <v>4577721</v>
      </c>
      <c r="BW14" s="230">
        <v>1592032</v>
      </c>
      <c r="BX14" s="229">
        <v>0.3478</v>
      </c>
      <c r="BY14" s="230">
        <v>1753</v>
      </c>
      <c r="BZ14" s="230">
        <v>1756</v>
      </c>
      <c r="CA14" s="228">
        <v>-3</v>
      </c>
      <c r="CB14" s="229">
        <v>-1.6999999999999999E-3</v>
      </c>
      <c r="CC14" s="230">
        <v>1636</v>
      </c>
      <c r="CD14" s="230">
        <v>1660</v>
      </c>
      <c r="CE14" s="228">
        <v>-24</v>
      </c>
      <c r="CF14" s="229">
        <v>-1.44E-2</v>
      </c>
      <c r="CG14" s="228">
        <v>110</v>
      </c>
      <c r="CH14" s="228">
        <v>89</v>
      </c>
      <c r="CI14" s="228">
        <v>20</v>
      </c>
      <c r="CJ14" s="229">
        <v>0.22720000000000001</v>
      </c>
      <c r="CK14" s="228">
        <v>0</v>
      </c>
      <c r="CL14" s="228">
        <v>0</v>
      </c>
      <c r="CM14" s="228">
        <v>0</v>
      </c>
      <c r="CN14" s="229">
        <v>0</v>
      </c>
      <c r="CO14" s="228">
        <v>567</v>
      </c>
      <c r="CP14" s="228">
        <v>602</v>
      </c>
      <c r="CQ14" s="228">
        <v>-35</v>
      </c>
      <c r="CR14" s="229">
        <v>-5.7700000000000001E-2</v>
      </c>
      <c r="CS14" s="228">
        <v>489</v>
      </c>
      <c r="CT14" s="228">
        <v>444</v>
      </c>
      <c r="CU14" s="228">
        <v>45</v>
      </c>
      <c r="CV14" s="229">
        <v>0.1012</v>
      </c>
      <c r="CW14" s="230">
        <v>2809</v>
      </c>
      <c r="CX14" s="230">
        <v>2802</v>
      </c>
      <c r="CY14" s="228">
        <v>7</v>
      </c>
      <c r="CZ14" s="229">
        <v>2.5000000000000001E-3</v>
      </c>
      <c r="DA14" s="228">
        <v>23.96</v>
      </c>
      <c r="DB14" s="228">
        <v>26.25</v>
      </c>
      <c r="DC14" s="228">
        <v>-2.29</v>
      </c>
      <c r="DD14" s="228">
        <v>-2.29</v>
      </c>
      <c r="DE14" s="228">
        <v>37.04</v>
      </c>
      <c r="DF14" s="228">
        <v>37.11</v>
      </c>
      <c r="DG14" s="228">
        <v>-13.08</v>
      </c>
      <c r="DH14" s="228">
        <v>-7.0000000000000007E-2</v>
      </c>
      <c r="DI14" s="228">
        <v>23.8</v>
      </c>
      <c r="DJ14" s="228">
        <v>25.81</v>
      </c>
      <c r="DK14" s="228">
        <v>-2.0099999999999998</v>
      </c>
      <c r="DL14" s="228">
        <v>-2.0099999999999998</v>
      </c>
      <c r="DM14" s="228">
        <v>24.36</v>
      </c>
      <c r="DN14" s="228">
        <v>27.92</v>
      </c>
      <c r="DO14" s="228">
        <v>-3.56</v>
      </c>
      <c r="DP14" s="228">
        <v>-3.56</v>
      </c>
      <c r="DQ14" s="228">
        <v>0.86</v>
      </c>
      <c r="DR14" s="228">
        <v>0.74</v>
      </c>
      <c r="DS14" s="228">
        <v>0.12</v>
      </c>
      <c r="DT14" s="229">
        <v>0.16220000000000001</v>
      </c>
      <c r="DU14" s="228">
        <v>620</v>
      </c>
      <c r="DV14" s="228">
        <v>630</v>
      </c>
      <c r="DW14" s="228">
        <v>0.39</v>
      </c>
      <c r="DX14" s="228">
        <v>0.27</v>
      </c>
      <c r="DY14" s="228">
        <v>0.12</v>
      </c>
      <c r="DZ14" s="229">
        <v>0.44440000000000002</v>
      </c>
      <c r="EA14" s="229">
        <v>6.2600000000000003E-2</v>
      </c>
      <c r="EB14" s="230">
        <v>1441650</v>
      </c>
      <c r="EC14" s="229">
        <v>5.1000000000000004E-3</v>
      </c>
      <c r="ED14" s="229">
        <v>6.2600000000000003E-2</v>
      </c>
      <c r="EE14" s="228">
        <v>3.08</v>
      </c>
      <c r="EF14" s="229">
        <v>5.0000000000000001E-3</v>
      </c>
      <c r="EG14" s="230">
        <v>2995599</v>
      </c>
      <c r="EH14" s="230">
        <v>1959623</v>
      </c>
      <c r="EI14" s="229">
        <v>0.52869999999999995</v>
      </c>
      <c r="EJ14" s="229">
        <v>0.48549999999999999</v>
      </c>
      <c r="EK14" s="231">
        <v>1957.72</v>
      </c>
      <c r="EL14" s="228">
        <v>735.22</v>
      </c>
      <c r="EM14" s="228">
        <v>568.47</v>
      </c>
      <c r="EN14" s="228">
        <v>0</v>
      </c>
      <c r="EO14" s="231">
        <v>3261.41</v>
      </c>
      <c r="EP14" s="231">
        <v>3200.72</v>
      </c>
      <c r="EQ14" s="228">
        <v>60.69</v>
      </c>
      <c r="ER14" s="229">
        <v>1.9E-2</v>
      </c>
      <c r="ES14" s="228">
        <v>563.76</v>
      </c>
      <c r="ET14" s="228">
        <v>465.32</v>
      </c>
      <c r="EU14" s="231">
        <v>1753.81</v>
      </c>
      <c r="EV14" s="231">
        <v>159683698</v>
      </c>
      <c r="EW14" s="231">
        <v>2782.89</v>
      </c>
      <c r="EX14" s="231">
        <v>2753.28</v>
      </c>
      <c r="EY14" s="228">
        <v>29.61</v>
      </c>
      <c r="EZ14" s="229">
        <v>1.0800000000000001E-2</v>
      </c>
      <c r="FA14" s="229">
        <v>0.28339999999999999</v>
      </c>
      <c r="FB14" s="227" t="s">
        <v>556</v>
      </c>
      <c r="FC14">
        <f t="shared" si="0"/>
        <v>117</v>
      </c>
    </row>
    <row r="15" spans="1:159" ht="17.25" thickBot="1" x14ac:dyDescent="0.3">
      <c r="A15" s="226">
        <v>45860</v>
      </c>
      <c r="B15" s="227" t="s">
        <v>175</v>
      </c>
      <c r="C15" s="227" t="s">
        <v>610</v>
      </c>
      <c r="D15" s="228">
        <v>250</v>
      </c>
      <c r="E15" s="228">
        <v>9</v>
      </c>
      <c r="F15" s="231">
        <v>2816.6</v>
      </c>
      <c r="G15" s="231">
        <v>2710.9</v>
      </c>
      <c r="H15" s="228">
        <v>105.7</v>
      </c>
      <c r="I15" s="229">
        <v>3.9E-2</v>
      </c>
      <c r="J15" s="231">
        <v>2805.4</v>
      </c>
      <c r="K15" s="231">
        <v>2706.3</v>
      </c>
      <c r="L15" s="228">
        <v>99.1</v>
      </c>
      <c r="M15" s="229">
        <v>3.6600000000000001E-2</v>
      </c>
      <c r="N15" s="231">
        <v>2816.6</v>
      </c>
      <c r="O15" s="231">
        <v>2710.9</v>
      </c>
      <c r="P15" s="228">
        <v>105.7</v>
      </c>
      <c r="Q15" s="229">
        <v>3.9E-2</v>
      </c>
      <c r="R15" s="231">
        <v>2796.9</v>
      </c>
      <c r="S15" s="231">
        <v>2696.2</v>
      </c>
      <c r="T15" s="228">
        <v>100.7</v>
      </c>
      <c r="U15" s="229">
        <v>3.73E-2</v>
      </c>
      <c r="V15" s="228">
        <v>0</v>
      </c>
      <c r="W15" s="228">
        <v>0</v>
      </c>
      <c r="X15" s="228">
        <v>0</v>
      </c>
      <c r="Y15" s="229">
        <v>0</v>
      </c>
      <c r="Z15" s="228">
        <v>11.2</v>
      </c>
      <c r="AA15" s="228">
        <v>4.5999999999999996</v>
      </c>
      <c r="AB15" s="228">
        <v>6.6</v>
      </c>
      <c r="AC15" s="229">
        <v>4.0000000000000001E-3</v>
      </c>
      <c r="AD15" s="228">
        <v>11.2</v>
      </c>
      <c r="AE15" s="228">
        <v>4.5999999999999996</v>
      </c>
      <c r="AF15" s="228">
        <v>6.6</v>
      </c>
      <c r="AG15" s="229">
        <v>4.0000000000000001E-3</v>
      </c>
      <c r="AH15" s="228">
        <v>-8.5</v>
      </c>
      <c r="AI15" s="228">
        <v>-10.1</v>
      </c>
      <c r="AJ15" s="228">
        <v>1.6</v>
      </c>
      <c r="AK15" s="229">
        <v>-3.0000000000000001E-3</v>
      </c>
      <c r="AL15" s="228">
        <v>0</v>
      </c>
      <c r="AM15" s="228">
        <v>0</v>
      </c>
      <c r="AN15" s="228">
        <v>0</v>
      </c>
      <c r="AO15" s="229">
        <v>0</v>
      </c>
      <c r="AP15" s="231">
        <v>2805.88</v>
      </c>
      <c r="AQ15" s="231">
        <v>2785.22</v>
      </c>
      <c r="AR15" s="228">
        <v>0</v>
      </c>
      <c r="AS15" s="228">
        <v>955</v>
      </c>
      <c r="AT15" s="228">
        <v>45</v>
      </c>
      <c r="AU15" s="228">
        <v>910</v>
      </c>
      <c r="AV15" s="229">
        <v>20.160699999999999</v>
      </c>
      <c r="AW15" s="228">
        <v>787</v>
      </c>
      <c r="AX15" s="228">
        <v>43</v>
      </c>
      <c r="AY15" s="228">
        <v>745</v>
      </c>
      <c r="AZ15" s="229">
        <v>17.513200000000001</v>
      </c>
      <c r="BA15" s="228">
        <v>158</v>
      </c>
      <c r="BB15" s="228">
        <v>3</v>
      </c>
      <c r="BC15" s="228">
        <v>155</v>
      </c>
      <c r="BD15" s="229">
        <v>59.540500000000002</v>
      </c>
      <c r="BE15" s="228">
        <v>0</v>
      </c>
      <c r="BF15" s="228">
        <v>0</v>
      </c>
      <c r="BG15" s="228">
        <v>0</v>
      </c>
      <c r="BH15" s="229">
        <v>0</v>
      </c>
      <c r="BI15" s="230">
        <v>7020</v>
      </c>
      <c r="BJ15" s="228">
        <v>46</v>
      </c>
      <c r="BK15" s="230">
        <v>6973</v>
      </c>
      <c r="BL15" s="229">
        <v>150.2792</v>
      </c>
      <c r="BM15" s="230">
        <v>2377</v>
      </c>
      <c r="BN15" s="228">
        <v>63</v>
      </c>
      <c r="BO15" s="230">
        <v>2315</v>
      </c>
      <c r="BP15" s="229">
        <v>36.894500000000001</v>
      </c>
      <c r="BQ15" s="230">
        <v>10352</v>
      </c>
      <c r="BR15" s="228">
        <v>154</v>
      </c>
      <c r="BS15" s="230">
        <v>10198</v>
      </c>
      <c r="BT15" s="229">
        <v>66.102199999999996</v>
      </c>
      <c r="BU15" s="230">
        <v>3595141</v>
      </c>
      <c r="BV15" s="230">
        <v>576011</v>
      </c>
      <c r="BW15" s="230">
        <v>3019130</v>
      </c>
      <c r="BX15" s="229">
        <v>5.2413999999999996</v>
      </c>
      <c r="BY15" s="228">
        <v>806</v>
      </c>
      <c r="BZ15" s="228">
        <v>842</v>
      </c>
      <c r="CA15" s="228">
        <v>-36</v>
      </c>
      <c r="CB15" s="229">
        <v>-4.2500000000000003E-2</v>
      </c>
      <c r="CC15" s="228">
        <v>608</v>
      </c>
      <c r="CD15" s="228">
        <v>645</v>
      </c>
      <c r="CE15" s="228">
        <v>-37</v>
      </c>
      <c r="CF15" s="229">
        <v>-5.7099999999999998E-2</v>
      </c>
      <c r="CG15" s="228">
        <v>183</v>
      </c>
      <c r="CH15" s="228">
        <v>181</v>
      </c>
      <c r="CI15" s="228">
        <v>2</v>
      </c>
      <c r="CJ15" s="229">
        <v>1.09E-2</v>
      </c>
      <c r="CK15" s="228">
        <v>0</v>
      </c>
      <c r="CL15" s="228">
        <v>0</v>
      </c>
      <c r="CM15" s="228">
        <v>0</v>
      </c>
      <c r="CN15" s="229">
        <v>0</v>
      </c>
      <c r="CO15" s="230">
        <v>1086</v>
      </c>
      <c r="CP15" s="230">
        <v>1026</v>
      </c>
      <c r="CQ15" s="228">
        <v>60</v>
      </c>
      <c r="CR15" s="229">
        <v>5.8000000000000003E-2</v>
      </c>
      <c r="CS15" s="228">
        <v>626</v>
      </c>
      <c r="CT15" s="228">
        <v>687</v>
      </c>
      <c r="CU15" s="228">
        <v>-61</v>
      </c>
      <c r="CV15" s="229">
        <v>-8.8499999999999995E-2</v>
      </c>
      <c r="CW15" s="230">
        <v>2518</v>
      </c>
      <c r="CX15" s="230">
        <v>2555</v>
      </c>
      <c r="CY15" s="228">
        <v>-37</v>
      </c>
      <c r="CZ15" s="229">
        <v>-1.4500000000000001E-2</v>
      </c>
      <c r="DA15" s="228">
        <v>41.8</v>
      </c>
      <c r="DB15" s="228">
        <v>46.2</v>
      </c>
      <c r="DC15" s="228">
        <v>-4.4000000000000004</v>
      </c>
      <c r="DD15" s="228">
        <v>-4.4000000000000004</v>
      </c>
      <c r="DE15" s="228">
        <v>59.4</v>
      </c>
      <c r="DF15" s="228">
        <v>59.32</v>
      </c>
      <c r="DG15" s="228">
        <v>-17.600000000000001</v>
      </c>
      <c r="DH15" s="228">
        <v>0.08</v>
      </c>
      <c r="DI15" s="228">
        <v>41.45</v>
      </c>
      <c r="DJ15" s="228">
        <v>46.71</v>
      </c>
      <c r="DK15" s="228">
        <v>-5.26</v>
      </c>
      <c r="DL15" s="228">
        <v>-5.26</v>
      </c>
      <c r="DM15" s="228">
        <v>42.83</v>
      </c>
      <c r="DN15" s="228">
        <v>45.83</v>
      </c>
      <c r="DO15" s="228">
        <v>-3</v>
      </c>
      <c r="DP15" s="228">
        <v>-3</v>
      </c>
      <c r="DQ15" s="228">
        <v>0.57999999999999996</v>
      </c>
      <c r="DR15" s="228">
        <v>0.67</v>
      </c>
      <c r="DS15" s="228">
        <v>-0.09</v>
      </c>
      <c r="DT15" s="229">
        <v>-0.1343</v>
      </c>
      <c r="DU15" s="231">
        <v>2800</v>
      </c>
      <c r="DV15" s="231">
        <v>2700</v>
      </c>
      <c r="DW15" s="228">
        <v>0.34</v>
      </c>
      <c r="DX15" s="228">
        <v>1.35</v>
      </c>
      <c r="DY15" s="228">
        <v>-1.01</v>
      </c>
      <c r="DZ15" s="229">
        <v>-0.74809999999999999</v>
      </c>
      <c r="EA15" s="229">
        <v>0.22700000000000001</v>
      </c>
      <c r="EB15" s="230">
        <v>642500</v>
      </c>
      <c r="EC15" s="229">
        <v>-7.0000000000000001E-3</v>
      </c>
      <c r="ED15" s="229">
        <v>0.22700000000000001</v>
      </c>
      <c r="EE15" s="228">
        <v>-20.66</v>
      </c>
      <c r="EF15" s="229">
        <v>-7.4000000000000003E-3</v>
      </c>
      <c r="EG15" s="230">
        <v>548130</v>
      </c>
      <c r="EH15" s="230">
        <v>114064</v>
      </c>
      <c r="EI15" s="229">
        <v>3.8054999999999999</v>
      </c>
      <c r="EJ15" s="229">
        <v>0.1525</v>
      </c>
      <c r="EK15" s="231">
        <v>7415.59</v>
      </c>
      <c r="EL15" s="231">
        <v>2287.0700000000002</v>
      </c>
      <c r="EM15" s="228">
        <v>950.21</v>
      </c>
      <c r="EN15" s="228">
        <v>0</v>
      </c>
      <c r="EO15" s="231">
        <v>10652.87</v>
      </c>
      <c r="EP15" s="228">
        <v>148.81</v>
      </c>
      <c r="EQ15" s="231">
        <v>10504.06</v>
      </c>
      <c r="ER15" s="229">
        <v>70.586600000000004</v>
      </c>
      <c r="ES15" s="231">
        <v>1132.71</v>
      </c>
      <c r="ET15" s="228">
        <v>581.97</v>
      </c>
      <c r="EU15" s="228">
        <v>804.56</v>
      </c>
      <c r="EV15" s="231">
        <v>11638502</v>
      </c>
      <c r="EW15" s="231">
        <v>2519.2399999999998</v>
      </c>
      <c r="EX15" s="231">
        <v>2510.91</v>
      </c>
      <c r="EY15" s="228">
        <v>8.33</v>
      </c>
      <c r="EZ15" s="229">
        <v>3.3E-3</v>
      </c>
      <c r="FA15" s="229">
        <v>0.76800000000000002</v>
      </c>
      <c r="FB15" s="227" t="s">
        <v>556</v>
      </c>
      <c r="FC15">
        <f t="shared" si="0"/>
        <v>198</v>
      </c>
    </row>
    <row r="16" spans="1:159" ht="17.25" thickBot="1" x14ac:dyDescent="0.3">
      <c r="A16" s="226">
        <v>45860</v>
      </c>
      <c r="B16" s="227" t="s">
        <v>227</v>
      </c>
      <c r="C16" s="227" t="s">
        <v>599</v>
      </c>
      <c r="D16" s="228">
        <v>350</v>
      </c>
      <c r="E16" s="228">
        <v>9</v>
      </c>
      <c r="F16" s="231">
        <v>1661.9</v>
      </c>
      <c r="G16" s="231">
        <v>1696.6</v>
      </c>
      <c r="H16" s="228">
        <v>-34.700000000000003</v>
      </c>
      <c r="I16" s="229">
        <v>-2.0500000000000001E-2</v>
      </c>
      <c r="J16" s="231">
        <v>1660.4</v>
      </c>
      <c r="K16" s="231">
        <v>1692.5</v>
      </c>
      <c r="L16" s="228">
        <v>-32.1</v>
      </c>
      <c r="M16" s="229">
        <v>-1.9E-2</v>
      </c>
      <c r="N16" s="231">
        <v>1661.9</v>
      </c>
      <c r="O16" s="231">
        <v>1696.6</v>
      </c>
      <c r="P16" s="228">
        <v>-34.700000000000003</v>
      </c>
      <c r="Q16" s="229">
        <v>-2.0500000000000001E-2</v>
      </c>
      <c r="R16" s="231">
        <v>1669.2</v>
      </c>
      <c r="S16" s="231">
        <v>1702.2</v>
      </c>
      <c r="T16" s="228">
        <v>-33</v>
      </c>
      <c r="U16" s="229">
        <v>-1.9400000000000001E-2</v>
      </c>
      <c r="V16" s="228">
        <v>0</v>
      </c>
      <c r="W16" s="228">
        <v>0</v>
      </c>
      <c r="X16" s="228">
        <v>0</v>
      </c>
      <c r="Y16" s="229">
        <v>0</v>
      </c>
      <c r="Z16" s="228">
        <v>1.5</v>
      </c>
      <c r="AA16" s="228">
        <v>4.0999999999999996</v>
      </c>
      <c r="AB16" s="228">
        <v>-2.6</v>
      </c>
      <c r="AC16" s="229">
        <v>8.9999999999999998E-4</v>
      </c>
      <c r="AD16" s="228">
        <v>1.5</v>
      </c>
      <c r="AE16" s="228">
        <v>4.0999999999999996</v>
      </c>
      <c r="AF16" s="228">
        <v>-2.6</v>
      </c>
      <c r="AG16" s="229">
        <v>8.9999999999999998E-4</v>
      </c>
      <c r="AH16" s="228">
        <v>8.8000000000000007</v>
      </c>
      <c r="AI16" s="228">
        <v>9.6999999999999993</v>
      </c>
      <c r="AJ16" s="228">
        <v>-0.9</v>
      </c>
      <c r="AK16" s="229">
        <v>5.3E-3</v>
      </c>
      <c r="AL16" s="228">
        <v>0</v>
      </c>
      <c r="AM16" s="228">
        <v>0</v>
      </c>
      <c r="AN16" s="228">
        <v>0</v>
      </c>
      <c r="AO16" s="229">
        <v>0</v>
      </c>
      <c r="AP16" s="231">
        <v>1666.37</v>
      </c>
      <c r="AQ16" s="231">
        <v>1673.71</v>
      </c>
      <c r="AR16" s="228">
        <v>0</v>
      </c>
      <c r="AS16" s="228">
        <v>165</v>
      </c>
      <c r="AT16" s="228">
        <v>116</v>
      </c>
      <c r="AU16" s="228">
        <v>49</v>
      </c>
      <c r="AV16" s="229">
        <v>0.42420000000000002</v>
      </c>
      <c r="AW16" s="228">
        <v>154</v>
      </c>
      <c r="AX16" s="228">
        <v>101</v>
      </c>
      <c r="AY16" s="228">
        <v>53</v>
      </c>
      <c r="AZ16" s="229">
        <v>0.52500000000000002</v>
      </c>
      <c r="BA16" s="228">
        <v>10</v>
      </c>
      <c r="BB16" s="228">
        <v>14</v>
      </c>
      <c r="BC16" s="228">
        <v>-4</v>
      </c>
      <c r="BD16" s="229">
        <v>-0.27979999999999999</v>
      </c>
      <c r="BE16" s="228">
        <v>0</v>
      </c>
      <c r="BF16" s="228">
        <v>0</v>
      </c>
      <c r="BG16" s="228">
        <v>0</v>
      </c>
      <c r="BH16" s="229">
        <v>0</v>
      </c>
      <c r="BI16" s="228">
        <v>227</v>
      </c>
      <c r="BJ16" s="228">
        <v>262</v>
      </c>
      <c r="BK16" s="228">
        <v>-36</v>
      </c>
      <c r="BL16" s="229">
        <v>-0.13619999999999999</v>
      </c>
      <c r="BM16" s="228">
        <v>123</v>
      </c>
      <c r="BN16" s="228">
        <v>142</v>
      </c>
      <c r="BO16" s="228">
        <v>-19</v>
      </c>
      <c r="BP16" s="229">
        <v>-0.13189999999999999</v>
      </c>
      <c r="BQ16" s="228">
        <v>515</v>
      </c>
      <c r="BR16" s="228">
        <v>520</v>
      </c>
      <c r="BS16" s="228">
        <v>-5</v>
      </c>
      <c r="BT16" s="229">
        <v>-1.0200000000000001E-2</v>
      </c>
      <c r="BU16" s="230">
        <v>463418</v>
      </c>
      <c r="BV16" s="230">
        <v>413899</v>
      </c>
      <c r="BW16" s="230">
        <v>49519</v>
      </c>
      <c r="BX16" s="229">
        <v>0.1196</v>
      </c>
      <c r="BY16" s="228">
        <v>731</v>
      </c>
      <c r="BZ16" s="228">
        <v>725</v>
      </c>
      <c r="CA16" s="228">
        <v>6</v>
      </c>
      <c r="CB16" s="229">
        <v>8.0999999999999996E-3</v>
      </c>
      <c r="CC16" s="228">
        <v>700</v>
      </c>
      <c r="CD16" s="228">
        <v>695</v>
      </c>
      <c r="CE16" s="228">
        <v>5</v>
      </c>
      <c r="CF16" s="229">
        <v>7.4000000000000003E-3</v>
      </c>
      <c r="CG16" s="228">
        <v>29</v>
      </c>
      <c r="CH16" s="228">
        <v>28</v>
      </c>
      <c r="CI16" s="228">
        <v>1</v>
      </c>
      <c r="CJ16" s="229">
        <v>2.5000000000000001E-2</v>
      </c>
      <c r="CK16" s="228">
        <v>0</v>
      </c>
      <c r="CL16" s="228">
        <v>0</v>
      </c>
      <c r="CM16" s="228">
        <v>0</v>
      </c>
      <c r="CN16" s="229">
        <v>0</v>
      </c>
      <c r="CO16" s="228">
        <v>431</v>
      </c>
      <c r="CP16" s="228">
        <v>410</v>
      </c>
      <c r="CQ16" s="228">
        <v>21</v>
      </c>
      <c r="CR16" s="229">
        <v>5.1200000000000002E-2</v>
      </c>
      <c r="CS16" s="228">
        <v>287</v>
      </c>
      <c r="CT16" s="228">
        <v>285</v>
      </c>
      <c r="CU16" s="228">
        <v>2</v>
      </c>
      <c r="CV16" s="229">
        <v>8.0000000000000002E-3</v>
      </c>
      <c r="CW16" s="230">
        <v>1449</v>
      </c>
      <c r="CX16" s="230">
        <v>1420</v>
      </c>
      <c r="CY16" s="228">
        <v>29</v>
      </c>
      <c r="CZ16" s="229">
        <v>2.0500000000000001E-2</v>
      </c>
      <c r="DA16" s="228">
        <v>33.409999999999997</v>
      </c>
      <c r="DB16" s="228">
        <v>30.73</v>
      </c>
      <c r="DC16" s="228">
        <v>2.68</v>
      </c>
      <c r="DD16" s="228">
        <v>2.68</v>
      </c>
      <c r="DE16" s="228">
        <v>36.299999999999997</v>
      </c>
      <c r="DF16" s="228">
        <v>36.299999999999997</v>
      </c>
      <c r="DG16" s="228">
        <v>-2.89</v>
      </c>
      <c r="DH16" s="228">
        <v>0</v>
      </c>
      <c r="DI16" s="228">
        <v>34.86</v>
      </c>
      <c r="DJ16" s="228">
        <v>31.5</v>
      </c>
      <c r="DK16" s="228">
        <v>3.36</v>
      </c>
      <c r="DL16" s="228">
        <v>3.36</v>
      </c>
      <c r="DM16" s="228">
        <v>30.75</v>
      </c>
      <c r="DN16" s="228">
        <v>29.29</v>
      </c>
      <c r="DO16" s="228">
        <v>1.46</v>
      </c>
      <c r="DP16" s="228">
        <v>1.46</v>
      </c>
      <c r="DQ16" s="228">
        <v>0.67</v>
      </c>
      <c r="DR16" s="228">
        <v>0.7</v>
      </c>
      <c r="DS16" s="228">
        <v>-0.03</v>
      </c>
      <c r="DT16" s="229">
        <v>-4.2900000000000001E-2</v>
      </c>
      <c r="DU16" s="231">
        <v>1800</v>
      </c>
      <c r="DV16" s="231">
        <v>1680</v>
      </c>
      <c r="DW16" s="228">
        <v>0.54</v>
      </c>
      <c r="DX16" s="228">
        <v>0.54</v>
      </c>
      <c r="DY16" s="228">
        <v>0</v>
      </c>
      <c r="DZ16" s="229">
        <v>0</v>
      </c>
      <c r="EA16" s="229">
        <v>3.9100000000000003E-2</v>
      </c>
      <c r="EB16" s="230">
        <v>168000</v>
      </c>
      <c r="EC16" s="229">
        <v>4.4000000000000003E-3</v>
      </c>
      <c r="ED16" s="229">
        <v>3.9100000000000003E-2</v>
      </c>
      <c r="EE16" s="228">
        <v>7.34</v>
      </c>
      <c r="EF16" s="229">
        <v>4.4000000000000003E-3</v>
      </c>
      <c r="EG16" s="230">
        <v>250743</v>
      </c>
      <c r="EH16" s="230">
        <v>213226</v>
      </c>
      <c r="EI16" s="229">
        <v>0.1759</v>
      </c>
      <c r="EJ16" s="229">
        <v>0.54110000000000003</v>
      </c>
      <c r="EK16" s="228">
        <v>247.91</v>
      </c>
      <c r="EL16" s="228">
        <v>124.76</v>
      </c>
      <c r="EM16" s="228">
        <v>165.51</v>
      </c>
      <c r="EN16" s="228">
        <v>0</v>
      </c>
      <c r="EO16" s="228">
        <v>538.17999999999995</v>
      </c>
      <c r="EP16" s="228">
        <v>546.88</v>
      </c>
      <c r="EQ16" s="228">
        <v>-8.6999999999999993</v>
      </c>
      <c r="ER16" s="229">
        <v>-1.5900000000000001E-2</v>
      </c>
      <c r="ES16" s="228">
        <v>470.18</v>
      </c>
      <c r="ET16" s="228">
        <v>292</v>
      </c>
      <c r="EU16" s="228">
        <v>731.42</v>
      </c>
      <c r="EV16" s="231">
        <v>39789217</v>
      </c>
      <c r="EW16" s="231">
        <v>1493.59</v>
      </c>
      <c r="EX16" s="231">
        <v>1480.17</v>
      </c>
      <c r="EY16" s="228">
        <v>13.42</v>
      </c>
      <c r="EZ16" s="229">
        <v>9.1000000000000004E-3</v>
      </c>
      <c r="FA16" s="229">
        <v>0.21920000000000001</v>
      </c>
      <c r="FB16" s="227" t="s">
        <v>567</v>
      </c>
      <c r="FC16">
        <f t="shared" si="0"/>
        <v>31</v>
      </c>
    </row>
    <row r="17" spans="1:159" ht="17.25" thickBot="1" x14ac:dyDescent="0.3">
      <c r="A17" s="226">
        <v>45860</v>
      </c>
      <c r="B17" s="227" t="s">
        <v>170</v>
      </c>
      <c r="C17" s="227" t="s">
        <v>165</v>
      </c>
      <c r="D17" s="228">
        <v>125</v>
      </c>
      <c r="E17" s="228">
        <v>9</v>
      </c>
      <c r="F17" s="231">
        <v>7258</v>
      </c>
      <c r="G17" s="231">
        <v>7271</v>
      </c>
      <c r="H17" s="228">
        <v>-13</v>
      </c>
      <c r="I17" s="229">
        <v>-1.8E-3</v>
      </c>
      <c r="J17" s="231">
        <v>7246.5</v>
      </c>
      <c r="K17" s="231">
        <v>7254.5</v>
      </c>
      <c r="L17" s="228">
        <v>-8</v>
      </c>
      <c r="M17" s="229">
        <v>-1.1000000000000001E-3</v>
      </c>
      <c r="N17" s="231">
        <v>7258</v>
      </c>
      <c r="O17" s="231">
        <v>7271</v>
      </c>
      <c r="P17" s="228">
        <v>-13</v>
      </c>
      <c r="Q17" s="229">
        <v>-1.8E-3</v>
      </c>
      <c r="R17" s="231">
        <v>7287</v>
      </c>
      <c r="S17" s="231">
        <v>7299.5</v>
      </c>
      <c r="T17" s="228">
        <v>-12.5</v>
      </c>
      <c r="U17" s="229">
        <v>-1.6999999999999999E-3</v>
      </c>
      <c r="V17" s="228">
        <v>0</v>
      </c>
      <c r="W17" s="228">
        <v>0</v>
      </c>
      <c r="X17" s="228">
        <v>0</v>
      </c>
      <c r="Y17" s="229">
        <v>0</v>
      </c>
      <c r="Z17" s="228">
        <v>11.5</v>
      </c>
      <c r="AA17" s="228">
        <v>16.5</v>
      </c>
      <c r="AB17" s="228">
        <v>-5</v>
      </c>
      <c r="AC17" s="229">
        <v>1.6000000000000001E-3</v>
      </c>
      <c r="AD17" s="228">
        <v>11.5</v>
      </c>
      <c r="AE17" s="228">
        <v>16.5</v>
      </c>
      <c r="AF17" s="228">
        <v>-5</v>
      </c>
      <c r="AG17" s="229">
        <v>1.6000000000000001E-3</v>
      </c>
      <c r="AH17" s="228">
        <v>40.5</v>
      </c>
      <c r="AI17" s="228">
        <v>45</v>
      </c>
      <c r="AJ17" s="228">
        <v>-4.5</v>
      </c>
      <c r="AK17" s="229">
        <v>5.5999999999999999E-3</v>
      </c>
      <c r="AL17" s="228">
        <v>0</v>
      </c>
      <c r="AM17" s="228">
        <v>0</v>
      </c>
      <c r="AN17" s="228">
        <v>0</v>
      </c>
      <c r="AO17" s="229">
        <v>0</v>
      </c>
      <c r="AP17" s="231">
        <v>7261.92</v>
      </c>
      <c r="AQ17" s="231">
        <v>7286.1</v>
      </c>
      <c r="AR17" s="228">
        <v>0</v>
      </c>
      <c r="AS17" s="228">
        <v>140</v>
      </c>
      <c r="AT17" s="228">
        <v>182</v>
      </c>
      <c r="AU17" s="228">
        <v>-42</v>
      </c>
      <c r="AV17" s="229">
        <v>-0.23019999999999999</v>
      </c>
      <c r="AW17" s="228">
        <v>119</v>
      </c>
      <c r="AX17" s="228">
        <v>157</v>
      </c>
      <c r="AY17" s="228">
        <v>-38</v>
      </c>
      <c r="AZ17" s="229">
        <v>-0.2447</v>
      </c>
      <c r="BA17" s="228">
        <v>20</v>
      </c>
      <c r="BB17" s="228">
        <v>22</v>
      </c>
      <c r="BC17" s="228">
        <v>-3</v>
      </c>
      <c r="BD17" s="229">
        <v>-0.1169</v>
      </c>
      <c r="BE17" s="228">
        <v>0</v>
      </c>
      <c r="BF17" s="228">
        <v>0</v>
      </c>
      <c r="BG17" s="228">
        <v>0</v>
      </c>
      <c r="BH17" s="229">
        <v>0</v>
      </c>
      <c r="BI17" s="228">
        <v>803</v>
      </c>
      <c r="BJ17" s="228">
        <v>850</v>
      </c>
      <c r="BK17" s="228">
        <v>-47</v>
      </c>
      <c r="BL17" s="229">
        <v>-5.4800000000000001E-2</v>
      </c>
      <c r="BM17" s="228">
        <v>370</v>
      </c>
      <c r="BN17" s="228">
        <v>514</v>
      </c>
      <c r="BO17" s="228">
        <v>-144</v>
      </c>
      <c r="BP17" s="229">
        <v>-0.27989999999999998</v>
      </c>
      <c r="BQ17" s="230">
        <v>1314</v>
      </c>
      <c r="BR17" s="230">
        <v>1546</v>
      </c>
      <c r="BS17" s="228">
        <v>-232</v>
      </c>
      <c r="BT17" s="229">
        <v>-0.15029999999999999</v>
      </c>
      <c r="BU17" s="230">
        <v>303846</v>
      </c>
      <c r="BV17" s="230">
        <v>220137</v>
      </c>
      <c r="BW17" s="230">
        <v>83709</v>
      </c>
      <c r="BX17" s="229">
        <v>0.38030000000000003</v>
      </c>
      <c r="BY17" s="230">
        <v>1992</v>
      </c>
      <c r="BZ17" s="230">
        <v>2015</v>
      </c>
      <c r="CA17" s="228">
        <v>-23</v>
      </c>
      <c r="CB17" s="229">
        <v>-1.1299999999999999E-2</v>
      </c>
      <c r="CC17" s="230">
        <v>1875</v>
      </c>
      <c r="CD17" s="230">
        <v>1910</v>
      </c>
      <c r="CE17" s="228">
        <v>-34</v>
      </c>
      <c r="CF17" s="229">
        <v>-1.7999999999999999E-2</v>
      </c>
      <c r="CG17" s="228">
        <v>108</v>
      </c>
      <c r="CH17" s="228">
        <v>97</v>
      </c>
      <c r="CI17" s="228">
        <v>11</v>
      </c>
      <c r="CJ17" s="229">
        <v>0.1173</v>
      </c>
      <c r="CK17" s="228">
        <v>0</v>
      </c>
      <c r="CL17" s="228">
        <v>0</v>
      </c>
      <c r="CM17" s="228">
        <v>0</v>
      </c>
      <c r="CN17" s="229">
        <v>0</v>
      </c>
      <c r="CO17" s="230">
        <v>1454</v>
      </c>
      <c r="CP17" s="230">
        <v>1424</v>
      </c>
      <c r="CQ17" s="228">
        <v>30</v>
      </c>
      <c r="CR17" s="229">
        <v>2.1100000000000001E-2</v>
      </c>
      <c r="CS17" s="228">
        <v>695</v>
      </c>
      <c r="CT17" s="228">
        <v>704</v>
      </c>
      <c r="CU17" s="228">
        <v>-9</v>
      </c>
      <c r="CV17" s="229">
        <v>-1.29E-2</v>
      </c>
      <c r="CW17" s="230">
        <v>4141</v>
      </c>
      <c r="CX17" s="230">
        <v>4143</v>
      </c>
      <c r="CY17" s="228">
        <v>-2</v>
      </c>
      <c r="CZ17" s="229">
        <v>-4.0000000000000002E-4</v>
      </c>
      <c r="DA17" s="228">
        <v>19.14</v>
      </c>
      <c r="DB17" s="228">
        <v>20.11</v>
      </c>
      <c r="DC17" s="228">
        <v>-0.97</v>
      </c>
      <c r="DD17" s="228">
        <v>-0.97</v>
      </c>
      <c r="DE17" s="228">
        <v>26.66</v>
      </c>
      <c r="DF17" s="228">
        <v>26.72</v>
      </c>
      <c r="DG17" s="228">
        <v>-7.52</v>
      </c>
      <c r="DH17" s="228">
        <v>-0.06</v>
      </c>
      <c r="DI17" s="228">
        <v>19.86</v>
      </c>
      <c r="DJ17" s="228">
        <v>21.07</v>
      </c>
      <c r="DK17" s="228">
        <v>-1.21</v>
      </c>
      <c r="DL17" s="228">
        <v>-1.21</v>
      </c>
      <c r="DM17" s="228">
        <v>17.600000000000001</v>
      </c>
      <c r="DN17" s="228">
        <v>18.52</v>
      </c>
      <c r="DO17" s="228">
        <v>-0.92</v>
      </c>
      <c r="DP17" s="228">
        <v>-0.92</v>
      </c>
      <c r="DQ17" s="228">
        <v>0.48</v>
      </c>
      <c r="DR17" s="228">
        <v>0.49</v>
      </c>
      <c r="DS17" s="228">
        <v>-0.01</v>
      </c>
      <c r="DT17" s="229">
        <v>-2.0400000000000001E-2</v>
      </c>
      <c r="DU17" s="231">
        <v>8000</v>
      </c>
      <c r="DV17" s="231">
        <v>7000</v>
      </c>
      <c r="DW17" s="228">
        <v>0.46</v>
      </c>
      <c r="DX17" s="228">
        <v>0.61</v>
      </c>
      <c r="DY17" s="228">
        <v>-0.15</v>
      </c>
      <c r="DZ17" s="229">
        <v>-0.24590000000000001</v>
      </c>
      <c r="EA17" s="229">
        <v>5.4199999999999998E-2</v>
      </c>
      <c r="EB17" s="230">
        <v>133250</v>
      </c>
      <c r="EC17" s="229">
        <v>4.0000000000000001E-3</v>
      </c>
      <c r="ED17" s="229">
        <v>5.4199999999999998E-2</v>
      </c>
      <c r="EE17" s="228">
        <v>24.18</v>
      </c>
      <c r="EF17" s="229">
        <v>3.3E-3</v>
      </c>
      <c r="EG17" s="230">
        <v>234187</v>
      </c>
      <c r="EH17" s="230">
        <v>150399</v>
      </c>
      <c r="EI17" s="229">
        <v>0.55710000000000004</v>
      </c>
      <c r="EJ17" s="229">
        <v>0.77070000000000005</v>
      </c>
      <c r="EK17" s="228">
        <v>831.88</v>
      </c>
      <c r="EL17" s="228">
        <v>367.42</v>
      </c>
      <c r="EM17" s="228">
        <v>140.05000000000001</v>
      </c>
      <c r="EN17" s="228">
        <v>0</v>
      </c>
      <c r="EO17" s="231">
        <v>1339.35</v>
      </c>
      <c r="EP17" s="231">
        <v>1582.85</v>
      </c>
      <c r="EQ17" s="228">
        <v>-243.5</v>
      </c>
      <c r="ER17" s="229">
        <v>-0.15379999999999999</v>
      </c>
      <c r="ES17" s="231">
        <v>1545.64</v>
      </c>
      <c r="ET17" s="228">
        <v>680.49</v>
      </c>
      <c r="EU17" s="231">
        <v>1992.37</v>
      </c>
      <c r="EV17" s="231">
        <v>20320323</v>
      </c>
      <c r="EW17" s="231">
        <v>4218.5</v>
      </c>
      <c r="EX17" s="231">
        <v>4222.84</v>
      </c>
      <c r="EY17" s="228">
        <v>-4.34</v>
      </c>
      <c r="EZ17" s="229">
        <v>-1E-3</v>
      </c>
      <c r="FA17" s="229">
        <v>0.28079999999999999</v>
      </c>
      <c r="FB17" s="227" t="s">
        <v>568</v>
      </c>
      <c r="FC17">
        <f t="shared" si="0"/>
        <v>117</v>
      </c>
    </row>
    <row r="18" spans="1:159" ht="17.25" thickBot="1" x14ac:dyDescent="0.3">
      <c r="A18" s="226">
        <v>45860</v>
      </c>
      <c r="B18" s="227" t="s">
        <v>162</v>
      </c>
      <c r="C18" s="227" t="s">
        <v>167</v>
      </c>
      <c r="D18" s="228">
        <v>5000</v>
      </c>
      <c r="E18" s="228">
        <v>9</v>
      </c>
      <c r="F18" s="228">
        <v>124.05</v>
      </c>
      <c r="G18" s="228">
        <v>124.9</v>
      </c>
      <c r="H18" s="228">
        <v>-0.85</v>
      </c>
      <c r="I18" s="229">
        <v>-6.7999999999999996E-3</v>
      </c>
      <c r="J18" s="228">
        <v>124</v>
      </c>
      <c r="K18" s="228">
        <v>124.8</v>
      </c>
      <c r="L18" s="228">
        <v>-0.8</v>
      </c>
      <c r="M18" s="229">
        <v>-6.4000000000000003E-3</v>
      </c>
      <c r="N18" s="228">
        <v>124.05</v>
      </c>
      <c r="O18" s="228">
        <v>124.9</v>
      </c>
      <c r="P18" s="228">
        <v>-0.85</v>
      </c>
      <c r="Q18" s="229">
        <v>-6.7999999999999996E-3</v>
      </c>
      <c r="R18" s="228">
        <v>124.6</v>
      </c>
      <c r="S18" s="228">
        <v>125.45</v>
      </c>
      <c r="T18" s="228">
        <v>-0.85</v>
      </c>
      <c r="U18" s="229">
        <v>-6.7999999999999996E-3</v>
      </c>
      <c r="V18" s="228">
        <v>0</v>
      </c>
      <c r="W18" s="228">
        <v>0</v>
      </c>
      <c r="X18" s="228">
        <v>0</v>
      </c>
      <c r="Y18" s="229">
        <v>0</v>
      </c>
      <c r="Z18" s="228">
        <v>0.05</v>
      </c>
      <c r="AA18" s="228">
        <v>0.1</v>
      </c>
      <c r="AB18" s="228">
        <v>-0.05</v>
      </c>
      <c r="AC18" s="229">
        <v>4.0000000000000002E-4</v>
      </c>
      <c r="AD18" s="228">
        <v>0.05</v>
      </c>
      <c r="AE18" s="228">
        <v>0.1</v>
      </c>
      <c r="AF18" s="228">
        <v>-0.05</v>
      </c>
      <c r="AG18" s="229">
        <v>4.0000000000000002E-4</v>
      </c>
      <c r="AH18" s="228">
        <v>0.6</v>
      </c>
      <c r="AI18" s="228">
        <v>0.65</v>
      </c>
      <c r="AJ18" s="228">
        <v>-0.05</v>
      </c>
      <c r="AK18" s="229">
        <v>4.7999999999999996E-3</v>
      </c>
      <c r="AL18" s="228">
        <v>0</v>
      </c>
      <c r="AM18" s="228">
        <v>0</v>
      </c>
      <c r="AN18" s="228">
        <v>0</v>
      </c>
      <c r="AO18" s="229">
        <v>0</v>
      </c>
      <c r="AP18" s="228">
        <v>124.27</v>
      </c>
      <c r="AQ18" s="228">
        <v>124.67</v>
      </c>
      <c r="AR18" s="228">
        <v>0</v>
      </c>
      <c r="AS18" s="228">
        <v>156</v>
      </c>
      <c r="AT18" s="228">
        <v>202</v>
      </c>
      <c r="AU18" s="228">
        <v>-45</v>
      </c>
      <c r="AV18" s="229">
        <v>-0.2238</v>
      </c>
      <c r="AW18" s="228">
        <v>119</v>
      </c>
      <c r="AX18" s="228">
        <v>170</v>
      </c>
      <c r="AY18" s="228">
        <v>-51</v>
      </c>
      <c r="AZ18" s="229">
        <v>-0.29920000000000002</v>
      </c>
      <c r="BA18" s="228">
        <v>36</v>
      </c>
      <c r="BB18" s="228">
        <v>30</v>
      </c>
      <c r="BC18" s="228">
        <v>6</v>
      </c>
      <c r="BD18" s="229">
        <v>0.20749999999999999</v>
      </c>
      <c r="BE18" s="228">
        <v>0</v>
      </c>
      <c r="BF18" s="228">
        <v>0</v>
      </c>
      <c r="BG18" s="228">
        <v>0</v>
      </c>
      <c r="BH18" s="229">
        <v>0</v>
      </c>
      <c r="BI18" s="228">
        <v>163</v>
      </c>
      <c r="BJ18" s="228">
        <v>345</v>
      </c>
      <c r="BK18" s="228">
        <v>-183</v>
      </c>
      <c r="BL18" s="229">
        <v>-0.52900000000000003</v>
      </c>
      <c r="BM18" s="228">
        <v>109</v>
      </c>
      <c r="BN18" s="228">
        <v>204</v>
      </c>
      <c r="BO18" s="228">
        <v>-95</v>
      </c>
      <c r="BP18" s="229">
        <v>-0.46479999999999999</v>
      </c>
      <c r="BQ18" s="228">
        <v>428</v>
      </c>
      <c r="BR18" s="228">
        <v>751</v>
      </c>
      <c r="BS18" s="228">
        <v>-323</v>
      </c>
      <c r="BT18" s="229">
        <v>-0.42959999999999998</v>
      </c>
      <c r="BU18" s="230">
        <v>9385131</v>
      </c>
      <c r="BV18" s="230">
        <v>8657180</v>
      </c>
      <c r="BW18" s="230">
        <v>727951</v>
      </c>
      <c r="BX18" s="229">
        <v>8.4099999999999994E-2</v>
      </c>
      <c r="BY18" s="230">
        <v>1078</v>
      </c>
      <c r="BZ18" s="230">
        <v>1077</v>
      </c>
      <c r="CA18" s="228">
        <v>1</v>
      </c>
      <c r="CB18" s="229">
        <v>8.9999999999999998E-4</v>
      </c>
      <c r="CC18" s="230">
        <v>1018</v>
      </c>
      <c r="CD18" s="230">
        <v>1024</v>
      </c>
      <c r="CE18" s="228">
        <v>-6</v>
      </c>
      <c r="CF18" s="229">
        <v>-5.5999999999999999E-3</v>
      </c>
      <c r="CG18" s="228">
        <v>55</v>
      </c>
      <c r="CH18" s="228">
        <v>49</v>
      </c>
      <c r="CI18" s="228">
        <v>7</v>
      </c>
      <c r="CJ18" s="229">
        <v>0.13539999999999999</v>
      </c>
      <c r="CK18" s="228">
        <v>0</v>
      </c>
      <c r="CL18" s="228">
        <v>0</v>
      </c>
      <c r="CM18" s="228">
        <v>0</v>
      </c>
      <c r="CN18" s="229">
        <v>0</v>
      </c>
      <c r="CO18" s="228">
        <v>416</v>
      </c>
      <c r="CP18" s="228">
        <v>412</v>
      </c>
      <c r="CQ18" s="228">
        <v>4</v>
      </c>
      <c r="CR18" s="229">
        <v>9.4999999999999998E-3</v>
      </c>
      <c r="CS18" s="228">
        <v>285</v>
      </c>
      <c r="CT18" s="228">
        <v>286</v>
      </c>
      <c r="CU18" s="228">
        <v>-1</v>
      </c>
      <c r="CV18" s="229">
        <v>-4.7999999999999996E-3</v>
      </c>
      <c r="CW18" s="230">
        <v>1779</v>
      </c>
      <c r="CX18" s="230">
        <v>1775</v>
      </c>
      <c r="CY18" s="228">
        <v>3</v>
      </c>
      <c r="CZ18" s="229">
        <v>2E-3</v>
      </c>
      <c r="DA18" s="228">
        <v>25.02</v>
      </c>
      <c r="DB18" s="228">
        <v>26.31</v>
      </c>
      <c r="DC18" s="228">
        <v>-1.29</v>
      </c>
      <c r="DD18" s="228">
        <v>-1.29</v>
      </c>
      <c r="DE18" s="228">
        <v>35.42</v>
      </c>
      <c r="DF18" s="228">
        <v>35.5</v>
      </c>
      <c r="DG18" s="228">
        <v>-10.4</v>
      </c>
      <c r="DH18" s="228">
        <v>-0.08</v>
      </c>
      <c r="DI18" s="228">
        <v>25.67</v>
      </c>
      <c r="DJ18" s="228">
        <v>26.25</v>
      </c>
      <c r="DK18" s="228">
        <v>-0.57999999999999996</v>
      </c>
      <c r="DL18" s="228">
        <v>-0.57999999999999996</v>
      </c>
      <c r="DM18" s="228">
        <v>24.06</v>
      </c>
      <c r="DN18" s="228">
        <v>26.41</v>
      </c>
      <c r="DO18" s="228">
        <v>-2.35</v>
      </c>
      <c r="DP18" s="228">
        <v>-2.35</v>
      </c>
      <c r="DQ18" s="228">
        <v>0.69</v>
      </c>
      <c r="DR18" s="228">
        <v>0.69</v>
      </c>
      <c r="DS18" s="228">
        <v>0</v>
      </c>
      <c r="DT18" s="229">
        <v>0</v>
      </c>
      <c r="DU18" s="228">
        <v>130</v>
      </c>
      <c r="DV18" s="228">
        <v>125</v>
      </c>
      <c r="DW18" s="228">
        <v>0.67</v>
      </c>
      <c r="DX18" s="228">
        <v>0.59</v>
      </c>
      <c r="DY18" s="228">
        <v>0.08</v>
      </c>
      <c r="DZ18" s="229">
        <v>0.1356</v>
      </c>
      <c r="EA18" s="229">
        <v>5.1200000000000002E-2</v>
      </c>
      <c r="EB18" s="230">
        <v>3915000</v>
      </c>
      <c r="EC18" s="229">
        <v>4.4000000000000003E-3</v>
      </c>
      <c r="ED18" s="229">
        <v>5.1200000000000002E-2</v>
      </c>
      <c r="EE18" s="228">
        <v>0.4</v>
      </c>
      <c r="EF18" s="229">
        <v>3.2000000000000002E-3</v>
      </c>
      <c r="EG18" s="230">
        <v>6489029</v>
      </c>
      <c r="EH18" s="230">
        <v>5020404</v>
      </c>
      <c r="EI18" s="229">
        <v>0.29249999999999998</v>
      </c>
      <c r="EJ18" s="229">
        <v>0.69140000000000001</v>
      </c>
      <c r="EK18" s="228">
        <v>168.44</v>
      </c>
      <c r="EL18" s="228">
        <v>109.29</v>
      </c>
      <c r="EM18" s="228">
        <v>156.83000000000001</v>
      </c>
      <c r="EN18" s="228">
        <v>0</v>
      </c>
      <c r="EO18" s="228">
        <v>434.56</v>
      </c>
      <c r="EP18" s="228">
        <v>763.6</v>
      </c>
      <c r="EQ18" s="228">
        <v>-329.04</v>
      </c>
      <c r="ER18" s="229">
        <v>-0.43090000000000001</v>
      </c>
      <c r="ES18" s="228">
        <v>430.85</v>
      </c>
      <c r="ET18" s="228">
        <v>277.45999999999998</v>
      </c>
      <c r="EU18" s="231">
        <v>1078.29</v>
      </c>
      <c r="EV18" s="231">
        <v>564878806</v>
      </c>
      <c r="EW18" s="231">
        <v>1786.6</v>
      </c>
      <c r="EX18" s="231">
        <v>1790.37</v>
      </c>
      <c r="EY18" s="228">
        <v>-3.77</v>
      </c>
      <c r="EZ18" s="229">
        <v>-2.0999999999999999E-3</v>
      </c>
      <c r="FA18" s="229">
        <v>0.25390000000000001</v>
      </c>
      <c r="FB18" s="227" t="s">
        <v>567</v>
      </c>
      <c r="FC18">
        <f t="shared" si="0"/>
        <v>60</v>
      </c>
    </row>
    <row r="19" spans="1:159" ht="17.25" thickBot="1" x14ac:dyDescent="0.3">
      <c r="A19" s="226">
        <v>45860</v>
      </c>
      <c r="B19" s="227" t="s">
        <v>168</v>
      </c>
      <c r="C19" s="227" t="s">
        <v>169</v>
      </c>
      <c r="D19" s="228">
        <v>250</v>
      </c>
      <c r="E19" s="228">
        <v>9</v>
      </c>
      <c r="F19" s="231">
        <v>2365.8000000000002</v>
      </c>
      <c r="G19" s="231">
        <v>2377</v>
      </c>
      <c r="H19" s="228">
        <v>-11.2</v>
      </c>
      <c r="I19" s="229">
        <v>-4.7000000000000002E-3</v>
      </c>
      <c r="J19" s="231">
        <v>2365.1999999999998</v>
      </c>
      <c r="K19" s="231">
        <v>2375.4</v>
      </c>
      <c r="L19" s="228">
        <v>-10.199999999999999</v>
      </c>
      <c r="M19" s="229">
        <v>-4.3E-3</v>
      </c>
      <c r="N19" s="231">
        <v>2365.8000000000002</v>
      </c>
      <c r="O19" s="231">
        <v>2377</v>
      </c>
      <c r="P19" s="228">
        <v>-11.2</v>
      </c>
      <c r="Q19" s="229">
        <v>-4.7000000000000002E-3</v>
      </c>
      <c r="R19" s="231">
        <v>2378.5</v>
      </c>
      <c r="S19" s="231">
        <v>2389.6</v>
      </c>
      <c r="T19" s="228">
        <v>-11.1</v>
      </c>
      <c r="U19" s="229">
        <v>-4.5999999999999999E-3</v>
      </c>
      <c r="V19" s="228">
        <v>0</v>
      </c>
      <c r="W19" s="228">
        <v>0</v>
      </c>
      <c r="X19" s="228">
        <v>0</v>
      </c>
      <c r="Y19" s="229">
        <v>0</v>
      </c>
      <c r="Z19" s="228">
        <v>0.6</v>
      </c>
      <c r="AA19" s="228">
        <v>1.6</v>
      </c>
      <c r="AB19" s="228">
        <v>-1</v>
      </c>
      <c r="AC19" s="229">
        <v>2.9999999999999997E-4</v>
      </c>
      <c r="AD19" s="228">
        <v>0.6</v>
      </c>
      <c r="AE19" s="228">
        <v>1.6</v>
      </c>
      <c r="AF19" s="228">
        <v>-1</v>
      </c>
      <c r="AG19" s="229">
        <v>2.9999999999999997E-4</v>
      </c>
      <c r="AH19" s="228">
        <v>13.3</v>
      </c>
      <c r="AI19" s="228">
        <v>14.2</v>
      </c>
      <c r="AJ19" s="228">
        <v>-0.9</v>
      </c>
      <c r="AK19" s="229">
        <v>5.5999999999999999E-3</v>
      </c>
      <c r="AL19" s="228">
        <v>0</v>
      </c>
      <c r="AM19" s="228">
        <v>0</v>
      </c>
      <c r="AN19" s="228">
        <v>0</v>
      </c>
      <c r="AO19" s="229">
        <v>0</v>
      </c>
      <c r="AP19" s="231">
        <v>2369.65</v>
      </c>
      <c r="AQ19" s="231">
        <v>2381.64</v>
      </c>
      <c r="AR19" s="228">
        <v>0</v>
      </c>
      <c r="AS19" s="228">
        <v>224</v>
      </c>
      <c r="AT19" s="228">
        <v>272</v>
      </c>
      <c r="AU19" s="228">
        <v>-48</v>
      </c>
      <c r="AV19" s="229">
        <v>-0.1764</v>
      </c>
      <c r="AW19" s="228">
        <v>184</v>
      </c>
      <c r="AX19" s="228">
        <v>241</v>
      </c>
      <c r="AY19" s="228">
        <v>-58</v>
      </c>
      <c r="AZ19" s="229">
        <v>-0.23830000000000001</v>
      </c>
      <c r="BA19" s="228">
        <v>36</v>
      </c>
      <c r="BB19" s="228">
        <v>25</v>
      </c>
      <c r="BC19" s="228">
        <v>11</v>
      </c>
      <c r="BD19" s="229">
        <v>0.45350000000000001</v>
      </c>
      <c r="BE19" s="228">
        <v>0</v>
      </c>
      <c r="BF19" s="228">
        <v>0</v>
      </c>
      <c r="BG19" s="228">
        <v>0</v>
      </c>
      <c r="BH19" s="229">
        <v>0</v>
      </c>
      <c r="BI19" s="228">
        <v>954</v>
      </c>
      <c r="BJ19" s="230">
        <v>1208</v>
      </c>
      <c r="BK19" s="228">
        <v>-254</v>
      </c>
      <c r="BL19" s="229">
        <v>-0.21049999999999999</v>
      </c>
      <c r="BM19" s="228">
        <v>372</v>
      </c>
      <c r="BN19" s="228">
        <v>503</v>
      </c>
      <c r="BO19" s="228">
        <v>-131</v>
      </c>
      <c r="BP19" s="229">
        <v>-0.25979999999999998</v>
      </c>
      <c r="BQ19" s="230">
        <v>1550</v>
      </c>
      <c r="BR19" s="230">
        <v>1982</v>
      </c>
      <c r="BS19" s="228">
        <v>-433</v>
      </c>
      <c r="BT19" s="229">
        <v>-0.21829999999999999</v>
      </c>
      <c r="BU19" s="230">
        <v>440293</v>
      </c>
      <c r="BV19" s="230">
        <v>402690</v>
      </c>
      <c r="BW19" s="230">
        <v>37603</v>
      </c>
      <c r="BX19" s="229">
        <v>9.3399999999999997E-2</v>
      </c>
      <c r="BY19" s="230">
        <v>3628</v>
      </c>
      <c r="BZ19" s="230">
        <v>3606</v>
      </c>
      <c r="CA19" s="228">
        <v>22</v>
      </c>
      <c r="CB19" s="229">
        <v>6.1999999999999998E-3</v>
      </c>
      <c r="CC19" s="230">
        <v>3346</v>
      </c>
      <c r="CD19" s="230">
        <v>3350</v>
      </c>
      <c r="CE19" s="228">
        <v>-4</v>
      </c>
      <c r="CF19" s="229">
        <v>-1.1999999999999999E-3</v>
      </c>
      <c r="CG19" s="228">
        <v>252</v>
      </c>
      <c r="CH19" s="228">
        <v>227</v>
      </c>
      <c r="CI19" s="228">
        <v>25</v>
      </c>
      <c r="CJ19" s="229">
        <v>0.10929999999999999</v>
      </c>
      <c r="CK19" s="228">
        <v>0</v>
      </c>
      <c r="CL19" s="228">
        <v>0</v>
      </c>
      <c r="CM19" s="228">
        <v>0</v>
      </c>
      <c r="CN19" s="229">
        <v>0</v>
      </c>
      <c r="CO19" s="230">
        <v>2183</v>
      </c>
      <c r="CP19" s="230">
        <v>2216</v>
      </c>
      <c r="CQ19" s="228">
        <v>-33</v>
      </c>
      <c r="CR19" s="229">
        <v>-1.5100000000000001E-2</v>
      </c>
      <c r="CS19" s="230">
        <v>1063</v>
      </c>
      <c r="CT19" s="230">
        <v>1063</v>
      </c>
      <c r="CU19" s="228">
        <v>0</v>
      </c>
      <c r="CV19" s="229">
        <v>2.0000000000000001E-4</v>
      </c>
      <c r="CW19" s="230">
        <v>6875</v>
      </c>
      <c r="CX19" s="230">
        <v>6885</v>
      </c>
      <c r="CY19" s="228">
        <v>-11</v>
      </c>
      <c r="CZ19" s="229">
        <v>-1.6000000000000001E-3</v>
      </c>
      <c r="DA19" s="228">
        <v>24.83</v>
      </c>
      <c r="DB19" s="228">
        <v>24.37</v>
      </c>
      <c r="DC19" s="228">
        <v>0.46</v>
      </c>
      <c r="DD19" s="228">
        <v>0.46</v>
      </c>
      <c r="DE19" s="228">
        <v>24.35</v>
      </c>
      <c r="DF19" s="228">
        <v>24.4</v>
      </c>
      <c r="DG19" s="228">
        <v>0.48</v>
      </c>
      <c r="DH19" s="228">
        <v>-0.05</v>
      </c>
      <c r="DI19" s="228">
        <v>25.32</v>
      </c>
      <c r="DJ19" s="228">
        <v>24.84</v>
      </c>
      <c r="DK19" s="228">
        <v>0.48</v>
      </c>
      <c r="DL19" s="228">
        <v>0.48</v>
      </c>
      <c r="DM19" s="228">
        <v>23.57</v>
      </c>
      <c r="DN19" s="228">
        <v>23.23</v>
      </c>
      <c r="DO19" s="228">
        <v>0.34</v>
      </c>
      <c r="DP19" s="228">
        <v>0.34</v>
      </c>
      <c r="DQ19" s="228">
        <v>0.49</v>
      </c>
      <c r="DR19" s="228">
        <v>0.48</v>
      </c>
      <c r="DS19" s="228">
        <v>0.01</v>
      </c>
      <c r="DT19" s="229">
        <v>2.0799999999999999E-2</v>
      </c>
      <c r="DU19" s="231">
        <v>2500</v>
      </c>
      <c r="DV19" s="231">
        <v>2300</v>
      </c>
      <c r="DW19" s="228">
        <v>0.39</v>
      </c>
      <c r="DX19" s="228">
        <v>0.42</v>
      </c>
      <c r="DY19" s="228">
        <v>-0.03</v>
      </c>
      <c r="DZ19" s="229">
        <v>-7.1400000000000005E-2</v>
      </c>
      <c r="EA19" s="229">
        <v>6.9500000000000006E-2</v>
      </c>
      <c r="EB19" s="230">
        <v>960750</v>
      </c>
      <c r="EC19" s="229">
        <v>5.4000000000000003E-3</v>
      </c>
      <c r="ED19" s="229">
        <v>6.9500000000000006E-2</v>
      </c>
      <c r="EE19" s="228">
        <v>11.99</v>
      </c>
      <c r="EF19" s="229">
        <v>5.1000000000000004E-3</v>
      </c>
      <c r="EG19" s="230">
        <v>276321</v>
      </c>
      <c r="EH19" s="230">
        <v>220078</v>
      </c>
      <c r="EI19" s="229">
        <v>0.25559999999999999</v>
      </c>
      <c r="EJ19" s="229">
        <v>0.62760000000000005</v>
      </c>
      <c r="EK19" s="231">
        <v>1004.81</v>
      </c>
      <c r="EL19" s="228">
        <v>370.53</v>
      </c>
      <c r="EM19" s="228">
        <v>224.28</v>
      </c>
      <c r="EN19" s="228">
        <v>0</v>
      </c>
      <c r="EO19" s="231">
        <v>1599.61</v>
      </c>
      <c r="EP19" s="231">
        <v>2048.46</v>
      </c>
      <c r="EQ19" s="228">
        <v>-448.84</v>
      </c>
      <c r="ER19" s="229">
        <v>-0.21909999999999999</v>
      </c>
      <c r="ES19" s="231">
        <v>2307.67</v>
      </c>
      <c r="ET19" s="231">
        <v>1044.17</v>
      </c>
      <c r="EU19" s="231">
        <v>3630.05</v>
      </c>
      <c r="EV19" s="231">
        <v>90791585</v>
      </c>
      <c r="EW19" s="231">
        <v>6981.89</v>
      </c>
      <c r="EX19" s="231">
        <v>7017.82</v>
      </c>
      <c r="EY19" s="228">
        <v>-35.93</v>
      </c>
      <c r="EZ19" s="229">
        <v>-5.1000000000000004E-3</v>
      </c>
      <c r="FA19" s="229">
        <v>0.3201</v>
      </c>
      <c r="FB19" s="227" t="s">
        <v>567</v>
      </c>
      <c r="FC19">
        <f t="shared" si="0"/>
        <v>282</v>
      </c>
    </row>
    <row r="20" spans="1:159" ht="17.25" thickBot="1" x14ac:dyDescent="0.3">
      <c r="A20" s="226">
        <v>45860</v>
      </c>
      <c r="B20" s="227" t="s">
        <v>184</v>
      </c>
      <c r="C20" s="227" t="s">
        <v>503</v>
      </c>
      <c r="D20" s="228">
        <v>425</v>
      </c>
      <c r="E20" s="228">
        <v>9</v>
      </c>
      <c r="F20" s="231">
        <v>1473.6</v>
      </c>
      <c r="G20" s="231">
        <v>1504.4</v>
      </c>
      <c r="H20" s="228">
        <v>-30.8</v>
      </c>
      <c r="I20" s="229">
        <v>-2.0500000000000001E-2</v>
      </c>
      <c r="J20" s="231">
        <v>1475</v>
      </c>
      <c r="K20" s="231">
        <v>1501</v>
      </c>
      <c r="L20" s="228">
        <v>-26</v>
      </c>
      <c r="M20" s="229">
        <v>-1.7299999999999999E-2</v>
      </c>
      <c r="N20" s="231">
        <v>1473.6</v>
      </c>
      <c r="O20" s="231">
        <v>1504.4</v>
      </c>
      <c r="P20" s="228">
        <v>-30.8</v>
      </c>
      <c r="Q20" s="229">
        <v>-2.0500000000000001E-2</v>
      </c>
      <c r="R20" s="231">
        <v>1469.8</v>
      </c>
      <c r="S20" s="231">
        <v>1501.9</v>
      </c>
      <c r="T20" s="228">
        <v>-32.1</v>
      </c>
      <c r="U20" s="229">
        <v>-2.1399999999999999E-2</v>
      </c>
      <c r="V20" s="228">
        <v>0</v>
      </c>
      <c r="W20" s="228">
        <v>0</v>
      </c>
      <c r="X20" s="228">
        <v>0</v>
      </c>
      <c r="Y20" s="229">
        <v>0</v>
      </c>
      <c r="Z20" s="228">
        <v>-1.4</v>
      </c>
      <c r="AA20" s="228">
        <v>3.4</v>
      </c>
      <c r="AB20" s="228">
        <v>-4.8</v>
      </c>
      <c r="AC20" s="229">
        <v>-8.9999999999999998E-4</v>
      </c>
      <c r="AD20" s="228">
        <v>-1.4</v>
      </c>
      <c r="AE20" s="228">
        <v>3.4</v>
      </c>
      <c r="AF20" s="228">
        <v>-4.8</v>
      </c>
      <c r="AG20" s="229">
        <v>-8.9999999999999998E-4</v>
      </c>
      <c r="AH20" s="228">
        <v>-5.2</v>
      </c>
      <c r="AI20" s="228">
        <v>0.9</v>
      </c>
      <c r="AJ20" s="228">
        <v>-6.1</v>
      </c>
      <c r="AK20" s="229">
        <v>-3.5000000000000001E-3</v>
      </c>
      <c r="AL20" s="228">
        <v>0</v>
      </c>
      <c r="AM20" s="228">
        <v>0</v>
      </c>
      <c r="AN20" s="228">
        <v>0</v>
      </c>
      <c r="AO20" s="229">
        <v>0</v>
      </c>
      <c r="AP20" s="231">
        <v>1495</v>
      </c>
      <c r="AQ20" s="231">
        <v>1488.14</v>
      </c>
      <c r="AR20" s="228">
        <v>0</v>
      </c>
      <c r="AS20" s="228">
        <v>226</v>
      </c>
      <c r="AT20" s="228">
        <v>107</v>
      </c>
      <c r="AU20" s="228">
        <v>119</v>
      </c>
      <c r="AV20" s="229">
        <v>1.1055999999999999</v>
      </c>
      <c r="AW20" s="228">
        <v>158</v>
      </c>
      <c r="AX20" s="228">
        <v>82</v>
      </c>
      <c r="AY20" s="228">
        <v>76</v>
      </c>
      <c r="AZ20" s="229">
        <v>0.92659999999999998</v>
      </c>
      <c r="BA20" s="228">
        <v>62</v>
      </c>
      <c r="BB20" s="228">
        <v>24</v>
      </c>
      <c r="BC20" s="228">
        <v>38</v>
      </c>
      <c r="BD20" s="229">
        <v>1.5969</v>
      </c>
      <c r="BE20" s="228">
        <v>0</v>
      </c>
      <c r="BF20" s="228">
        <v>0</v>
      </c>
      <c r="BG20" s="228">
        <v>0</v>
      </c>
      <c r="BH20" s="229">
        <v>0</v>
      </c>
      <c r="BI20" s="228">
        <v>595</v>
      </c>
      <c r="BJ20" s="228">
        <v>357</v>
      </c>
      <c r="BK20" s="228">
        <v>237</v>
      </c>
      <c r="BL20" s="229">
        <v>0.66510000000000002</v>
      </c>
      <c r="BM20" s="228">
        <v>204</v>
      </c>
      <c r="BN20" s="228">
        <v>137</v>
      </c>
      <c r="BO20" s="228">
        <v>67</v>
      </c>
      <c r="BP20" s="229">
        <v>0.48559999999999998</v>
      </c>
      <c r="BQ20" s="230">
        <v>1025</v>
      </c>
      <c r="BR20" s="228">
        <v>602</v>
      </c>
      <c r="BS20" s="228">
        <v>423</v>
      </c>
      <c r="BT20" s="229">
        <v>0.70269999999999999</v>
      </c>
      <c r="BU20" s="230">
        <v>350095</v>
      </c>
      <c r="BV20" s="230">
        <v>449660</v>
      </c>
      <c r="BW20" s="230">
        <v>-99565</v>
      </c>
      <c r="BX20" s="229">
        <v>-0.22140000000000001</v>
      </c>
      <c r="BY20" s="228">
        <v>914</v>
      </c>
      <c r="BZ20" s="228">
        <v>881</v>
      </c>
      <c r="CA20" s="228">
        <v>33</v>
      </c>
      <c r="CB20" s="229">
        <v>3.7199999999999997E-2</v>
      </c>
      <c r="CC20" s="228">
        <v>755</v>
      </c>
      <c r="CD20" s="228">
        <v>750</v>
      </c>
      <c r="CE20" s="228">
        <v>5</v>
      </c>
      <c r="CF20" s="229">
        <v>6.7999999999999996E-3</v>
      </c>
      <c r="CG20" s="228">
        <v>146</v>
      </c>
      <c r="CH20" s="228">
        <v>120</v>
      </c>
      <c r="CI20" s="228">
        <v>26</v>
      </c>
      <c r="CJ20" s="229">
        <v>0.21210000000000001</v>
      </c>
      <c r="CK20" s="228">
        <v>0</v>
      </c>
      <c r="CL20" s="228">
        <v>0</v>
      </c>
      <c r="CM20" s="228">
        <v>0</v>
      </c>
      <c r="CN20" s="229">
        <v>0</v>
      </c>
      <c r="CO20" s="228">
        <v>510</v>
      </c>
      <c r="CP20" s="228">
        <v>516</v>
      </c>
      <c r="CQ20" s="228">
        <v>-6</v>
      </c>
      <c r="CR20" s="229">
        <v>-1.2E-2</v>
      </c>
      <c r="CS20" s="228">
        <v>210</v>
      </c>
      <c r="CT20" s="228">
        <v>196</v>
      </c>
      <c r="CU20" s="228">
        <v>14</v>
      </c>
      <c r="CV20" s="229">
        <v>7.1599999999999997E-2</v>
      </c>
      <c r="CW20" s="230">
        <v>1634</v>
      </c>
      <c r="CX20" s="230">
        <v>1594</v>
      </c>
      <c r="CY20" s="228">
        <v>41</v>
      </c>
      <c r="CZ20" s="229">
        <v>2.5499999999999998E-2</v>
      </c>
      <c r="DA20" s="228">
        <v>29.25</v>
      </c>
      <c r="DB20" s="228">
        <v>28.76</v>
      </c>
      <c r="DC20" s="228">
        <v>0.49</v>
      </c>
      <c r="DD20" s="228">
        <v>0.49</v>
      </c>
      <c r="DE20" s="228">
        <v>33.200000000000003</v>
      </c>
      <c r="DF20" s="228">
        <v>33.159999999999997</v>
      </c>
      <c r="DG20" s="228">
        <v>-3.95</v>
      </c>
      <c r="DH20" s="228">
        <v>0.04</v>
      </c>
      <c r="DI20" s="228">
        <v>29.79</v>
      </c>
      <c r="DJ20" s="228">
        <v>28.98</v>
      </c>
      <c r="DK20" s="228">
        <v>0.81</v>
      </c>
      <c r="DL20" s="228">
        <v>0.81</v>
      </c>
      <c r="DM20" s="228">
        <v>27.69</v>
      </c>
      <c r="DN20" s="228">
        <v>28.18</v>
      </c>
      <c r="DO20" s="228">
        <v>-0.49</v>
      </c>
      <c r="DP20" s="228">
        <v>-0.49</v>
      </c>
      <c r="DQ20" s="228">
        <v>0.41</v>
      </c>
      <c r="DR20" s="228">
        <v>0.38</v>
      </c>
      <c r="DS20" s="228">
        <v>0.03</v>
      </c>
      <c r="DT20" s="229">
        <v>7.8899999999999998E-2</v>
      </c>
      <c r="DU20" s="231">
        <v>1600</v>
      </c>
      <c r="DV20" s="231">
        <v>1500</v>
      </c>
      <c r="DW20" s="228">
        <v>0.34</v>
      </c>
      <c r="DX20" s="228">
        <v>0.39</v>
      </c>
      <c r="DY20" s="228">
        <v>-0.05</v>
      </c>
      <c r="DZ20" s="229">
        <v>-0.12820000000000001</v>
      </c>
      <c r="EA20" s="229">
        <v>0.1598</v>
      </c>
      <c r="EB20" s="230">
        <v>817700</v>
      </c>
      <c r="EC20" s="229">
        <v>-2.5999999999999999E-3</v>
      </c>
      <c r="ED20" s="229">
        <v>0.1598</v>
      </c>
      <c r="EE20" s="228">
        <v>-6.86</v>
      </c>
      <c r="EF20" s="229">
        <v>-4.5999999999999999E-3</v>
      </c>
      <c r="EG20" s="230">
        <v>130346</v>
      </c>
      <c r="EH20" s="230">
        <v>284088</v>
      </c>
      <c r="EI20" s="229">
        <v>-0.54120000000000001</v>
      </c>
      <c r="EJ20" s="229">
        <v>0.37230000000000002</v>
      </c>
      <c r="EK20" s="228">
        <v>631.73</v>
      </c>
      <c r="EL20" s="228">
        <v>205.02</v>
      </c>
      <c r="EM20" s="228">
        <v>228.99</v>
      </c>
      <c r="EN20" s="228">
        <v>0</v>
      </c>
      <c r="EO20" s="231">
        <v>1065.74</v>
      </c>
      <c r="EP20" s="228">
        <v>630.80999999999995</v>
      </c>
      <c r="EQ20" s="228">
        <v>434.93</v>
      </c>
      <c r="ER20" s="229">
        <v>0.6895</v>
      </c>
      <c r="ES20" s="228">
        <v>543.04999999999995</v>
      </c>
      <c r="ET20" s="228">
        <v>207.47</v>
      </c>
      <c r="EU20" s="228">
        <v>913.65</v>
      </c>
      <c r="EV20" s="231">
        <v>24660712</v>
      </c>
      <c r="EW20" s="231">
        <v>1664.18</v>
      </c>
      <c r="EX20" s="231">
        <v>1643.22</v>
      </c>
      <c r="EY20" s="228">
        <v>20.96</v>
      </c>
      <c r="EZ20" s="229">
        <v>1.2800000000000001E-2</v>
      </c>
      <c r="FA20" s="229">
        <v>0.44969999999999999</v>
      </c>
      <c r="FB20" s="227" t="s">
        <v>567</v>
      </c>
      <c r="FC20">
        <f t="shared" si="0"/>
        <v>159</v>
      </c>
    </row>
    <row r="21" spans="1:159" ht="17.25" thickBot="1" x14ac:dyDescent="0.3">
      <c r="A21" s="226">
        <v>45860</v>
      </c>
      <c r="B21" s="227" t="s">
        <v>193</v>
      </c>
      <c r="C21" s="227" t="s">
        <v>590</v>
      </c>
      <c r="D21" s="228">
        <v>875</v>
      </c>
      <c r="E21" s="228">
        <v>9</v>
      </c>
      <c r="F21" s="228">
        <v>647.54999999999995</v>
      </c>
      <c r="G21" s="228">
        <v>660.3</v>
      </c>
      <c r="H21" s="228">
        <v>-12.75</v>
      </c>
      <c r="I21" s="229">
        <v>-1.9300000000000001E-2</v>
      </c>
      <c r="J21" s="228">
        <v>646.95000000000005</v>
      </c>
      <c r="K21" s="228">
        <v>657.75</v>
      </c>
      <c r="L21" s="228">
        <v>-10.8</v>
      </c>
      <c r="M21" s="229">
        <v>-1.6400000000000001E-2</v>
      </c>
      <c r="N21" s="228">
        <v>647.54999999999995</v>
      </c>
      <c r="O21" s="228">
        <v>660.3</v>
      </c>
      <c r="P21" s="228">
        <v>-12.75</v>
      </c>
      <c r="Q21" s="229">
        <v>-1.9300000000000001E-2</v>
      </c>
      <c r="R21" s="228">
        <v>649.95000000000005</v>
      </c>
      <c r="S21" s="228">
        <v>662.25</v>
      </c>
      <c r="T21" s="228">
        <v>-12.3</v>
      </c>
      <c r="U21" s="229">
        <v>-1.8599999999999998E-2</v>
      </c>
      <c r="V21" s="228">
        <v>0</v>
      </c>
      <c r="W21" s="228">
        <v>0</v>
      </c>
      <c r="X21" s="228">
        <v>0</v>
      </c>
      <c r="Y21" s="229">
        <v>0</v>
      </c>
      <c r="Z21" s="228">
        <v>0.6</v>
      </c>
      <c r="AA21" s="228">
        <v>2.5499999999999998</v>
      </c>
      <c r="AB21" s="228">
        <v>-1.95</v>
      </c>
      <c r="AC21" s="229">
        <v>8.9999999999999998E-4</v>
      </c>
      <c r="AD21" s="228">
        <v>0.6</v>
      </c>
      <c r="AE21" s="228">
        <v>2.5499999999999998</v>
      </c>
      <c r="AF21" s="228">
        <v>-1.95</v>
      </c>
      <c r="AG21" s="229">
        <v>8.9999999999999998E-4</v>
      </c>
      <c r="AH21" s="228">
        <v>3</v>
      </c>
      <c r="AI21" s="228">
        <v>4.5</v>
      </c>
      <c r="AJ21" s="228">
        <v>-1.5</v>
      </c>
      <c r="AK21" s="229">
        <v>4.5999999999999999E-3</v>
      </c>
      <c r="AL21" s="228">
        <v>0</v>
      </c>
      <c r="AM21" s="228">
        <v>0</v>
      </c>
      <c r="AN21" s="228">
        <v>0</v>
      </c>
      <c r="AO21" s="229">
        <v>0</v>
      </c>
      <c r="AP21" s="228">
        <v>652.65</v>
      </c>
      <c r="AQ21" s="228">
        <v>654.89</v>
      </c>
      <c r="AR21" s="228">
        <v>0</v>
      </c>
      <c r="AS21" s="228">
        <v>56</v>
      </c>
      <c r="AT21" s="228">
        <v>47</v>
      </c>
      <c r="AU21" s="228">
        <v>9</v>
      </c>
      <c r="AV21" s="229">
        <v>0.1898</v>
      </c>
      <c r="AW21" s="228">
        <v>45</v>
      </c>
      <c r="AX21" s="228">
        <v>40</v>
      </c>
      <c r="AY21" s="228">
        <v>5</v>
      </c>
      <c r="AZ21" s="229">
        <v>0.11409999999999999</v>
      </c>
      <c r="BA21" s="228">
        <v>11</v>
      </c>
      <c r="BB21" s="228">
        <v>7</v>
      </c>
      <c r="BC21" s="228">
        <v>4</v>
      </c>
      <c r="BD21" s="229">
        <v>0.64959999999999996</v>
      </c>
      <c r="BE21" s="228">
        <v>0</v>
      </c>
      <c r="BF21" s="228">
        <v>0</v>
      </c>
      <c r="BG21" s="228">
        <v>0</v>
      </c>
      <c r="BH21" s="229">
        <v>0</v>
      </c>
      <c r="BI21" s="228">
        <v>116</v>
      </c>
      <c r="BJ21" s="228">
        <v>89</v>
      </c>
      <c r="BK21" s="228">
        <v>27</v>
      </c>
      <c r="BL21" s="229">
        <v>0.308</v>
      </c>
      <c r="BM21" s="228">
        <v>30</v>
      </c>
      <c r="BN21" s="228">
        <v>31</v>
      </c>
      <c r="BO21" s="228">
        <v>-1</v>
      </c>
      <c r="BP21" s="229">
        <v>-2.3800000000000002E-2</v>
      </c>
      <c r="BQ21" s="228">
        <v>202</v>
      </c>
      <c r="BR21" s="228">
        <v>167</v>
      </c>
      <c r="BS21" s="228">
        <v>36</v>
      </c>
      <c r="BT21" s="229">
        <v>0.21310000000000001</v>
      </c>
      <c r="BU21" s="230">
        <v>473702</v>
      </c>
      <c r="BV21" s="230">
        <v>482481</v>
      </c>
      <c r="BW21" s="230">
        <v>-8779</v>
      </c>
      <c r="BX21" s="229">
        <v>-1.8200000000000001E-2</v>
      </c>
      <c r="BY21" s="228">
        <v>354</v>
      </c>
      <c r="BZ21" s="228">
        <v>354</v>
      </c>
      <c r="CA21" s="228">
        <v>0</v>
      </c>
      <c r="CB21" s="229">
        <v>-2.9999999999999997E-4</v>
      </c>
      <c r="CC21" s="228">
        <v>318</v>
      </c>
      <c r="CD21" s="228">
        <v>322</v>
      </c>
      <c r="CE21" s="228">
        <v>-5</v>
      </c>
      <c r="CF21" s="229">
        <v>-1.4200000000000001E-2</v>
      </c>
      <c r="CG21" s="228">
        <v>36</v>
      </c>
      <c r="CH21" s="228">
        <v>32</v>
      </c>
      <c r="CI21" s="228">
        <v>4</v>
      </c>
      <c r="CJ21" s="229">
        <v>0.1416</v>
      </c>
      <c r="CK21" s="228">
        <v>0</v>
      </c>
      <c r="CL21" s="228">
        <v>0</v>
      </c>
      <c r="CM21" s="228">
        <v>0</v>
      </c>
      <c r="CN21" s="229">
        <v>0</v>
      </c>
      <c r="CO21" s="228">
        <v>275</v>
      </c>
      <c r="CP21" s="228">
        <v>270</v>
      </c>
      <c r="CQ21" s="228">
        <v>5</v>
      </c>
      <c r="CR21" s="229">
        <v>1.83E-2</v>
      </c>
      <c r="CS21" s="228">
        <v>124</v>
      </c>
      <c r="CT21" s="228">
        <v>124</v>
      </c>
      <c r="CU21" s="228">
        <v>0</v>
      </c>
      <c r="CV21" s="229">
        <v>-8.9999999999999998E-4</v>
      </c>
      <c r="CW21" s="228">
        <v>752</v>
      </c>
      <c r="CX21" s="228">
        <v>748</v>
      </c>
      <c r="CY21" s="228">
        <v>5</v>
      </c>
      <c r="CZ21" s="229">
        <v>6.3E-3</v>
      </c>
      <c r="DA21" s="228">
        <v>42.96</v>
      </c>
      <c r="DB21" s="228">
        <v>39.58</v>
      </c>
      <c r="DC21" s="228">
        <v>3.38</v>
      </c>
      <c r="DD21" s="228">
        <v>3.38</v>
      </c>
      <c r="DE21" s="228">
        <v>56.52</v>
      </c>
      <c r="DF21" s="228">
        <v>56.6</v>
      </c>
      <c r="DG21" s="228">
        <v>-13.56</v>
      </c>
      <c r="DH21" s="228">
        <v>-0.08</v>
      </c>
      <c r="DI21" s="228">
        <v>43.37</v>
      </c>
      <c r="DJ21" s="228">
        <v>39.86</v>
      </c>
      <c r="DK21" s="228">
        <v>3.51</v>
      </c>
      <c r="DL21" s="228">
        <v>3.51</v>
      </c>
      <c r="DM21" s="228">
        <v>41.41</v>
      </c>
      <c r="DN21" s="228">
        <v>38.770000000000003</v>
      </c>
      <c r="DO21" s="228">
        <v>2.64</v>
      </c>
      <c r="DP21" s="228">
        <v>2.64</v>
      </c>
      <c r="DQ21" s="228">
        <v>0.45</v>
      </c>
      <c r="DR21" s="228">
        <v>0.46</v>
      </c>
      <c r="DS21" s="228">
        <v>-0.01</v>
      </c>
      <c r="DT21" s="229">
        <v>-2.1700000000000001E-2</v>
      </c>
      <c r="DU21" s="228">
        <v>700</v>
      </c>
      <c r="DV21" s="228">
        <v>680</v>
      </c>
      <c r="DW21" s="228">
        <v>0.26</v>
      </c>
      <c r="DX21" s="228">
        <v>0.35</v>
      </c>
      <c r="DY21" s="228">
        <v>-0.09</v>
      </c>
      <c r="DZ21" s="229">
        <v>-0.2571</v>
      </c>
      <c r="EA21" s="229">
        <v>0.10199999999999999</v>
      </c>
      <c r="EB21" s="230">
        <v>488250</v>
      </c>
      <c r="EC21" s="229">
        <v>3.7000000000000002E-3</v>
      </c>
      <c r="ED21" s="229">
        <v>0.10199999999999999</v>
      </c>
      <c r="EE21" s="228">
        <v>2.2400000000000002</v>
      </c>
      <c r="EF21" s="229">
        <v>3.3999999999999998E-3</v>
      </c>
      <c r="EG21" s="230">
        <v>189973</v>
      </c>
      <c r="EH21" s="230">
        <v>177405</v>
      </c>
      <c r="EI21" s="229">
        <v>7.0800000000000002E-2</v>
      </c>
      <c r="EJ21" s="229">
        <v>0.40100000000000002</v>
      </c>
      <c r="EK21" s="228">
        <v>124.11</v>
      </c>
      <c r="EL21" s="228">
        <v>31.27</v>
      </c>
      <c r="EM21" s="228">
        <v>56.23</v>
      </c>
      <c r="EN21" s="228">
        <v>0</v>
      </c>
      <c r="EO21" s="228">
        <v>211.61</v>
      </c>
      <c r="EP21" s="228">
        <v>175.02</v>
      </c>
      <c r="EQ21" s="228">
        <v>36.590000000000003</v>
      </c>
      <c r="ER21" s="229">
        <v>0.20910000000000001</v>
      </c>
      <c r="ES21" s="228">
        <v>296.22000000000003</v>
      </c>
      <c r="ET21" s="228">
        <v>125.04</v>
      </c>
      <c r="EU21" s="228">
        <v>353.87</v>
      </c>
      <c r="EV21" s="231">
        <v>55429320</v>
      </c>
      <c r="EW21" s="228">
        <v>775.12</v>
      </c>
      <c r="EX21" s="228">
        <v>777.3</v>
      </c>
      <c r="EY21" s="228">
        <v>-2.1800000000000002</v>
      </c>
      <c r="EZ21" s="229">
        <v>-2.8E-3</v>
      </c>
      <c r="FA21" s="229">
        <v>0.20960000000000001</v>
      </c>
      <c r="FB21" s="227" t="s">
        <v>568</v>
      </c>
      <c r="FC21">
        <f t="shared" si="0"/>
        <v>36</v>
      </c>
    </row>
    <row r="22" spans="1:159" ht="17.25" thickBot="1" x14ac:dyDescent="0.3">
      <c r="A22" s="226">
        <v>45860</v>
      </c>
      <c r="B22" s="227" t="s">
        <v>172</v>
      </c>
      <c r="C22" s="227" t="s">
        <v>495</v>
      </c>
      <c r="D22" s="228">
        <v>1000</v>
      </c>
      <c r="E22" s="228">
        <v>9</v>
      </c>
      <c r="F22" s="228">
        <v>728.2</v>
      </c>
      <c r="G22" s="228">
        <v>753.2</v>
      </c>
      <c r="H22" s="228">
        <v>-25</v>
      </c>
      <c r="I22" s="229">
        <v>-3.32E-2</v>
      </c>
      <c r="J22" s="228">
        <v>725.8</v>
      </c>
      <c r="K22" s="228">
        <v>752.9</v>
      </c>
      <c r="L22" s="228">
        <v>-27.1</v>
      </c>
      <c r="M22" s="229">
        <v>-3.5999999999999997E-2</v>
      </c>
      <c r="N22" s="228">
        <v>728.2</v>
      </c>
      <c r="O22" s="228">
        <v>753.2</v>
      </c>
      <c r="P22" s="228">
        <v>-25</v>
      </c>
      <c r="Q22" s="229">
        <v>-3.32E-2</v>
      </c>
      <c r="R22" s="228">
        <v>729</v>
      </c>
      <c r="S22" s="228">
        <v>753.8</v>
      </c>
      <c r="T22" s="228">
        <v>-24.8</v>
      </c>
      <c r="U22" s="229">
        <v>-3.2899999999999999E-2</v>
      </c>
      <c r="V22" s="228">
        <v>0</v>
      </c>
      <c r="W22" s="228">
        <v>0</v>
      </c>
      <c r="X22" s="228">
        <v>0</v>
      </c>
      <c r="Y22" s="229">
        <v>0</v>
      </c>
      <c r="Z22" s="228">
        <v>2.4</v>
      </c>
      <c r="AA22" s="228">
        <v>0.3</v>
      </c>
      <c r="AB22" s="228">
        <v>2.1</v>
      </c>
      <c r="AC22" s="229">
        <v>3.3E-3</v>
      </c>
      <c r="AD22" s="228">
        <v>2.4</v>
      </c>
      <c r="AE22" s="228">
        <v>0.3</v>
      </c>
      <c r="AF22" s="228">
        <v>2.1</v>
      </c>
      <c r="AG22" s="229">
        <v>3.3E-3</v>
      </c>
      <c r="AH22" s="228">
        <v>3.2</v>
      </c>
      <c r="AI22" s="228">
        <v>0.9</v>
      </c>
      <c r="AJ22" s="228">
        <v>2.2999999999999998</v>
      </c>
      <c r="AK22" s="229">
        <v>4.4000000000000003E-3</v>
      </c>
      <c r="AL22" s="228">
        <v>0</v>
      </c>
      <c r="AM22" s="228">
        <v>0</v>
      </c>
      <c r="AN22" s="228">
        <v>0</v>
      </c>
      <c r="AO22" s="229">
        <v>0</v>
      </c>
      <c r="AP22" s="228">
        <v>735.51</v>
      </c>
      <c r="AQ22" s="228">
        <v>735.82</v>
      </c>
      <c r="AR22" s="228">
        <v>0</v>
      </c>
      <c r="AS22" s="228">
        <v>648</v>
      </c>
      <c r="AT22" s="230">
        <v>1385</v>
      </c>
      <c r="AU22" s="228">
        <v>-736</v>
      </c>
      <c r="AV22" s="229">
        <v>-0.53180000000000005</v>
      </c>
      <c r="AW22" s="228">
        <v>497</v>
      </c>
      <c r="AX22" s="230">
        <v>1185</v>
      </c>
      <c r="AY22" s="228">
        <v>-688</v>
      </c>
      <c r="AZ22" s="229">
        <v>-0.58099999999999996</v>
      </c>
      <c r="BA22" s="228">
        <v>143</v>
      </c>
      <c r="BB22" s="228">
        <v>189</v>
      </c>
      <c r="BC22" s="228">
        <v>-46</v>
      </c>
      <c r="BD22" s="229">
        <v>-0.24279999999999999</v>
      </c>
      <c r="BE22" s="228">
        <v>0</v>
      </c>
      <c r="BF22" s="228">
        <v>0</v>
      </c>
      <c r="BG22" s="228">
        <v>0</v>
      </c>
      <c r="BH22" s="229">
        <v>0</v>
      </c>
      <c r="BI22" s="230">
        <v>1751</v>
      </c>
      <c r="BJ22" s="230">
        <v>3687</v>
      </c>
      <c r="BK22" s="230">
        <v>-1936</v>
      </c>
      <c r="BL22" s="229">
        <v>-0.52500000000000002</v>
      </c>
      <c r="BM22" s="230">
        <v>1064</v>
      </c>
      <c r="BN22" s="230">
        <v>2333</v>
      </c>
      <c r="BO22" s="230">
        <v>-1269</v>
      </c>
      <c r="BP22" s="229">
        <v>-0.54400000000000004</v>
      </c>
      <c r="BQ22" s="230">
        <v>3464</v>
      </c>
      <c r="BR22" s="230">
        <v>7405</v>
      </c>
      <c r="BS22" s="230">
        <v>-3941</v>
      </c>
      <c r="BT22" s="229">
        <v>-0.5323</v>
      </c>
      <c r="BU22" s="230">
        <v>4957698</v>
      </c>
      <c r="BV22" s="230">
        <v>11890097</v>
      </c>
      <c r="BW22" s="230">
        <v>-6932399</v>
      </c>
      <c r="BX22" s="229">
        <v>-0.58299999999999996</v>
      </c>
      <c r="BY22" s="230">
        <v>1357</v>
      </c>
      <c r="BZ22" s="230">
        <v>1253</v>
      </c>
      <c r="CA22" s="228">
        <v>103</v>
      </c>
      <c r="CB22" s="229">
        <v>8.2500000000000004E-2</v>
      </c>
      <c r="CC22" s="230">
        <v>1112</v>
      </c>
      <c r="CD22" s="230">
        <v>1054</v>
      </c>
      <c r="CE22" s="228">
        <v>58</v>
      </c>
      <c r="CF22" s="229">
        <v>5.4600000000000003E-2</v>
      </c>
      <c r="CG22" s="228">
        <v>228</v>
      </c>
      <c r="CH22" s="228">
        <v>185</v>
      </c>
      <c r="CI22" s="228">
        <v>42</v>
      </c>
      <c r="CJ22" s="229">
        <v>0.2293</v>
      </c>
      <c r="CK22" s="228">
        <v>0</v>
      </c>
      <c r="CL22" s="228">
        <v>0</v>
      </c>
      <c r="CM22" s="228">
        <v>0</v>
      </c>
      <c r="CN22" s="229">
        <v>0</v>
      </c>
      <c r="CO22" s="228">
        <v>973</v>
      </c>
      <c r="CP22" s="228">
        <v>749</v>
      </c>
      <c r="CQ22" s="228">
        <v>224</v>
      </c>
      <c r="CR22" s="229">
        <v>0.29949999999999999</v>
      </c>
      <c r="CS22" s="228">
        <v>439</v>
      </c>
      <c r="CT22" s="228">
        <v>450</v>
      </c>
      <c r="CU22" s="228">
        <v>-11</v>
      </c>
      <c r="CV22" s="229">
        <v>-2.3900000000000001E-2</v>
      </c>
      <c r="CW22" s="230">
        <v>2769</v>
      </c>
      <c r="CX22" s="230">
        <v>2452</v>
      </c>
      <c r="CY22" s="228">
        <v>317</v>
      </c>
      <c r="CZ22" s="229">
        <v>0.12920000000000001</v>
      </c>
      <c r="DA22" s="228">
        <v>30.07</v>
      </c>
      <c r="DB22" s="228">
        <v>28.71</v>
      </c>
      <c r="DC22" s="228">
        <v>1.36</v>
      </c>
      <c r="DD22" s="228">
        <v>1.36</v>
      </c>
      <c r="DE22" s="228">
        <v>38.85</v>
      </c>
      <c r="DF22" s="228">
        <v>38.630000000000003</v>
      </c>
      <c r="DG22" s="228">
        <v>-8.7799999999999994</v>
      </c>
      <c r="DH22" s="228">
        <v>0.22</v>
      </c>
      <c r="DI22" s="228">
        <v>31.5</v>
      </c>
      <c r="DJ22" s="228">
        <v>29.34</v>
      </c>
      <c r="DK22" s="228">
        <v>2.16</v>
      </c>
      <c r="DL22" s="228">
        <v>2.16</v>
      </c>
      <c r="DM22" s="228">
        <v>27.7</v>
      </c>
      <c r="DN22" s="228">
        <v>27.71</v>
      </c>
      <c r="DO22" s="228">
        <v>-0.01</v>
      </c>
      <c r="DP22" s="228">
        <v>-0.01</v>
      </c>
      <c r="DQ22" s="228">
        <v>0.45</v>
      </c>
      <c r="DR22" s="228">
        <v>0.6</v>
      </c>
      <c r="DS22" s="228">
        <v>-0.15</v>
      </c>
      <c r="DT22" s="229">
        <v>-0.25</v>
      </c>
      <c r="DU22" s="228">
        <v>800</v>
      </c>
      <c r="DV22" s="228">
        <v>800</v>
      </c>
      <c r="DW22" s="228">
        <v>0.61</v>
      </c>
      <c r="DX22" s="228">
        <v>0.63</v>
      </c>
      <c r="DY22" s="228">
        <v>-0.02</v>
      </c>
      <c r="DZ22" s="229">
        <v>-3.1699999999999999E-2</v>
      </c>
      <c r="EA22" s="229">
        <v>0.1678</v>
      </c>
      <c r="EB22" s="230">
        <v>2543000</v>
      </c>
      <c r="EC22" s="229">
        <v>1.1000000000000001E-3</v>
      </c>
      <c r="ED22" s="229">
        <v>0.1678</v>
      </c>
      <c r="EE22" s="228">
        <v>0.31</v>
      </c>
      <c r="EF22" s="229">
        <v>4.0000000000000002E-4</v>
      </c>
      <c r="EG22" s="230">
        <v>2473457</v>
      </c>
      <c r="EH22" s="230">
        <v>5246644</v>
      </c>
      <c r="EI22" s="229">
        <v>-0.52859999999999996</v>
      </c>
      <c r="EJ22" s="229">
        <v>0.49890000000000001</v>
      </c>
      <c r="EK22" s="231">
        <v>1858.33</v>
      </c>
      <c r="EL22" s="231">
        <v>1080.44</v>
      </c>
      <c r="EM22" s="228">
        <v>654.83000000000004</v>
      </c>
      <c r="EN22" s="228">
        <v>0</v>
      </c>
      <c r="EO22" s="231">
        <v>3593.6</v>
      </c>
      <c r="EP22" s="231">
        <v>7855.4</v>
      </c>
      <c r="EQ22" s="231">
        <v>-4261.8100000000004</v>
      </c>
      <c r="ER22" s="229">
        <v>-0.54249999999999998</v>
      </c>
      <c r="ES22" s="231">
        <v>1070.68</v>
      </c>
      <c r="ET22" s="228">
        <v>450.79</v>
      </c>
      <c r="EU22" s="231">
        <v>1357.05</v>
      </c>
      <c r="EV22" s="231">
        <v>114846423</v>
      </c>
      <c r="EW22" s="231">
        <v>2878.52</v>
      </c>
      <c r="EX22" s="231">
        <v>2598.88</v>
      </c>
      <c r="EY22" s="228">
        <v>279.64</v>
      </c>
      <c r="EZ22" s="229">
        <v>0.1076</v>
      </c>
      <c r="FA22" s="229">
        <v>0.33110000000000001</v>
      </c>
      <c r="FB22" s="227" t="s">
        <v>567</v>
      </c>
      <c r="FC22">
        <f t="shared" si="0"/>
        <v>245</v>
      </c>
    </row>
    <row r="23" spans="1:159" ht="17.25" thickBot="1" x14ac:dyDescent="0.3">
      <c r="A23" s="226">
        <v>45860</v>
      </c>
      <c r="B23" s="227" t="s">
        <v>170</v>
      </c>
      <c r="C23" s="227" t="s">
        <v>171</v>
      </c>
      <c r="D23" s="228">
        <v>550</v>
      </c>
      <c r="E23" s="228">
        <v>9</v>
      </c>
      <c r="F23" s="231">
        <v>1104.9000000000001</v>
      </c>
      <c r="G23" s="231">
        <v>1140.8</v>
      </c>
      <c r="H23" s="228">
        <v>-35.9</v>
      </c>
      <c r="I23" s="229">
        <v>-3.15E-2</v>
      </c>
      <c r="J23" s="231">
        <v>1101.4000000000001</v>
      </c>
      <c r="K23" s="231">
        <v>1138.5</v>
      </c>
      <c r="L23" s="228">
        <v>-37.1</v>
      </c>
      <c r="M23" s="229">
        <v>-3.2599999999999997E-2</v>
      </c>
      <c r="N23" s="231">
        <v>1104.9000000000001</v>
      </c>
      <c r="O23" s="231">
        <v>1140.8</v>
      </c>
      <c r="P23" s="228">
        <v>-35.9</v>
      </c>
      <c r="Q23" s="229">
        <v>-3.15E-2</v>
      </c>
      <c r="R23" s="231">
        <v>1110.0999999999999</v>
      </c>
      <c r="S23" s="231">
        <v>1146.5999999999999</v>
      </c>
      <c r="T23" s="228">
        <v>-36.5</v>
      </c>
      <c r="U23" s="229">
        <v>-3.1800000000000002E-2</v>
      </c>
      <c r="V23" s="228">
        <v>0</v>
      </c>
      <c r="W23" s="228">
        <v>0</v>
      </c>
      <c r="X23" s="228">
        <v>0</v>
      </c>
      <c r="Y23" s="229">
        <v>0</v>
      </c>
      <c r="Z23" s="228">
        <v>3.5</v>
      </c>
      <c r="AA23" s="228">
        <v>2.2999999999999998</v>
      </c>
      <c r="AB23" s="228">
        <v>1.2</v>
      </c>
      <c r="AC23" s="229">
        <v>3.2000000000000002E-3</v>
      </c>
      <c r="AD23" s="228">
        <v>3.5</v>
      </c>
      <c r="AE23" s="228">
        <v>2.2999999999999998</v>
      </c>
      <c r="AF23" s="228">
        <v>1.2</v>
      </c>
      <c r="AG23" s="229">
        <v>3.2000000000000002E-3</v>
      </c>
      <c r="AH23" s="228">
        <v>8.6999999999999993</v>
      </c>
      <c r="AI23" s="228">
        <v>8.1</v>
      </c>
      <c r="AJ23" s="228">
        <v>0.6</v>
      </c>
      <c r="AK23" s="229">
        <v>7.9000000000000008E-3</v>
      </c>
      <c r="AL23" s="228">
        <v>0</v>
      </c>
      <c r="AM23" s="228">
        <v>0</v>
      </c>
      <c r="AN23" s="228">
        <v>0</v>
      </c>
      <c r="AO23" s="229">
        <v>0</v>
      </c>
      <c r="AP23" s="231">
        <v>1113.51</v>
      </c>
      <c r="AQ23" s="231">
        <v>1120.3399999999999</v>
      </c>
      <c r="AR23" s="228">
        <v>0</v>
      </c>
      <c r="AS23" s="228">
        <v>445</v>
      </c>
      <c r="AT23" s="228">
        <v>509</v>
      </c>
      <c r="AU23" s="228">
        <v>-64</v>
      </c>
      <c r="AV23" s="229">
        <v>-0.12540000000000001</v>
      </c>
      <c r="AW23" s="228">
        <v>288</v>
      </c>
      <c r="AX23" s="228">
        <v>298</v>
      </c>
      <c r="AY23" s="228">
        <v>-9</v>
      </c>
      <c r="AZ23" s="229">
        <v>-3.1699999999999999E-2</v>
      </c>
      <c r="BA23" s="228">
        <v>152</v>
      </c>
      <c r="BB23" s="228">
        <v>211</v>
      </c>
      <c r="BC23" s="228">
        <v>-59</v>
      </c>
      <c r="BD23" s="229">
        <v>-0.27789999999999998</v>
      </c>
      <c r="BE23" s="228">
        <v>0</v>
      </c>
      <c r="BF23" s="228">
        <v>0</v>
      </c>
      <c r="BG23" s="228">
        <v>0</v>
      </c>
      <c r="BH23" s="229">
        <v>0</v>
      </c>
      <c r="BI23" s="228">
        <v>704</v>
      </c>
      <c r="BJ23" s="228">
        <v>205</v>
      </c>
      <c r="BK23" s="228">
        <v>499</v>
      </c>
      <c r="BL23" s="229">
        <v>2.4418000000000002</v>
      </c>
      <c r="BM23" s="228">
        <v>463</v>
      </c>
      <c r="BN23" s="228">
        <v>75</v>
      </c>
      <c r="BO23" s="228">
        <v>389</v>
      </c>
      <c r="BP23" s="229">
        <v>5.2108999999999996</v>
      </c>
      <c r="BQ23" s="230">
        <v>1612</v>
      </c>
      <c r="BR23" s="228">
        <v>788</v>
      </c>
      <c r="BS23" s="228">
        <v>825</v>
      </c>
      <c r="BT23" s="229">
        <v>1.0464</v>
      </c>
      <c r="BU23" s="230">
        <v>1141543</v>
      </c>
      <c r="BV23" s="230">
        <v>340422</v>
      </c>
      <c r="BW23" s="230">
        <v>801121</v>
      </c>
      <c r="BX23" s="229">
        <v>2.3532999999999999</v>
      </c>
      <c r="BY23" s="230">
        <v>2266</v>
      </c>
      <c r="BZ23" s="230">
        <v>2179</v>
      </c>
      <c r="CA23" s="228">
        <v>87</v>
      </c>
      <c r="CB23" s="229">
        <v>0.04</v>
      </c>
      <c r="CC23" s="230">
        <v>1913</v>
      </c>
      <c r="CD23" s="230">
        <v>1907</v>
      </c>
      <c r="CE23" s="228">
        <v>6</v>
      </c>
      <c r="CF23" s="229">
        <v>2.8999999999999998E-3</v>
      </c>
      <c r="CG23" s="228">
        <v>347</v>
      </c>
      <c r="CH23" s="228">
        <v>268</v>
      </c>
      <c r="CI23" s="228">
        <v>78</v>
      </c>
      <c r="CJ23" s="229">
        <v>0.2923</v>
      </c>
      <c r="CK23" s="228">
        <v>0</v>
      </c>
      <c r="CL23" s="228">
        <v>0</v>
      </c>
      <c r="CM23" s="228">
        <v>0</v>
      </c>
      <c r="CN23" s="229">
        <v>0</v>
      </c>
      <c r="CO23" s="228">
        <v>540</v>
      </c>
      <c r="CP23" s="228">
        <v>481</v>
      </c>
      <c r="CQ23" s="228">
        <v>59</v>
      </c>
      <c r="CR23" s="229">
        <v>0.1227</v>
      </c>
      <c r="CS23" s="228">
        <v>357</v>
      </c>
      <c r="CT23" s="228">
        <v>326</v>
      </c>
      <c r="CU23" s="228">
        <v>31</v>
      </c>
      <c r="CV23" s="229">
        <v>9.5500000000000002E-2</v>
      </c>
      <c r="CW23" s="230">
        <v>3163</v>
      </c>
      <c r="CX23" s="230">
        <v>2986</v>
      </c>
      <c r="CY23" s="228">
        <v>177</v>
      </c>
      <c r="CZ23" s="229">
        <v>5.9400000000000001E-2</v>
      </c>
      <c r="DA23" s="228">
        <v>30.45</v>
      </c>
      <c r="DB23" s="228">
        <v>27.23</v>
      </c>
      <c r="DC23" s="228">
        <v>3.22</v>
      </c>
      <c r="DD23" s="228">
        <v>3.22</v>
      </c>
      <c r="DE23" s="228">
        <v>35.53</v>
      </c>
      <c r="DF23" s="228">
        <v>35.35</v>
      </c>
      <c r="DG23" s="228">
        <v>-5.08</v>
      </c>
      <c r="DH23" s="228">
        <v>0.18</v>
      </c>
      <c r="DI23" s="228">
        <v>32.06</v>
      </c>
      <c r="DJ23" s="228">
        <v>27.32</v>
      </c>
      <c r="DK23" s="228">
        <v>4.74</v>
      </c>
      <c r="DL23" s="228">
        <v>4.74</v>
      </c>
      <c r="DM23" s="228">
        <v>28</v>
      </c>
      <c r="DN23" s="228">
        <v>27</v>
      </c>
      <c r="DO23" s="228">
        <v>1</v>
      </c>
      <c r="DP23" s="228">
        <v>1</v>
      </c>
      <c r="DQ23" s="228">
        <v>0.66</v>
      </c>
      <c r="DR23" s="228">
        <v>0.68</v>
      </c>
      <c r="DS23" s="228">
        <v>-0.02</v>
      </c>
      <c r="DT23" s="229">
        <v>-2.9399999999999999E-2</v>
      </c>
      <c r="DU23" s="231">
        <v>1200</v>
      </c>
      <c r="DV23" s="231">
        <v>1100</v>
      </c>
      <c r="DW23" s="228">
        <v>0.66</v>
      </c>
      <c r="DX23" s="228">
        <v>0.36</v>
      </c>
      <c r="DY23" s="228">
        <v>0.3</v>
      </c>
      <c r="DZ23" s="229">
        <v>0.83330000000000004</v>
      </c>
      <c r="EA23" s="229">
        <v>0.153</v>
      </c>
      <c r="EB23" s="230">
        <v>2428800</v>
      </c>
      <c r="EC23" s="229">
        <v>4.7000000000000002E-3</v>
      </c>
      <c r="ED23" s="229">
        <v>0.153</v>
      </c>
      <c r="EE23" s="228">
        <v>6.83</v>
      </c>
      <c r="EF23" s="229">
        <v>6.1000000000000004E-3</v>
      </c>
      <c r="EG23" s="230">
        <v>457989</v>
      </c>
      <c r="EH23" s="230">
        <v>157204</v>
      </c>
      <c r="EI23" s="229">
        <v>1.9133</v>
      </c>
      <c r="EJ23" s="229">
        <v>0.4012</v>
      </c>
      <c r="EK23" s="228">
        <v>751.7</v>
      </c>
      <c r="EL23" s="228">
        <v>464.51</v>
      </c>
      <c r="EM23" s="228">
        <v>449.42</v>
      </c>
      <c r="EN23" s="228">
        <v>0</v>
      </c>
      <c r="EO23" s="231">
        <v>1665.63</v>
      </c>
      <c r="EP23" s="228">
        <v>825.2</v>
      </c>
      <c r="EQ23" s="228">
        <v>840.43</v>
      </c>
      <c r="ER23" s="229">
        <v>1.0185</v>
      </c>
      <c r="ES23" s="228">
        <v>579.21</v>
      </c>
      <c r="ET23" s="228">
        <v>355.96</v>
      </c>
      <c r="EU23" s="231">
        <v>2267.92</v>
      </c>
      <c r="EV23" s="231">
        <v>55970580</v>
      </c>
      <c r="EW23" s="231">
        <v>3203.09</v>
      </c>
      <c r="EX23" s="231">
        <v>3096.6</v>
      </c>
      <c r="EY23" s="228">
        <v>106.49</v>
      </c>
      <c r="EZ23" s="229">
        <v>3.44E-2</v>
      </c>
      <c r="FA23" s="229">
        <v>0.51149999999999995</v>
      </c>
      <c r="FB23" s="227" t="s">
        <v>567</v>
      </c>
      <c r="FC23">
        <f t="shared" si="0"/>
        <v>353</v>
      </c>
    </row>
    <row r="24" spans="1:159" ht="17.25" thickBot="1" x14ac:dyDescent="0.3">
      <c r="A24" s="226">
        <v>45860</v>
      </c>
      <c r="B24" s="227" t="s">
        <v>172</v>
      </c>
      <c r="C24" s="227" t="s">
        <v>173</v>
      </c>
      <c r="D24" s="228">
        <v>625</v>
      </c>
      <c r="E24" s="228">
        <v>9</v>
      </c>
      <c r="F24" s="231">
        <v>1101.5</v>
      </c>
      <c r="G24" s="231">
        <v>1103.0999999999999</v>
      </c>
      <c r="H24" s="228">
        <v>-1.6</v>
      </c>
      <c r="I24" s="229">
        <v>-1.5E-3</v>
      </c>
      <c r="J24" s="231">
        <v>1098</v>
      </c>
      <c r="K24" s="231">
        <v>1099.5999999999999</v>
      </c>
      <c r="L24" s="228">
        <v>-1.6</v>
      </c>
      <c r="M24" s="229">
        <v>-1.5E-3</v>
      </c>
      <c r="N24" s="231">
        <v>1101.5</v>
      </c>
      <c r="O24" s="231">
        <v>1103.0999999999999</v>
      </c>
      <c r="P24" s="228">
        <v>-1.6</v>
      </c>
      <c r="Q24" s="229">
        <v>-1.5E-3</v>
      </c>
      <c r="R24" s="231">
        <v>1106.5999999999999</v>
      </c>
      <c r="S24" s="231">
        <v>1108.5</v>
      </c>
      <c r="T24" s="228">
        <v>-1.9</v>
      </c>
      <c r="U24" s="229">
        <v>-1.6999999999999999E-3</v>
      </c>
      <c r="V24" s="228">
        <v>0</v>
      </c>
      <c r="W24" s="228">
        <v>0</v>
      </c>
      <c r="X24" s="228">
        <v>0</v>
      </c>
      <c r="Y24" s="229">
        <v>0</v>
      </c>
      <c r="Z24" s="228">
        <v>3.5</v>
      </c>
      <c r="AA24" s="228">
        <v>3.5</v>
      </c>
      <c r="AB24" s="228">
        <v>0</v>
      </c>
      <c r="AC24" s="229">
        <v>3.2000000000000002E-3</v>
      </c>
      <c r="AD24" s="228">
        <v>3.5</v>
      </c>
      <c r="AE24" s="228">
        <v>3.5</v>
      </c>
      <c r="AF24" s="228">
        <v>0</v>
      </c>
      <c r="AG24" s="229">
        <v>3.2000000000000002E-3</v>
      </c>
      <c r="AH24" s="228">
        <v>8.6</v>
      </c>
      <c r="AI24" s="228">
        <v>8.9</v>
      </c>
      <c r="AJ24" s="228">
        <v>-0.3</v>
      </c>
      <c r="AK24" s="229">
        <v>7.7999999999999996E-3</v>
      </c>
      <c r="AL24" s="228">
        <v>0</v>
      </c>
      <c r="AM24" s="228">
        <v>0</v>
      </c>
      <c r="AN24" s="228">
        <v>0</v>
      </c>
      <c r="AO24" s="229">
        <v>0</v>
      </c>
      <c r="AP24" s="231">
        <v>1106.3499999999999</v>
      </c>
      <c r="AQ24" s="231">
        <v>1110.81</v>
      </c>
      <c r="AR24" s="228">
        <v>0</v>
      </c>
      <c r="AS24" s="230">
        <v>1600</v>
      </c>
      <c r="AT24" s="230">
        <v>2532</v>
      </c>
      <c r="AU24" s="228">
        <v>-932</v>
      </c>
      <c r="AV24" s="229">
        <v>-0.36799999999999999</v>
      </c>
      <c r="AW24" s="230">
        <v>1344</v>
      </c>
      <c r="AX24" s="230">
        <v>2168</v>
      </c>
      <c r="AY24" s="228">
        <v>-823</v>
      </c>
      <c r="AZ24" s="229">
        <v>-0.37980000000000003</v>
      </c>
      <c r="BA24" s="228">
        <v>245</v>
      </c>
      <c r="BB24" s="228">
        <v>346</v>
      </c>
      <c r="BC24" s="228">
        <v>-101</v>
      </c>
      <c r="BD24" s="229">
        <v>-0.29260000000000003</v>
      </c>
      <c r="BE24" s="228">
        <v>0</v>
      </c>
      <c r="BF24" s="228">
        <v>0</v>
      </c>
      <c r="BG24" s="228">
        <v>0</v>
      </c>
      <c r="BH24" s="229">
        <v>0</v>
      </c>
      <c r="BI24" s="230">
        <v>6900</v>
      </c>
      <c r="BJ24" s="230">
        <v>13281</v>
      </c>
      <c r="BK24" s="230">
        <v>-6381</v>
      </c>
      <c r="BL24" s="229">
        <v>-0.48049999999999998</v>
      </c>
      <c r="BM24" s="230">
        <v>3105</v>
      </c>
      <c r="BN24" s="230">
        <v>7997</v>
      </c>
      <c r="BO24" s="230">
        <v>-4892</v>
      </c>
      <c r="BP24" s="229">
        <v>-0.61170000000000002</v>
      </c>
      <c r="BQ24" s="230">
        <v>11605</v>
      </c>
      <c r="BR24" s="230">
        <v>23810</v>
      </c>
      <c r="BS24" s="230">
        <v>-12205</v>
      </c>
      <c r="BT24" s="229">
        <v>-0.51259999999999994</v>
      </c>
      <c r="BU24" s="230">
        <v>10455171</v>
      </c>
      <c r="BV24" s="230">
        <v>16199285</v>
      </c>
      <c r="BW24" s="230">
        <v>-5744114</v>
      </c>
      <c r="BX24" s="229">
        <v>-0.35460000000000003</v>
      </c>
      <c r="BY24" s="230">
        <v>9039</v>
      </c>
      <c r="BZ24" s="230">
        <v>8643</v>
      </c>
      <c r="CA24" s="228">
        <v>396</v>
      </c>
      <c r="CB24" s="229">
        <v>4.58E-2</v>
      </c>
      <c r="CC24" s="230">
        <v>7688</v>
      </c>
      <c r="CD24" s="230">
        <v>7393</v>
      </c>
      <c r="CE24" s="228">
        <v>295</v>
      </c>
      <c r="CF24" s="229">
        <v>3.9899999999999998E-2</v>
      </c>
      <c r="CG24" s="230">
        <v>1250</v>
      </c>
      <c r="CH24" s="230">
        <v>1151</v>
      </c>
      <c r="CI24" s="228">
        <v>99</v>
      </c>
      <c r="CJ24" s="229">
        <v>8.6099999999999996E-2</v>
      </c>
      <c r="CK24" s="228">
        <v>0</v>
      </c>
      <c r="CL24" s="228">
        <v>0</v>
      </c>
      <c r="CM24" s="228">
        <v>0</v>
      </c>
      <c r="CN24" s="229">
        <v>0</v>
      </c>
      <c r="CO24" s="230">
        <v>6163</v>
      </c>
      <c r="CP24" s="230">
        <v>6240</v>
      </c>
      <c r="CQ24" s="228">
        <v>-76</v>
      </c>
      <c r="CR24" s="229">
        <v>-1.23E-2</v>
      </c>
      <c r="CS24" s="230">
        <v>2303</v>
      </c>
      <c r="CT24" s="230">
        <v>2390</v>
      </c>
      <c r="CU24" s="228">
        <v>-88</v>
      </c>
      <c r="CV24" s="229">
        <v>-3.6700000000000003E-2</v>
      </c>
      <c r="CW24" s="230">
        <v>17505</v>
      </c>
      <c r="CX24" s="230">
        <v>17273</v>
      </c>
      <c r="CY24" s="228">
        <v>231</v>
      </c>
      <c r="CZ24" s="229">
        <v>1.34E-2</v>
      </c>
      <c r="DA24" s="228">
        <v>19.77</v>
      </c>
      <c r="DB24" s="228">
        <v>20.63</v>
      </c>
      <c r="DC24" s="228">
        <v>-0.86</v>
      </c>
      <c r="DD24" s="228">
        <v>-0.86</v>
      </c>
      <c r="DE24" s="228">
        <v>28.51</v>
      </c>
      <c r="DF24" s="228">
        <v>28.58</v>
      </c>
      <c r="DG24" s="228">
        <v>-8.74</v>
      </c>
      <c r="DH24" s="228">
        <v>-7.0000000000000007E-2</v>
      </c>
      <c r="DI24" s="228">
        <v>20.329999999999998</v>
      </c>
      <c r="DJ24" s="228">
        <v>20.79</v>
      </c>
      <c r="DK24" s="228">
        <v>-0.46</v>
      </c>
      <c r="DL24" s="228">
        <v>-0.46</v>
      </c>
      <c r="DM24" s="228">
        <v>18.510000000000002</v>
      </c>
      <c r="DN24" s="228">
        <v>20.37</v>
      </c>
      <c r="DO24" s="228">
        <v>-1.86</v>
      </c>
      <c r="DP24" s="228">
        <v>-1.86</v>
      </c>
      <c r="DQ24" s="228">
        <v>0.37</v>
      </c>
      <c r="DR24" s="228">
        <v>0.38</v>
      </c>
      <c r="DS24" s="228">
        <v>-0.01</v>
      </c>
      <c r="DT24" s="229">
        <v>-2.63E-2</v>
      </c>
      <c r="DU24" s="231">
        <v>1200</v>
      </c>
      <c r="DV24" s="231">
        <v>1100</v>
      </c>
      <c r="DW24" s="228">
        <v>0.45</v>
      </c>
      <c r="DX24" s="228">
        <v>0.6</v>
      </c>
      <c r="DY24" s="228">
        <v>-0.15</v>
      </c>
      <c r="DZ24" s="229">
        <v>-0.25</v>
      </c>
      <c r="EA24" s="229">
        <v>0.13830000000000001</v>
      </c>
      <c r="EB24" s="230">
        <v>10447500</v>
      </c>
      <c r="EC24" s="229">
        <v>4.5999999999999999E-3</v>
      </c>
      <c r="ED24" s="229">
        <v>0.13830000000000001</v>
      </c>
      <c r="EE24" s="228">
        <v>4.46</v>
      </c>
      <c r="EF24" s="229">
        <v>4.0000000000000001E-3</v>
      </c>
      <c r="EG24" s="230">
        <v>7253971</v>
      </c>
      <c r="EH24" s="230">
        <v>10827456</v>
      </c>
      <c r="EI24" s="229">
        <v>-0.33</v>
      </c>
      <c r="EJ24" s="229">
        <v>0.69379999999999997</v>
      </c>
      <c r="EK24" s="231">
        <v>7171.82</v>
      </c>
      <c r="EL24" s="231">
        <v>3091.16</v>
      </c>
      <c r="EM24" s="231">
        <v>1608.37</v>
      </c>
      <c r="EN24" s="228">
        <v>0</v>
      </c>
      <c r="EO24" s="231">
        <v>11871.34</v>
      </c>
      <c r="EP24" s="231">
        <v>24174.45</v>
      </c>
      <c r="EQ24" s="231">
        <v>-12303.1</v>
      </c>
      <c r="ER24" s="229">
        <v>-0.50890000000000002</v>
      </c>
      <c r="ES24" s="231">
        <v>6636.88</v>
      </c>
      <c r="ET24" s="231">
        <v>2324.7199999999998</v>
      </c>
      <c r="EU24" s="231">
        <v>9045.7099999999991</v>
      </c>
      <c r="EV24" s="231">
        <v>549885930</v>
      </c>
      <c r="EW24" s="231">
        <v>18007.310000000001</v>
      </c>
      <c r="EX24" s="231">
        <v>17797.11</v>
      </c>
      <c r="EY24" s="228">
        <v>210.2</v>
      </c>
      <c r="EZ24" s="229">
        <v>1.18E-2</v>
      </c>
      <c r="FA24" s="229">
        <v>0.28899999999999998</v>
      </c>
      <c r="FB24" s="227" t="s">
        <v>567</v>
      </c>
      <c r="FC24">
        <f t="shared" si="0"/>
        <v>1351</v>
      </c>
    </row>
    <row r="25" spans="1:159" ht="17.25" thickBot="1" x14ac:dyDescent="0.3">
      <c r="A25" s="226">
        <v>45860</v>
      </c>
      <c r="B25" s="227" t="s">
        <v>162</v>
      </c>
      <c r="C25" s="227" t="s">
        <v>174</v>
      </c>
      <c r="D25" s="228">
        <v>75</v>
      </c>
      <c r="E25" s="228">
        <v>9</v>
      </c>
      <c r="F25" s="231">
        <v>8300.5</v>
      </c>
      <c r="G25" s="231">
        <v>8446</v>
      </c>
      <c r="H25" s="228">
        <v>-145.5</v>
      </c>
      <c r="I25" s="229">
        <v>-1.72E-2</v>
      </c>
      <c r="J25" s="231">
        <v>8295</v>
      </c>
      <c r="K25" s="231">
        <v>8438.5</v>
      </c>
      <c r="L25" s="228">
        <v>-143.5</v>
      </c>
      <c r="M25" s="229">
        <v>-1.7000000000000001E-2</v>
      </c>
      <c r="N25" s="231">
        <v>8300.5</v>
      </c>
      <c r="O25" s="231">
        <v>8446</v>
      </c>
      <c r="P25" s="228">
        <v>-145.5</v>
      </c>
      <c r="Q25" s="229">
        <v>-1.72E-2</v>
      </c>
      <c r="R25" s="231">
        <v>8342</v>
      </c>
      <c r="S25" s="231">
        <v>8487</v>
      </c>
      <c r="T25" s="228">
        <v>-145</v>
      </c>
      <c r="U25" s="229">
        <v>-1.7100000000000001E-2</v>
      </c>
      <c r="V25" s="228">
        <v>0</v>
      </c>
      <c r="W25" s="228">
        <v>0</v>
      </c>
      <c r="X25" s="228">
        <v>0</v>
      </c>
      <c r="Y25" s="229">
        <v>0</v>
      </c>
      <c r="Z25" s="228">
        <v>5.5</v>
      </c>
      <c r="AA25" s="228">
        <v>7.5</v>
      </c>
      <c r="AB25" s="228">
        <v>-2</v>
      </c>
      <c r="AC25" s="229">
        <v>6.9999999999999999E-4</v>
      </c>
      <c r="AD25" s="228">
        <v>5.5</v>
      </c>
      <c r="AE25" s="228">
        <v>7.5</v>
      </c>
      <c r="AF25" s="228">
        <v>-2</v>
      </c>
      <c r="AG25" s="229">
        <v>6.9999999999999999E-4</v>
      </c>
      <c r="AH25" s="228">
        <v>47</v>
      </c>
      <c r="AI25" s="228">
        <v>48.5</v>
      </c>
      <c r="AJ25" s="228">
        <v>-1.5</v>
      </c>
      <c r="AK25" s="229">
        <v>5.7000000000000002E-3</v>
      </c>
      <c r="AL25" s="228">
        <v>0</v>
      </c>
      <c r="AM25" s="228">
        <v>0</v>
      </c>
      <c r="AN25" s="228">
        <v>0</v>
      </c>
      <c r="AO25" s="229">
        <v>0</v>
      </c>
      <c r="AP25" s="231">
        <v>8352.7000000000007</v>
      </c>
      <c r="AQ25" s="231">
        <v>8388.44</v>
      </c>
      <c r="AR25" s="228">
        <v>0</v>
      </c>
      <c r="AS25" s="228">
        <v>307</v>
      </c>
      <c r="AT25" s="228">
        <v>285</v>
      </c>
      <c r="AU25" s="228">
        <v>22</v>
      </c>
      <c r="AV25" s="229">
        <v>7.6999999999999999E-2</v>
      </c>
      <c r="AW25" s="228">
        <v>251</v>
      </c>
      <c r="AX25" s="228">
        <v>252</v>
      </c>
      <c r="AY25" s="228">
        <v>-1</v>
      </c>
      <c r="AZ25" s="229">
        <v>-3.5000000000000001E-3</v>
      </c>
      <c r="BA25" s="228">
        <v>50</v>
      </c>
      <c r="BB25" s="228">
        <v>31</v>
      </c>
      <c r="BC25" s="228">
        <v>19</v>
      </c>
      <c r="BD25" s="229">
        <v>0.60799999999999998</v>
      </c>
      <c r="BE25" s="228">
        <v>0</v>
      </c>
      <c r="BF25" s="228">
        <v>0</v>
      </c>
      <c r="BG25" s="228">
        <v>0</v>
      </c>
      <c r="BH25" s="229">
        <v>0</v>
      </c>
      <c r="BI25" s="230">
        <v>1719</v>
      </c>
      <c r="BJ25" s="230">
        <v>1728</v>
      </c>
      <c r="BK25" s="228">
        <v>-9</v>
      </c>
      <c r="BL25" s="229">
        <v>-5.0000000000000001E-3</v>
      </c>
      <c r="BM25" s="230">
        <v>1143</v>
      </c>
      <c r="BN25" s="228">
        <v>898</v>
      </c>
      <c r="BO25" s="228">
        <v>244</v>
      </c>
      <c r="BP25" s="229">
        <v>0.27179999999999999</v>
      </c>
      <c r="BQ25" s="230">
        <v>3168</v>
      </c>
      <c r="BR25" s="230">
        <v>2911</v>
      </c>
      <c r="BS25" s="228">
        <v>257</v>
      </c>
      <c r="BT25" s="229">
        <v>8.8400000000000006E-2</v>
      </c>
      <c r="BU25" s="230">
        <v>310669</v>
      </c>
      <c r="BV25" s="230">
        <v>265535</v>
      </c>
      <c r="BW25" s="230">
        <v>45134</v>
      </c>
      <c r="BX25" s="229">
        <v>0.17</v>
      </c>
      <c r="BY25" s="230">
        <v>2209</v>
      </c>
      <c r="BZ25" s="230">
        <v>2167</v>
      </c>
      <c r="CA25" s="228">
        <v>42</v>
      </c>
      <c r="CB25" s="229">
        <v>1.9199999999999998E-2</v>
      </c>
      <c r="CC25" s="230">
        <v>2043</v>
      </c>
      <c r="CD25" s="230">
        <v>2028</v>
      </c>
      <c r="CE25" s="228">
        <v>15</v>
      </c>
      <c r="CF25" s="229">
        <v>7.4999999999999997E-3</v>
      </c>
      <c r="CG25" s="228">
        <v>151</v>
      </c>
      <c r="CH25" s="228">
        <v>128</v>
      </c>
      <c r="CI25" s="228">
        <v>23</v>
      </c>
      <c r="CJ25" s="229">
        <v>0.17560000000000001</v>
      </c>
      <c r="CK25" s="228">
        <v>0</v>
      </c>
      <c r="CL25" s="228">
        <v>0</v>
      </c>
      <c r="CM25" s="228">
        <v>0</v>
      </c>
      <c r="CN25" s="229">
        <v>0</v>
      </c>
      <c r="CO25" s="230">
        <v>1255</v>
      </c>
      <c r="CP25" s="230">
        <v>1125</v>
      </c>
      <c r="CQ25" s="228">
        <v>130</v>
      </c>
      <c r="CR25" s="229">
        <v>0.1159</v>
      </c>
      <c r="CS25" s="228">
        <v>796</v>
      </c>
      <c r="CT25" s="228">
        <v>780</v>
      </c>
      <c r="CU25" s="228">
        <v>16</v>
      </c>
      <c r="CV25" s="229">
        <v>1.9900000000000001E-2</v>
      </c>
      <c r="CW25" s="230">
        <v>4259</v>
      </c>
      <c r="CX25" s="230">
        <v>4072</v>
      </c>
      <c r="CY25" s="228">
        <v>187</v>
      </c>
      <c r="CZ25" s="229">
        <v>4.5999999999999999E-2</v>
      </c>
      <c r="DA25" s="228">
        <v>22.65</v>
      </c>
      <c r="DB25" s="228">
        <v>21.94</v>
      </c>
      <c r="DC25" s="228">
        <v>0.71</v>
      </c>
      <c r="DD25" s="228">
        <v>0.71</v>
      </c>
      <c r="DE25" s="228">
        <v>32.06</v>
      </c>
      <c r="DF25" s="228">
        <v>32.049999999999997</v>
      </c>
      <c r="DG25" s="228">
        <v>-9.41</v>
      </c>
      <c r="DH25" s="228">
        <v>0.01</v>
      </c>
      <c r="DI25" s="228">
        <v>22.59</v>
      </c>
      <c r="DJ25" s="228">
        <v>21.39</v>
      </c>
      <c r="DK25" s="228">
        <v>1.2</v>
      </c>
      <c r="DL25" s="228">
        <v>1.2</v>
      </c>
      <c r="DM25" s="228">
        <v>22.73</v>
      </c>
      <c r="DN25" s="228">
        <v>23</v>
      </c>
      <c r="DO25" s="228">
        <v>-0.27</v>
      </c>
      <c r="DP25" s="228">
        <v>-0.27</v>
      </c>
      <c r="DQ25" s="228">
        <v>0.63</v>
      </c>
      <c r="DR25" s="228">
        <v>0.69</v>
      </c>
      <c r="DS25" s="228">
        <v>-0.06</v>
      </c>
      <c r="DT25" s="229">
        <v>-8.6999999999999994E-2</v>
      </c>
      <c r="DU25" s="231">
        <v>9000</v>
      </c>
      <c r="DV25" s="231">
        <v>8000</v>
      </c>
      <c r="DW25" s="228">
        <v>0.66</v>
      </c>
      <c r="DX25" s="228">
        <v>0.52</v>
      </c>
      <c r="DY25" s="228">
        <v>0.14000000000000001</v>
      </c>
      <c r="DZ25" s="229">
        <v>0.26919999999999999</v>
      </c>
      <c r="EA25" s="229">
        <v>6.83E-2</v>
      </c>
      <c r="EB25" s="230">
        <v>154575</v>
      </c>
      <c r="EC25" s="229">
        <v>5.0000000000000001E-3</v>
      </c>
      <c r="ED25" s="229">
        <v>6.83E-2</v>
      </c>
      <c r="EE25" s="228">
        <v>35.74</v>
      </c>
      <c r="EF25" s="229">
        <v>4.3E-3</v>
      </c>
      <c r="EG25" s="230">
        <v>177986</v>
      </c>
      <c r="EH25" s="230">
        <v>141622</v>
      </c>
      <c r="EI25" s="229">
        <v>0.25679999999999997</v>
      </c>
      <c r="EJ25" s="229">
        <v>0.57289999999999996</v>
      </c>
      <c r="EK25" s="231">
        <v>1784.53</v>
      </c>
      <c r="EL25" s="231">
        <v>1126.8499999999999</v>
      </c>
      <c r="EM25" s="228">
        <v>308.74</v>
      </c>
      <c r="EN25" s="228">
        <v>0</v>
      </c>
      <c r="EO25" s="231">
        <v>3220.12</v>
      </c>
      <c r="EP25" s="231">
        <v>2978.25</v>
      </c>
      <c r="EQ25" s="228">
        <v>241.87</v>
      </c>
      <c r="ER25" s="229">
        <v>8.1199999999999994E-2</v>
      </c>
      <c r="ES25" s="231">
        <v>1320.32</v>
      </c>
      <c r="ET25" s="228">
        <v>774.98</v>
      </c>
      <c r="EU25" s="231">
        <v>2209.56</v>
      </c>
      <c r="EV25" s="231">
        <v>25086000</v>
      </c>
      <c r="EW25" s="231">
        <v>4304.8599999999997</v>
      </c>
      <c r="EX25" s="231">
        <v>4154.1000000000004</v>
      </c>
      <c r="EY25" s="228">
        <v>150.76</v>
      </c>
      <c r="EZ25" s="229">
        <v>3.6299999999999999E-2</v>
      </c>
      <c r="FA25" s="229">
        <v>0.2046</v>
      </c>
      <c r="FB25" s="227" t="s">
        <v>567</v>
      </c>
      <c r="FC25">
        <f t="shared" si="0"/>
        <v>166</v>
      </c>
    </row>
    <row r="26" spans="1:159" ht="17.25" thickBot="1" x14ac:dyDescent="0.3">
      <c r="A26" s="226">
        <v>45860</v>
      </c>
      <c r="B26" s="227" t="s">
        <v>175</v>
      </c>
      <c r="C26" s="227" t="s">
        <v>176</v>
      </c>
      <c r="D26" s="228">
        <v>500</v>
      </c>
      <c r="E26" s="228">
        <v>9</v>
      </c>
      <c r="F26" s="231">
        <v>2043</v>
      </c>
      <c r="G26" s="231">
        <v>2060.5</v>
      </c>
      <c r="H26" s="228">
        <v>-17.5</v>
      </c>
      <c r="I26" s="229">
        <v>-8.5000000000000006E-3</v>
      </c>
      <c r="J26" s="231">
        <v>2039.6</v>
      </c>
      <c r="K26" s="231">
        <v>2053.9</v>
      </c>
      <c r="L26" s="228">
        <v>-14.3</v>
      </c>
      <c r="M26" s="229">
        <v>-7.0000000000000001E-3</v>
      </c>
      <c r="N26" s="231">
        <v>2043</v>
      </c>
      <c r="O26" s="231">
        <v>2060.5</v>
      </c>
      <c r="P26" s="228">
        <v>-17.5</v>
      </c>
      <c r="Q26" s="229">
        <v>-8.5000000000000006E-3</v>
      </c>
      <c r="R26" s="231">
        <v>2053</v>
      </c>
      <c r="S26" s="231">
        <v>2070.3000000000002</v>
      </c>
      <c r="T26" s="228">
        <v>-17.3</v>
      </c>
      <c r="U26" s="229">
        <v>-8.3999999999999995E-3</v>
      </c>
      <c r="V26" s="228">
        <v>0</v>
      </c>
      <c r="W26" s="228">
        <v>0</v>
      </c>
      <c r="X26" s="228">
        <v>0</v>
      </c>
      <c r="Y26" s="229">
        <v>0</v>
      </c>
      <c r="Z26" s="228">
        <v>3.4</v>
      </c>
      <c r="AA26" s="228">
        <v>6.6</v>
      </c>
      <c r="AB26" s="228">
        <v>-3.2</v>
      </c>
      <c r="AC26" s="229">
        <v>1.6999999999999999E-3</v>
      </c>
      <c r="AD26" s="228">
        <v>3.4</v>
      </c>
      <c r="AE26" s="228">
        <v>6.6</v>
      </c>
      <c r="AF26" s="228">
        <v>-3.2</v>
      </c>
      <c r="AG26" s="229">
        <v>1.6999999999999999E-3</v>
      </c>
      <c r="AH26" s="228">
        <v>13.4</v>
      </c>
      <c r="AI26" s="228">
        <v>16.399999999999999</v>
      </c>
      <c r="AJ26" s="228">
        <v>-3</v>
      </c>
      <c r="AK26" s="229">
        <v>6.6E-3</v>
      </c>
      <c r="AL26" s="228">
        <v>0</v>
      </c>
      <c r="AM26" s="228">
        <v>0</v>
      </c>
      <c r="AN26" s="228">
        <v>0</v>
      </c>
      <c r="AO26" s="229">
        <v>0</v>
      </c>
      <c r="AP26" s="231">
        <v>2038.28</v>
      </c>
      <c r="AQ26" s="231">
        <v>2046.5</v>
      </c>
      <c r="AR26" s="228">
        <v>0</v>
      </c>
      <c r="AS26" s="228">
        <v>614</v>
      </c>
      <c r="AT26" s="228">
        <v>463</v>
      </c>
      <c r="AU26" s="228">
        <v>152</v>
      </c>
      <c r="AV26" s="229">
        <v>0.32769999999999999</v>
      </c>
      <c r="AW26" s="228">
        <v>507</v>
      </c>
      <c r="AX26" s="228">
        <v>394</v>
      </c>
      <c r="AY26" s="228">
        <v>113</v>
      </c>
      <c r="AZ26" s="229">
        <v>0.28820000000000001</v>
      </c>
      <c r="BA26" s="228">
        <v>100</v>
      </c>
      <c r="BB26" s="228">
        <v>62</v>
      </c>
      <c r="BC26" s="228">
        <v>38</v>
      </c>
      <c r="BD26" s="229">
        <v>0.6129</v>
      </c>
      <c r="BE26" s="228">
        <v>0</v>
      </c>
      <c r="BF26" s="228">
        <v>0</v>
      </c>
      <c r="BG26" s="228">
        <v>0</v>
      </c>
      <c r="BH26" s="229">
        <v>0</v>
      </c>
      <c r="BI26" s="230">
        <v>2138</v>
      </c>
      <c r="BJ26" s="230">
        <v>1995</v>
      </c>
      <c r="BK26" s="228">
        <v>143</v>
      </c>
      <c r="BL26" s="229">
        <v>7.1599999999999997E-2</v>
      </c>
      <c r="BM26" s="230">
        <v>1257</v>
      </c>
      <c r="BN26" s="230">
        <v>1117</v>
      </c>
      <c r="BO26" s="228">
        <v>141</v>
      </c>
      <c r="BP26" s="229">
        <v>0.12620000000000001</v>
      </c>
      <c r="BQ26" s="230">
        <v>4009</v>
      </c>
      <c r="BR26" s="230">
        <v>3574</v>
      </c>
      <c r="BS26" s="228">
        <v>435</v>
      </c>
      <c r="BT26" s="229">
        <v>0.12180000000000001</v>
      </c>
      <c r="BU26" s="230">
        <v>1231878</v>
      </c>
      <c r="BV26" s="230">
        <v>1035509</v>
      </c>
      <c r="BW26" s="230">
        <v>196369</v>
      </c>
      <c r="BX26" s="229">
        <v>0.18959999999999999</v>
      </c>
      <c r="BY26" s="230">
        <v>3345</v>
      </c>
      <c r="BZ26" s="230">
        <v>3325</v>
      </c>
      <c r="CA26" s="228">
        <v>19</v>
      </c>
      <c r="CB26" s="229">
        <v>5.7999999999999996E-3</v>
      </c>
      <c r="CC26" s="230">
        <v>3156</v>
      </c>
      <c r="CD26" s="230">
        <v>3169</v>
      </c>
      <c r="CE26" s="228">
        <v>-13</v>
      </c>
      <c r="CF26" s="229">
        <v>-4.0000000000000001E-3</v>
      </c>
      <c r="CG26" s="228">
        <v>178</v>
      </c>
      <c r="CH26" s="228">
        <v>146</v>
      </c>
      <c r="CI26" s="228">
        <v>32</v>
      </c>
      <c r="CJ26" s="229">
        <v>0.21909999999999999</v>
      </c>
      <c r="CK26" s="228">
        <v>0</v>
      </c>
      <c r="CL26" s="228">
        <v>0</v>
      </c>
      <c r="CM26" s="228">
        <v>0</v>
      </c>
      <c r="CN26" s="229">
        <v>0</v>
      </c>
      <c r="CO26" s="230">
        <v>1627</v>
      </c>
      <c r="CP26" s="230">
        <v>1623</v>
      </c>
      <c r="CQ26" s="228">
        <v>4</v>
      </c>
      <c r="CR26" s="229">
        <v>2.3E-3</v>
      </c>
      <c r="CS26" s="228">
        <v>898</v>
      </c>
      <c r="CT26" s="228">
        <v>916</v>
      </c>
      <c r="CU26" s="228">
        <v>-18</v>
      </c>
      <c r="CV26" s="229">
        <v>-1.9900000000000001E-2</v>
      </c>
      <c r="CW26" s="230">
        <v>5869</v>
      </c>
      <c r="CX26" s="230">
        <v>5864</v>
      </c>
      <c r="CY26" s="228">
        <v>5</v>
      </c>
      <c r="CZ26" s="229">
        <v>8.0000000000000004E-4</v>
      </c>
      <c r="DA26" s="228">
        <v>27.18</v>
      </c>
      <c r="DB26" s="228">
        <v>26.47</v>
      </c>
      <c r="DC26" s="228">
        <v>0.71</v>
      </c>
      <c r="DD26" s="228">
        <v>0.71</v>
      </c>
      <c r="DE26" s="228">
        <v>30.17</v>
      </c>
      <c r="DF26" s="228">
        <v>30.23</v>
      </c>
      <c r="DG26" s="228">
        <v>-2.99</v>
      </c>
      <c r="DH26" s="228">
        <v>-0.06</v>
      </c>
      <c r="DI26" s="228">
        <v>26.3</v>
      </c>
      <c r="DJ26" s="228">
        <v>25.38</v>
      </c>
      <c r="DK26" s="228">
        <v>0.92</v>
      </c>
      <c r="DL26" s="228">
        <v>0.92</v>
      </c>
      <c r="DM26" s="228">
        <v>28.67</v>
      </c>
      <c r="DN26" s="228">
        <v>28.42</v>
      </c>
      <c r="DO26" s="228">
        <v>0.25</v>
      </c>
      <c r="DP26" s="228">
        <v>0.25</v>
      </c>
      <c r="DQ26" s="228">
        <v>0.55000000000000004</v>
      </c>
      <c r="DR26" s="228">
        <v>0.56000000000000005</v>
      </c>
      <c r="DS26" s="228">
        <v>-0.01</v>
      </c>
      <c r="DT26" s="229">
        <v>-1.7899999999999999E-2</v>
      </c>
      <c r="DU26" s="231">
        <v>2100</v>
      </c>
      <c r="DV26" s="231">
        <v>2000</v>
      </c>
      <c r="DW26" s="228">
        <v>0.59</v>
      </c>
      <c r="DX26" s="228">
        <v>0.56000000000000005</v>
      </c>
      <c r="DY26" s="228">
        <v>0.03</v>
      </c>
      <c r="DZ26" s="229">
        <v>5.3600000000000002E-2</v>
      </c>
      <c r="EA26" s="229">
        <v>5.3400000000000003E-2</v>
      </c>
      <c r="EB26" s="230">
        <v>716500</v>
      </c>
      <c r="EC26" s="229">
        <v>4.8999999999999998E-3</v>
      </c>
      <c r="ED26" s="229">
        <v>5.3400000000000003E-2</v>
      </c>
      <c r="EE26" s="228">
        <v>8.2200000000000006</v>
      </c>
      <c r="EF26" s="229">
        <v>4.0000000000000001E-3</v>
      </c>
      <c r="EG26" s="230">
        <v>607549</v>
      </c>
      <c r="EH26" s="230">
        <v>547823</v>
      </c>
      <c r="EI26" s="229">
        <v>0.109</v>
      </c>
      <c r="EJ26" s="229">
        <v>0.49320000000000003</v>
      </c>
      <c r="EK26" s="231">
        <v>2202.3000000000002</v>
      </c>
      <c r="EL26" s="231">
        <v>1248.52</v>
      </c>
      <c r="EM26" s="228">
        <v>613.16999999999996</v>
      </c>
      <c r="EN26" s="228">
        <v>0</v>
      </c>
      <c r="EO26" s="231">
        <v>4063.99</v>
      </c>
      <c r="EP26" s="231">
        <v>3630.01</v>
      </c>
      <c r="EQ26" s="228">
        <v>433.98</v>
      </c>
      <c r="ER26" s="229">
        <v>0.1196</v>
      </c>
      <c r="ES26" s="231">
        <v>1697.76</v>
      </c>
      <c r="ET26" s="228">
        <v>849.47</v>
      </c>
      <c r="EU26" s="231">
        <v>3345.67</v>
      </c>
      <c r="EV26" s="231">
        <v>125347779</v>
      </c>
      <c r="EW26" s="231">
        <v>5892.89</v>
      </c>
      <c r="EX26" s="231">
        <v>5916.76</v>
      </c>
      <c r="EY26" s="228">
        <v>-23.87</v>
      </c>
      <c r="EZ26" s="229">
        <v>-4.0000000000000001E-3</v>
      </c>
      <c r="FA26" s="229">
        <v>0.22919999999999999</v>
      </c>
      <c r="FB26" s="227" t="s">
        <v>567</v>
      </c>
      <c r="FC26">
        <f t="shared" si="0"/>
        <v>189</v>
      </c>
    </row>
    <row r="27" spans="1:159" ht="17.25" thickBot="1" x14ac:dyDescent="0.3">
      <c r="A27" s="226">
        <v>45860</v>
      </c>
      <c r="B27" s="227" t="s">
        <v>175</v>
      </c>
      <c r="C27" s="227" t="s">
        <v>177</v>
      </c>
      <c r="D27" s="228">
        <v>750</v>
      </c>
      <c r="E27" s="228">
        <v>9</v>
      </c>
      <c r="F27" s="228">
        <v>955.95</v>
      </c>
      <c r="G27" s="228">
        <v>951.15</v>
      </c>
      <c r="H27" s="228">
        <v>4.8</v>
      </c>
      <c r="I27" s="229">
        <v>5.0000000000000001E-3</v>
      </c>
      <c r="J27" s="228">
        <v>952.55</v>
      </c>
      <c r="K27" s="228">
        <v>948.45</v>
      </c>
      <c r="L27" s="228">
        <v>4.0999999999999996</v>
      </c>
      <c r="M27" s="229">
        <v>4.3E-3</v>
      </c>
      <c r="N27" s="228">
        <v>955.95</v>
      </c>
      <c r="O27" s="228">
        <v>951.15</v>
      </c>
      <c r="P27" s="228">
        <v>4.8</v>
      </c>
      <c r="Q27" s="229">
        <v>5.0000000000000001E-3</v>
      </c>
      <c r="R27" s="228">
        <v>960.6</v>
      </c>
      <c r="S27" s="228">
        <v>955.95</v>
      </c>
      <c r="T27" s="228">
        <v>4.6500000000000004</v>
      </c>
      <c r="U27" s="229">
        <v>4.8999999999999998E-3</v>
      </c>
      <c r="V27" s="228">
        <v>0</v>
      </c>
      <c r="W27" s="228">
        <v>0</v>
      </c>
      <c r="X27" s="228">
        <v>0</v>
      </c>
      <c r="Y27" s="229">
        <v>0</v>
      </c>
      <c r="Z27" s="228">
        <v>3.4</v>
      </c>
      <c r="AA27" s="228">
        <v>2.7</v>
      </c>
      <c r="AB27" s="228">
        <v>0.7</v>
      </c>
      <c r="AC27" s="229">
        <v>3.5999999999999999E-3</v>
      </c>
      <c r="AD27" s="228">
        <v>3.4</v>
      </c>
      <c r="AE27" s="228">
        <v>2.7</v>
      </c>
      <c r="AF27" s="228">
        <v>0.7</v>
      </c>
      <c r="AG27" s="229">
        <v>3.5999999999999999E-3</v>
      </c>
      <c r="AH27" s="228">
        <v>8.0500000000000007</v>
      </c>
      <c r="AI27" s="228">
        <v>7.5</v>
      </c>
      <c r="AJ27" s="228">
        <v>0.55000000000000004</v>
      </c>
      <c r="AK27" s="229">
        <v>8.5000000000000006E-3</v>
      </c>
      <c r="AL27" s="228">
        <v>0</v>
      </c>
      <c r="AM27" s="228">
        <v>0</v>
      </c>
      <c r="AN27" s="228">
        <v>0</v>
      </c>
      <c r="AO27" s="229">
        <v>0</v>
      </c>
      <c r="AP27" s="228">
        <v>952.31</v>
      </c>
      <c r="AQ27" s="228">
        <v>956.66</v>
      </c>
      <c r="AR27" s="228">
        <v>0</v>
      </c>
      <c r="AS27" s="230">
        <v>1411</v>
      </c>
      <c r="AT27" s="228">
        <v>859</v>
      </c>
      <c r="AU27" s="228">
        <v>552</v>
      </c>
      <c r="AV27" s="229">
        <v>0.64300000000000002</v>
      </c>
      <c r="AW27" s="230">
        <v>1102</v>
      </c>
      <c r="AX27" s="228">
        <v>710</v>
      </c>
      <c r="AY27" s="228">
        <v>391</v>
      </c>
      <c r="AZ27" s="229">
        <v>0.55100000000000005</v>
      </c>
      <c r="BA27" s="228">
        <v>295</v>
      </c>
      <c r="BB27" s="228">
        <v>144</v>
      </c>
      <c r="BC27" s="228">
        <v>152</v>
      </c>
      <c r="BD27" s="229">
        <v>1.0569</v>
      </c>
      <c r="BE27" s="228">
        <v>0</v>
      </c>
      <c r="BF27" s="228">
        <v>0</v>
      </c>
      <c r="BG27" s="228">
        <v>0</v>
      </c>
      <c r="BH27" s="229">
        <v>0</v>
      </c>
      <c r="BI27" s="230">
        <v>3207</v>
      </c>
      <c r="BJ27" s="230">
        <v>2312</v>
      </c>
      <c r="BK27" s="228">
        <v>895</v>
      </c>
      <c r="BL27" s="229">
        <v>0.38700000000000001</v>
      </c>
      <c r="BM27" s="230">
        <v>1927</v>
      </c>
      <c r="BN27" s="230">
        <v>1394</v>
      </c>
      <c r="BO27" s="228">
        <v>532</v>
      </c>
      <c r="BP27" s="229">
        <v>0.38159999999999999</v>
      </c>
      <c r="BQ27" s="230">
        <v>6544</v>
      </c>
      <c r="BR27" s="230">
        <v>4565</v>
      </c>
      <c r="BS27" s="230">
        <v>1979</v>
      </c>
      <c r="BT27" s="229">
        <v>0.4335</v>
      </c>
      <c r="BU27" s="230">
        <v>6770365</v>
      </c>
      <c r="BV27" s="230">
        <v>4894717</v>
      </c>
      <c r="BW27" s="230">
        <v>1875648</v>
      </c>
      <c r="BX27" s="229">
        <v>0.38319999999999999</v>
      </c>
      <c r="BY27" s="230">
        <v>8421</v>
      </c>
      <c r="BZ27" s="230">
        <v>8465</v>
      </c>
      <c r="CA27" s="228">
        <v>-44</v>
      </c>
      <c r="CB27" s="229">
        <v>-5.3E-3</v>
      </c>
      <c r="CC27" s="230">
        <v>7577</v>
      </c>
      <c r="CD27" s="230">
        <v>7746</v>
      </c>
      <c r="CE27" s="228">
        <v>-169</v>
      </c>
      <c r="CF27" s="229">
        <v>-2.18E-2</v>
      </c>
      <c r="CG27" s="228">
        <v>627</v>
      </c>
      <c r="CH27" s="228">
        <v>505</v>
      </c>
      <c r="CI27" s="228">
        <v>122</v>
      </c>
      <c r="CJ27" s="229">
        <v>0.2424</v>
      </c>
      <c r="CK27" s="228">
        <v>0</v>
      </c>
      <c r="CL27" s="228">
        <v>0</v>
      </c>
      <c r="CM27" s="228">
        <v>0</v>
      </c>
      <c r="CN27" s="229">
        <v>0</v>
      </c>
      <c r="CO27" s="230">
        <v>1946</v>
      </c>
      <c r="CP27" s="230">
        <v>1952</v>
      </c>
      <c r="CQ27" s="228">
        <v>-6</v>
      </c>
      <c r="CR27" s="229">
        <v>-3.0000000000000001E-3</v>
      </c>
      <c r="CS27" s="230">
        <v>1719</v>
      </c>
      <c r="CT27" s="230">
        <v>1660</v>
      </c>
      <c r="CU27" s="228">
        <v>58</v>
      </c>
      <c r="CV27" s="229">
        <v>3.5099999999999999E-2</v>
      </c>
      <c r="CW27" s="230">
        <v>12086</v>
      </c>
      <c r="CX27" s="230">
        <v>12078</v>
      </c>
      <c r="CY27" s="228">
        <v>8</v>
      </c>
      <c r="CZ27" s="229">
        <v>6.9999999999999999E-4</v>
      </c>
      <c r="DA27" s="228">
        <v>32.06</v>
      </c>
      <c r="DB27" s="228">
        <v>32.92</v>
      </c>
      <c r="DC27" s="228">
        <v>-0.86</v>
      </c>
      <c r="DD27" s="228">
        <v>-0.86</v>
      </c>
      <c r="DE27" s="228">
        <v>31.02</v>
      </c>
      <c r="DF27" s="228">
        <v>31.09</v>
      </c>
      <c r="DG27" s="228">
        <v>1.04</v>
      </c>
      <c r="DH27" s="228">
        <v>-7.0000000000000007E-2</v>
      </c>
      <c r="DI27" s="228">
        <v>31.48</v>
      </c>
      <c r="DJ27" s="228">
        <v>32.17</v>
      </c>
      <c r="DK27" s="228">
        <v>-0.69</v>
      </c>
      <c r="DL27" s="228">
        <v>-0.69</v>
      </c>
      <c r="DM27" s="228">
        <v>33.03</v>
      </c>
      <c r="DN27" s="228">
        <v>34.17</v>
      </c>
      <c r="DO27" s="228">
        <v>-1.1399999999999999</v>
      </c>
      <c r="DP27" s="228">
        <v>-1.1399999999999999</v>
      </c>
      <c r="DQ27" s="228">
        <v>0.88</v>
      </c>
      <c r="DR27" s="228">
        <v>0.85</v>
      </c>
      <c r="DS27" s="228">
        <v>0.03</v>
      </c>
      <c r="DT27" s="229">
        <v>3.5299999999999998E-2</v>
      </c>
      <c r="DU27" s="231">
        <v>1000</v>
      </c>
      <c r="DV27" s="228">
        <v>900</v>
      </c>
      <c r="DW27" s="228">
        <v>0.6</v>
      </c>
      <c r="DX27" s="228">
        <v>0.6</v>
      </c>
      <c r="DY27" s="228">
        <v>0</v>
      </c>
      <c r="DZ27" s="229">
        <v>0</v>
      </c>
      <c r="EA27" s="229">
        <v>7.4499999999999997E-2</v>
      </c>
      <c r="EB27" s="230">
        <v>5282250</v>
      </c>
      <c r="EC27" s="229">
        <v>4.8999999999999998E-3</v>
      </c>
      <c r="ED27" s="229">
        <v>7.4499999999999997E-2</v>
      </c>
      <c r="EE27" s="228">
        <v>4.3499999999999996</v>
      </c>
      <c r="EF27" s="229">
        <v>4.5999999999999999E-3</v>
      </c>
      <c r="EG27" s="230">
        <v>3058797</v>
      </c>
      <c r="EH27" s="230">
        <v>2462351</v>
      </c>
      <c r="EI27" s="229">
        <v>0.2422</v>
      </c>
      <c r="EJ27" s="229">
        <v>0.45179999999999998</v>
      </c>
      <c r="EK27" s="231">
        <v>3308.76</v>
      </c>
      <c r="EL27" s="231">
        <v>1886.59</v>
      </c>
      <c r="EM27" s="231">
        <v>1406.81</v>
      </c>
      <c r="EN27" s="228">
        <v>0</v>
      </c>
      <c r="EO27" s="231">
        <v>6602.16</v>
      </c>
      <c r="EP27" s="231">
        <v>4576.76</v>
      </c>
      <c r="EQ27" s="231">
        <v>2025.4</v>
      </c>
      <c r="ER27" s="229">
        <v>0.4425</v>
      </c>
      <c r="ES27" s="231">
        <v>1987.85</v>
      </c>
      <c r="ET27" s="231">
        <v>1616.38</v>
      </c>
      <c r="EU27" s="231">
        <v>8426.1299999999992</v>
      </c>
      <c r="EV27" s="231">
        <v>562142812</v>
      </c>
      <c r="EW27" s="231">
        <v>12030.36</v>
      </c>
      <c r="EX27" s="231">
        <v>11972.67</v>
      </c>
      <c r="EY27" s="228">
        <v>57.69</v>
      </c>
      <c r="EZ27" s="229">
        <v>4.7999999999999996E-3</v>
      </c>
      <c r="FA27" s="229">
        <v>0.22489999999999999</v>
      </c>
      <c r="FB27" s="227" t="s">
        <v>556</v>
      </c>
      <c r="FC27">
        <f t="shared" si="0"/>
        <v>844</v>
      </c>
    </row>
    <row r="28" spans="1:159" ht="17.25" thickBot="1" x14ac:dyDescent="0.3">
      <c r="A28" s="226">
        <v>45860</v>
      </c>
      <c r="B28" s="227" t="s">
        <v>162</v>
      </c>
      <c r="C28" s="227" t="s">
        <v>178</v>
      </c>
      <c r="D28" s="228">
        <v>300</v>
      </c>
      <c r="E28" s="228">
        <v>9</v>
      </c>
      <c r="F28" s="231">
        <v>2763.9</v>
      </c>
      <c r="G28" s="231">
        <v>2777.9</v>
      </c>
      <c r="H28" s="228">
        <v>-14</v>
      </c>
      <c r="I28" s="229">
        <v>-5.0000000000000001E-3</v>
      </c>
      <c r="J28" s="231">
        <v>2756.9</v>
      </c>
      <c r="K28" s="231">
        <v>2774</v>
      </c>
      <c r="L28" s="228">
        <v>-17.100000000000001</v>
      </c>
      <c r="M28" s="229">
        <v>-6.1999999999999998E-3</v>
      </c>
      <c r="N28" s="231">
        <v>2763.9</v>
      </c>
      <c r="O28" s="231">
        <v>2777.9</v>
      </c>
      <c r="P28" s="228">
        <v>-14</v>
      </c>
      <c r="Q28" s="229">
        <v>-5.0000000000000001E-3</v>
      </c>
      <c r="R28" s="228">
        <v>0</v>
      </c>
      <c r="S28" s="228">
        <v>0</v>
      </c>
      <c r="T28" s="228">
        <v>0</v>
      </c>
      <c r="U28" s="229">
        <v>0</v>
      </c>
      <c r="V28" s="228">
        <v>0</v>
      </c>
      <c r="W28" s="228">
        <v>0</v>
      </c>
      <c r="X28" s="228">
        <v>0</v>
      </c>
      <c r="Y28" s="229">
        <v>0</v>
      </c>
      <c r="Z28" s="228">
        <v>7</v>
      </c>
      <c r="AA28" s="228">
        <v>3.9</v>
      </c>
      <c r="AB28" s="228">
        <v>3.1</v>
      </c>
      <c r="AC28" s="229">
        <v>2.5000000000000001E-3</v>
      </c>
      <c r="AD28" s="228">
        <v>7</v>
      </c>
      <c r="AE28" s="228">
        <v>3.9</v>
      </c>
      <c r="AF28" s="228">
        <v>3.1</v>
      </c>
      <c r="AG28" s="229">
        <v>2.5000000000000001E-3</v>
      </c>
      <c r="AH28" s="228">
        <v>0</v>
      </c>
      <c r="AI28" s="228">
        <v>0</v>
      </c>
      <c r="AJ28" s="228">
        <v>0</v>
      </c>
      <c r="AK28" s="229">
        <v>0</v>
      </c>
      <c r="AL28" s="228">
        <v>0</v>
      </c>
      <c r="AM28" s="228">
        <v>0</v>
      </c>
      <c r="AN28" s="228">
        <v>0</v>
      </c>
      <c r="AO28" s="229">
        <v>0</v>
      </c>
      <c r="AP28" s="231">
        <v>2774.47</v>
      </c>
      <c r="AQ28" s="228">
        <v>0</v>
      </c>
      <c r="AR28" s="228">
        <v>0</v>
      </c>
      <c r="AS28" s="228">
        <v>127</v>
      </c>
      <c r="AT28" s="228">
        <v>122</v>
      </c>
      <c r="AU28" s="228">
        <v>5</v>
      </c>
      <c r="AV28" s="229">
        <v>4.4200000000000003E-2</v>
      </c>
      <c r="AW28" s="228">
        <v>127</v>
      </c>
      <c r="AX28" s="228">
        <v>122</v>
      </c>
      <c r="AY28" s="228">
        <v>5</v>
      </c>
      <c r="AZ28" s="229">
        <v>4.4200000000000003E-2</v>
      </c>
      <c r="BA28" s="228">
        <v>0</v>
      </c>
      <c r="BB28" s="228">
        <v>0</v>
      </c>
      <c r="BC28" s="228">
        <v>0</v>
      </c>
      <c r="BD28" s="229">
        <v>0</v>
      </c>
      <c r="BE28" s="228">
        <v>0</v>
      </c>
      <c r="BF28" s="228">
        <v>0</v>
      </c>
      <c r="BG28" s="228">
        <v>0</v>
      </c>
      <c r="BH28" s="229">
        <v>0</v>
      </c>
      <c r="BI28" s="228">
        <v>224</v>
      </c>
      <c r="BJ28" s="228">
        <v>438</v>
      </c>
      <c r="BK28" s="228">
        <v>-214</v>
      </c>
      <c r="BL28" s="229">
        <v>-0.48909999999999998</v>
      </c>
      <c r="BM28" s="228">
        <v>110</v>
      </c>
      <c r="BN28" s="228">
        <v>237</v>
      </c>
      <c r="BO28" s="228">
        <v>-127</v>
      </c>
      <c r="BP28" s="229">
        <v>-0.53549999999999998</v>
      </c>
      <c r="BQ28" s="228">
        <v>461</v>
      </c>
      <c r="BR28" s="228">
        <v>797</v>
      </c>
      <c r="BS28" s="228">
        <v>-336</v>
      </c>
      <c r="BT28" s="229">
        <v>-0.4214</v>
      </c>
      <c r="BU28" s="230">
        <v>231294</v>
      </c>
      <c r="BV28" s="230">
        <v>307602</v>
      </c>
      <c r="BW28" s="230">
        <v>-76308</v>
      </c>
      <c r="BX28" s="229">
        <v>-0.24809999999999999</v>
      </c>
      <c r="BY28" s="228">
        <v>350</v>
      </c>
      <c r="BZ28" s="228">
        <v>367</v>
      </c>
      <c r="CA28" s="228">
        <v>-17</v>
      </c>
      <c r="CB28" s="229">
        <v>-4.6300000000000001E-2</v>
      </c>
      <c r="CC28" s="228">
        <v>350</v>
      </c>
      <c r="CD28" s="228">
        <v>367</v>
      </c>
      <c r="CE28" s="228">
        <v>-17</v>
      </c>
      <c r="CF28" s="229">
        <v>-4.6300000000000001E-2</v>
      </c>
      <c r="CG28" s="228">
        <v>0</v>
      </c>
      <c r="CH28" s="228">
        <v>0</v>
      </c>
      <c r="CI28" s="228">
        <v>0</v>
      </c>
      <c r="CJ28" s="229">
        <v>0</v>
      </c>
      <c r="CK28" s="228">
        <v>0</v>
      </c>
      <c r="CL28" s="228">
        <v>0</v>
      </c>
      <c r="CM28" s="228">
        <v>0</v>
      </c>
      <c r="CN28" s="229">
        <v>0</v>
      </c>
      <c r="CO28" s="228">
        <v>407</v>
      </c>
      <c r="CP28" s="228">
        <v>422</v>
      </c>
      <c r="CQ28" s="228">
        <v>-15</v>
      </c>
      <c r="CR28" s="229">
        <v>-3.4599999999999999E-2</v>
      </c>
      <c r="CS28" s="228">
        <v>266</v>
      </c>
      <c r="CT28" s="228">
        <v>266</v>
      </c>
      <c r="CU28" s="228">
        <v>0</v>
      </c>
      <c r="CV28" s="229">
        <v>-5.9999999999999995E-4</v>
      </c>
      <c r="CW28" s="230">
        <v>1024</v>
      </c>
      <c r="CX28" s="230">
        <v>1056</v>
      </c>
      <c r="CY28" s="228">
        <v>-32</v>
      </c>
      <c r="CZ28" s="229">
        <v>-3.0099999999999998E-2</v>
      </c>
      <c r="DA28" s="228">
        <v>32.64</v>
      </c>
      <c r="DB28" s="228">
        <v>32.01</v>
      </c>
      <c r="DC28" s="228">
        <v>0.63</v>
      </c>
      <c r="DD28" s="228">
        <v>0.63</v>
      </c>
      <c r="DE28" s="228">
        <v>33.799999999999997</v>
      </c>
      <c r="DF28" s="228">
        <v>33.869999999999997</v>
      </c>
      <c r="DG28" s="228">
        <v>-1.1599999999999999</v>
      </c>
      <c r="DH28" s="228">
        <v>-7.0000000000000007E-2</v>
      </c>
      <c r="DI28" s="228">
        <v>32.75</v>
      </c>
      <c r="DJ28" s="228">
        <v>31.55</v>
      </c>
      <c r="DK28" s="228">
        <v>1.2</v>
      </c>
      <c r="DL28" s="228">
        <v>1.2</v>
      </c>
      <c r="DM28" s="228">
        <v>32.409999999999997</v>
      </c>
      <c r="DN28" s="228">
        <v>32.869999999999997</v>
      </c>
      <c r="DO28" s="228">
        <v>-0.46</v>
      </c>
      <c r="DP28" s="228">
        <v>-0.46</v>
      </c>
      <c r="DQ28" s="228">
        <v>0.65</v>
      </c>
      <c r="DR28" s="228">
        <v>0.63</v>
      </c>
      <c r="DS28" s="228">
        <v>0.02</v>
      </c>
      <c r="DT28" s="229">
        <v>3.1699999999999999E-2</v>
      </c>
      <c r="DU28" s="231">
        <v>2700</v>
      </c>
      <c r="DV28" s="231">
        <v>2700</v>
      </c>
      <c r="DW28" s="228">
        <v>0.49</v>
      </c>
      <c r="DX28" s="228">
        <v>0.54</v>
      </c>
      <c r="DY28" s="228">
        <v>-0.05</v>
      </c>
      <c r="DZ28" s="229">
        <v>-9.2600000000000002E-2</v>
      </c>
      <c r="EA28" s="229">
        <v>0</v>
      </c>
      <c r="EB28" s="228">
        <v>0</v>
      </c>
      <c r="EC28" s="229">
        <v>0</v>
      </c>
      <c r="ED28" s="229">
        <v>0</v>
      </c>
      <c r="EE28" s="228">
        <v>0</v>
      </c>
      <c r="EF28" s="229">
        <v>0</v>
      </c>
      <c r="EG28" s="230">
        <v>98615</v>
      </c>
      <c r="EH28" s="230">
        <v>113197</v>
      </c>
      <c r="EI28" s="229">
        <v>-0.1288</v>
      </c>
      <c r="EJ28" s="229">
        <v>0.4264</v>
      </c>
      <c r="EK28" s="228">
        <v>232.26</v>
      </c>
      <c r="EL28" s="228">
        <v>107.68</v>
      </c>
      <c r="EM28" s="228">
        <v>127.76</v>
      </c>
      <c r="EN28" s="228">
        <v>0</v>
      </c>
      <c r="EO28" s="228">
        <v>467.7</v>
      </c>
      <c r="EP28" s="228">
        <v>806.96</v>
      </c>
      <c r="EQ28" s="228">
        <v>-339.27</v>
      </c>
      <c r="ER28" s="229">
        <v>-0.4204</v>
      </c>
      <c r="ES28" s="228">
        <v>403.2</v>
      </c>
      <c r="ET28" s="228">
        <v>249.59</v>
      </c>
      <c r="EU28" s="228">
        <v>350.49</v>
      </c>
      <c r="EV28" s="231">
        <v>16125398</v>
      </c>
      <c r="EW28" s="231">
        <v>1003.28</v>
      </c>
      <c r="EX28" s="231">
        <v>1037.1099999999999</v>
      </c>
      <c r="EY28" s="228">
        <v>-33.83</v>
      </c>
      <c r="EZ28" s="229">
        <v>-3.2599999999999997E-2</v>
      </c>
      <c r="FA28" s="229">
        <v>0.22969999999999999</v>
      </c>
      <c r="FB28" s="227" t="s">
        <v>568</v>
      </c>
      <c r="FC28">
        <f t="shared" si="0"/>
        <v>0</v>
      </c>
    </row>
    <row r="29" spans="1:159" s="195" customFormat="1" ht="17.25" thickBot="1" x14ac:dyDescent="0.3">
      <c r="A29" s="226">
        <v>45860</v>
      </c>
      <c r="B29" s="227" t="s">
        <v>172</v>
      </c>
      <c r="C29" s="227" t="s">
        <v>179</v>
      </c>
      <c r="D29" s="228">
        <v>3600</v>
      </c>
      <c r="E29" s="228">
        <v>9</v>
      </c>
      <c r="F29" s="228">
        <v>181.38</v>
      </c>
      <c r="G29" s="228">
        <v>182.52</v>
      </c>
      <c r="H29" s="228">
        <v>-1.1399999999999999</v>
      </c>
      <c r="I29" s="229">
        <v>-6.1999999999999998E-3</v>
      </c>
      <c r="J29" s="228">
        <v>180.94</v>
      </c>
      <c r="K29" s="228">
        <v>182.25</v>
      </c>
      <c r="L29" s="228">
        <v>-1.31</v>
      </c>
      <c r="M29" s="229">
        <v>-7.1999999999999998E-3</v>
      </c>
      <c r="N29" s="228">
        <v>181.38</v>
      </c>
      <c r="O29" s="228">
        <v>182.52</v>
      </c>
      <c r="P29" s="228">
        <v>-1.1399999999999999</v>
      </c>
      <c r="Q29" s="229">
        <v>-6.1999999999999998E-3</v>
      </c>
      <c r="R29" s="228">
        <v>181.56</v>
      </c>
      <c r="S29" s="228">
        <v>181.72</v>
      </c>
      <c r="T29" s="228">
        <v>-0.16</v>
      </c>
      <c r="U29" s="229">
        <v>-8.9999999999999998E-4</v>
      </c>
      <c r="V29" s="228">
        <v>0</v>
      </c>
      <c r="W29" s="228">
        <v>0</v>
      </c>
      <c r="X29" s="228">
        <v>0</v>
      </c>
      <c r="Y29" s="229">
        <v>0</v>
      </c>
      <c r="Z29" s="228">
        <v>0.44</v>
      </c>
      <c r="AA29" s="228">
        <v>0.27</v>
      </c>
      <c r="AB29" s="228">
        <v>0.17</v>
      </c>
      <c r="AC29" s="229">
        <v>2.3999999999999998E-3</v>
      </c>
      <c r="AD29" s="228">
        <v>0.44</v>
      </c>
      <c r="AE29" s="228">
        <v>0.27</v>
      </c>
      <c r="AF29" s="228">
        <v>0.17</v>
      </c>
      <c r="AG29" s="229">
        <v>2.3999999999999998E-3</v>
      </c>
      <c r="AH29" s="228">
        <v>0.62</v>
      </c>
      <c r="AI29" s="228">
        <v>-0.53</v>
      </c>
      <c r="AJ29" s="228">
        <v>1.1499999999999999</v>
      </c>
      <c r="AK29" s="229">
        <v>3.3999999999999998E-3</v>
      </c>
      <c r="AL29" s="228">
        <v>0</v>
      </c>
      <c r="AM29" s="228">
        <v>0</v>
      </c>
      <c r="AN29" s="228">
        <v>0</v>
      </c>
      <c r="AO29" s="229">
        <v>0</v>
      </c>
      <c r="AP29" s="228">
        <v>180.9</v>
      </c>
      <c r="AQ29" s="228">
        <v>180.87</v>
      </c>
      <c r="AR29" s="228">
        <v>0</v>
      </c>
      <c r="AS29" s="228">
        <v>70</v>
      </c>
      <c r="AT29" s="228">
        <v>166</v>
      </c>
      <c r="AU29" s="228">
        <v>-97</v>
      </c>
      <c r="AV29" s="229">
        <v>-0.58099999999999996</v>
      </c>
      <c r="AW29" s="228">
        <v>45</v>
      </c>
      <c r="AX29" s="228">
        <v>144</v>
      </c>
      <c r="AY29" s="228">
        <v>-98</v>
      </c>
      <c r="AZ29" s="229">
        <v>-0.6855</v>
      </c>
      <c r="BA29" s="228">
        <v>24</v>
      </c>
      <c r="BB29" s="228">
        <v>22</v>
      </c>
      <c r="BC29" s="228">
        <v>2</v>
      </c>
      <c r="BD29" s="229">
        <v>0.1</v>
      </c>
      <c r="BE29" s="228">
        <v>0</v>
      </c>
      <c r="BF29" s="228">
        <v>0</v>
      </c>
      <c r="BG29" s="228">
        <v>0</v>
      </c>
      <c r="BH29" s="229">
        <v>0</v>
      </c>
      <c r="BI29" s="228">
        <v>44</v>
      </c>
      <c r="BJ29" s="228">
        <v>203</v>
      </c>
      <c r="BK29" s="228">
        <v>-159</v>
      </c>
      <c r="BL29" s="229">
        <v>-0.7823</v>
      </c>
      <c r="BM29" s="228">
        <v>15</v>
      </c>
      <c r="BN29" s="228">
        <v>110</v>
      </c>
      <c r="BO29" s="228">
        <v>-95</v>
      </c>
      <c r="BP29" s="229">
        <v>-0.86350000000000005</v>
      </c>
      <c r="BQ29" s="228">
        <v>129</v>
      </c>
      <c r="BR29" s="228">
        <v>480</v>
      </c>
      <c r="BS29" s="228">
        <v>-351</v>
      </c>
      <c r="BT29" s="229">
        <v>-0.73109999999999997</v>
      </c>
      <c r="BU29" s="230">
        <v>7050585</v>
      </c>
      <c r="BV29" s="230">
        <v>18002666</v>
      </c>
      <c r="BW29" s="230">
        <v>-10952081</v>
      </c>
      <c r="BX29" s="229">
        <v>-0.60840000000000005</v>
      </c>
      <c r="BY29" s="230">
        <v>1928</v>
      </c>
      <c r="BZ29" s="230">
        <v>1997</v>
      </c>
      <c r="CA29" s="228">
        <v>-69</v>
      </c>
      <c r="CB29" s="229">
        <v>-3.4599999999999999E-2</v>
      </c>
      <c r="CC29" s="230">
        <v>1206</v>
      </c>
      <c r="CD29" s="230">
        <v>1251</v>
      </c>
      <c r="CE29" s="228">
        <v>-45</v>
      </c>
      <c r="CF29" s="229">
        <v>-3.56E-2</v>
      </c>
      <c r="CG29" s="228">
        <v>703</v>
      </c>
      <c r="CH29" s="228">
        <v>727</v>
      </c>
      <c r="CI29" s="228">
        <v>-24</v>
      </c>
      <c r="CJ29" s="229">
        <v>-3.3599999999999998E-2</v>
      </c>
      <c r="CK29" s="228">
        <v>0</v>
      </c>
      <c r="CL29" s="228">
        <v>0</v>
      </c>
      <c r="CM29" s="228">
        <v>0</v>
      </c>
      <c r="CN29" s="229">
        <v>0</v>
      </c>
      <c r="CO29" s="228">
        <v>702</v>
      </c>
      <c r="CP29" s="228">
        <v>746</v>
      </c>
      <c r="CQ29" s="228">
        <v>-44</v>
      </c>
      <c r="CR29" s="229">
        <v>-5.9200000000000003E-2</v>
      </c>
      <c r="CS29" s="228">
        <v>394</v>
      </c>
      <c r="CT29" s="228">
        <v>409</v>
      </c>
      <c r="CU29" s="228">
        <v>-15</v>
      </c>
      <c r="CV29" s="229">
        <v>-3.6700000000000003E-2</v>
      </c>
      <c r="CW29" s="230">
        <v>3024</v>
      </c>
      <c r="CX29" s="230">
        <v>3153</v>
      </c>
      <c r="CY29" s="228">
        <v>-128</v>
      </c>
      <c r="CZ29" s="229">
        <v>-4.07E-2</v>
      </c>
      <c r="DA29" s="228">
        <v>33.49</v>
      </c>
      <c r="DB29" s="228">
        <v>34.619999999999997</v>
      </c>
      <c r="DC29" s="228">
        <v>-1.1299999999999999</v>
      </c>
      <c r="DD29" s="228">
        <v>-1.1299999999999999</v>
      </c>
      <c r="DE29" s="228">
        <v>44.49</v>
      </c>
      <c r="DF29" s="228">
        <v>44.59</v>
      </c>
      <c r="DG29" s="228">
        <v>-11</v>
      </c>
      <c r="DH29" s="228">
        <v>-0.1</v>
      </c>
      <c r="DI29" s="228">
        <v>33.92</v>
      </c>
      <c r="DJ29" s="228">
        <v>34.54</v>
      </c>
      <c r="DK29" s="228">
        <v>-0.62</v>
      </c>
      <c r="DL29" s="228">
        <v>-0.62</v>
      </c>
      <c r="DM29" s="228">
        <v>32.22</v>
      </c>
      <c r="DN29" s="228">
        <v>34.76</v>
      </c>
      <c r="DO29" s="228">
        <v>-2.54</v>
      </c>
      <c r="DP29" s="228">
        <v>-2.54</v>
      </c>
      <c r="DQ29" s="228">
        <v>0.56000000000000005</v>
      </c>
      <c r="DR29" s="228">
        <v>0.55000000000000004</v>
      </c>
      <c r="DS29" s="228">
        <v>0.01</v>
      </c>
      <c r="DT29" s="229">
        <v>1.8200000000000001E-2</v>
      </c>
      <c r="DU29" s="228">
        <v>190</v>
      </c>
      <c r="DV29" s="228">
        <v>180</v>
      </c>
      <c r="DW29" s="228">
        <v>0.34</v>
      </c>
      <c r="DX29" s="228">
        <v>0.54</v>
      </c>
      <c r="DY29" s="228">
        <v>-0.2</v>
      </c>
      <c r="DZ29" s="229">
        <v>-0.37040000000000001</v>
      </c>
      <c r="EA29" s="229">
        <v>0.36449999999999999</v>
      </c>
      <c r="EB29" s="230">
        <v>40093200</v>
      </c>
      <c r="EC29" s="229">
        <v>1E-3</v>
      </c>
      <c r="ED29" s="229">
        <v>0.36449999999999999</v>
      </c>
      <c r="EE29" s="228">
        <v>-0.03</v>
      </c>
      <c r="EF29" s="229">
        <v>-2.0000000000000001E-4</v>
      </c>
      <c r="EG29" s="230">
        <v>2925883</v>
      </c>
      <c r="EH29" s="230">
        <v>6961328</v>
      </c>
      <c r="EI29" s="229">
        <v>-0.57969999999999999</v>
      </c>
      <c r="EJ29" s="229">
        <v>0.41499999999999998</v>
      </c>
      <c r="EK29" s="228">
        <v>47.07</v>
      </c>
      <c r="EL29" s="228">
        <v>15.19</v>
      </c>
      <c r="EM29" s="228">
        <v>69.55</v>
      </c>
      <c r="EN29" s="228">
        <v>0</v>
      </c>
      <c r="EO29" s="228">
        <v>131.82</v>
      </c>
      <c r="EP29" s="228">
        <v>495.07</v>
      </c>
      <c r="EQ29" s="228">
        <v>-363.25</v>
      </c>
      <c r="ER29" s="229">
        <v>-0.73370000000000002</v>
      </c>
      <c r="ES29" s="228">
        <v>743.97</v>
      </c>
      <c r="ET29" s="228">
        <v>384.88</v>
      </c>
      <c r="EU29" s="231">
        <v>1928.68</v>
      </c>
      <c r="EV29" s="231">
        <v>193371109</v>
      </c>
      <c r="EW29" s="231">
        <v>3057.52</v>
      </c>
      <c r="EX29" s="231">
        <v>3196.7</v>
      </c>
      <c r="EY29" s="228">
        <v>-139.18</v>
      </c>
      <c r="EZ29" s="229">
        <v>-4.3499999999999997E-2</v>
      </c>
      <c r="FA29" s="229">
        <v>0.86229999999999996</v>
      </c>
      <c r="FB29" s="227" t="s">
        <v>568</v>
      </c>
      <c r="FC29" s="195">
        <f t="shared" si="0"/>
        <v>722</v>
      </c>
    </row>
    <row r="30" spans="1:159" ht="17.25" thickBot="1" x14ac:dyDescent="0.3">
      <c r="A30" s="226">
        <v>45860</v>
      </c>
      <c r="B30" s="227" t="s">
        <v>172</v>
      </c>
      <c r="C30" s="227" t="s">
        <v>180</v>
      </c>
      <c r="D30" s="228">
        <v>2925</v>
      </c>
      <c r="E30" s="228">
        <v>9</v>
      </c>
      <c r="F30" s="228">
        <v>239.72</v>
      </c>
      <c r="G30" s="228">
        <v>244.08</v>
      </c>
      <c r="H30" s="228">
        <v>-4.3600000000000003</v>
      </c>
      <c r="I30" s="229">
        <v>-1.7899999999999999E-2</v>
      </c>
      <c r="J30" s="228">
        <v>239.48</v>
      </c>
      <c r="K30" s="228">
        <v>243.39</v>
      </c>
      <c r="L30" s="228">
        <v>-3.91</v>
      </c>
      <c r="M30" s="229">
        <v>-1.61E-2</v>
      </c>
      <c r="N30" s="228">
        <v>239.72</v>
      </c>
      <c r="O30" s="228">
        <v>244.08</v>
      </c>
      <c r="P30" s="228">
        <v>-4.3600000000000003</v>
      </c>
      <c r="Q30" s="229">
        <v>-1.7899999999999999E-2</v>
      </c>
      <c r="R30" s="228">
        <v>240.9</v>
      </c>
      <c r="S30" s="228">
        <v>245.26</v>
      </c>
      <c r="T30" s="228">
        <v>-4.3600000000000003</v>
      </c>
      <c r="U30" s="229">
        <v>-1.78E-2</v>
      </c>
      <c r="V30" s="228">
        <v>0</v>
      </c>
      <c r="W30" s="228">
        <v>0</v>
      </c>
      <c r="X30" s="228">
        <v>0</v>
      </c>
      <c r="Y30" s="229">
        <v>0</v>
      </c>
      <c r="Z30" s="228">
        <v>0.24</v>
      </c>
      <c r="AA30" s="228">
        <v>0.69</v>
      </c>
      <c r="AB30" s="228">
        <v>-0.45</v>
      </c>
      <c r="AC30" s="229">
        <v>1E-3</v>
      </c>
      <c r="AD30" s="228">
        <v>0.24</v>
      </c>
      <c r="AE30" s="228">
        <v>0.69</v>
      </c>
      <c r="AF30" s="228">
        <v>-0.45</v>
      </c>
      <c r="AG30" s="229">
        <v>1E-3</v>
      </c>
      <c r="AH30" s="228">
        <v>1.42</v>
      </c>
      <c r="AI30" s="228">
        <v>1.87</v>
      </c>
      <c r="AJ30" s="228">
        <v>-0.45</v>
      </c>
      <c r="AK30" s="229">
        <v>5.8999999999999999E-3</v>
      </c>
      <c r="AL30" s="228">
        <v>0</v>
      </c>
      <c r="AM30" s="228">
        <v>0</v>
      </c>
      <c r="AN30" s="228">
        <v>0</v>
      </c>
      <c r="AO30" s="229">
        <v>0</v>
      </c>
      <c r="AP30" s="228">
        <v>241.5</v>
      </c>
      <c r="AQ30" s="228">
        <v>242.68</v>
      </c>
      <c r="AR30" s="228">
        <v>0</v>
      </c>
      <c r="AS30" s="228">
        <v>625</v>
      </c>
      <c r="AT30" s="228">
        <v>613</v>
      </c>
      <c r="AU30" s="228">
        <v>12</v>
      </c>
      <c r="AV30" s="229">
        <v>2.01E-2</v>
      </c>
      <c r="AW30" s="228">
        <v>478</v>
      </c>
      <c r="AX30" s="228">
        <v>454</v>
      </c>
      <c r="AY30" s="228">
        <v>24</v>
      </c>
      <c r="AZ30" s="229">
        <v>5.3400000000000003E-2</v>
      </c>
      <c r="BA30" s="228">
        <v>141</v>
      </c>
      <c r="BB30" s="228">
        <v>155</v>
      </c>
      <c r="BC30" s="228">
        <v>-14</v>
      </c>
      <c r="BD30" s="229">
        <v>-8.9499999999999996E-2</v>
      </c>
      <c r="BE30" s="228">
        <v>0</v>
      </c>
      <c r="BF30" s="228">
        <v>0</v>
      </c>
      <c r="BG30" s="228">
        <v>0</v>
      </c>
      <c r="BH30" s="229">
        <v>0</v>
      </c>
      <c r="BI30" s="230">
        <v>1317</v>
      </c>
      <c r="BJ30" s="230">
        <v>1038</v>
      </c>
      <c r="BK30" s="228">
        <v>279</v>
      </c>
      <c r="BL30" s="229">
        <v>0.26860000000000001</v>
      </c>
      <c r="BM30" s="230">
        <v>1232</v>
      </c>
      <c r="BN30" s="228">
        <v>751</v>
      </c>
      <c r="BO30" s="228">
        <v>481</v>
      </c>
      <c r="BP30" s="229">
        <v>0.6411</v>
      </c>
      <c r="BQ30" s="230">
        <v>3174</v>
      </c>
      <c r="BR30" s="230">
        <v>2402</v>
      </c>
      <c r="BS30" s="228">
        <v>772</v>
      </c>
      <c r="BT30" s="229">
        <v>0.3216</v>
      </c>
      <c r="BU30" s="230">
        <v>7868161</v>
      </c>
      <c r="BV30" s="230">
        <v>5290829</v>
      </c>
      <c r="BW30" s="230">
        <v>2577332</v>
      </c>
      <c r="BX30" s="229">
        <v>0.48709999999999998</v>
      </c>
      <c r="BY30" s="230">
        <v>2508</v>
      </c>
      <c r="BZ30" s="230">
        <v>2481</v>
      </c>
      <c r="CA30" s="228">
        <v>27</v>
      </c>
      <c r="CB30" s="229">
        <v>1.09E-2</v>
      </c>
      <c r="CC30" s="230">
        <v>2050</v>
      </c>
      <c r="CD30" s="230">
        <v>2081</v>
      </c>
      <c r="CE30" s="228">
        <v>-31</v>
      </c>
      <c r="CF30" s="229">
        <v>-1.4999999999999999E-2</v>
      </c>
      <c r="CG30" s="228">
        <v>443</v>
      </c>
      <c r="CH30" s="228">
        <v>389</v>
      </c>
      <c r="CI30" s="228">
        <v>55</v>
      </c>
      <c r="CJ30" s="229">
        <v>0.1411</v>
      </c>
      <c r="CK30" s="228">
        <v>0</v>
      </c>
      <c r="CL30" s="228">
        <v>0</v>
      </c>
      <c r="CM30" s="228">
        <v>0</v>
      </c>
      <c r="CN30" s="229">
        <v>0</v>
      </c>
      <c r="CO30" s="230">
        <v>1193</v>
      </c>
      <c r="CP30" s="230">
        <v>1161</v>
      </c>
      <c r="CQ30" s="228">
        <v>32</v>
      </c>
      <c r="CR30" s="229">
        <v>2.76E-2</v>
      </c>
      <c r="CS30" s="230">
        <v>1044</v>
      </c>
      <c r="CT30" s="230">
        <v>1006</v>
      </c>
      <c r="CU30" s="228">
        <v>38</v>
      </c>
      <c r="CV30" s="229">
        <v>3.7400000000000003E-2</v>
      </c>
      <c r="CW30" s="230">
        <v>4745</v>
      </c>
      <c r="CX30" s="230">
        <v>4649</v>
      </c>
      <c r="CY30" s="228">
        <v>97</v>
      </c>
      <c r="CZ30" s="229">
        <v>2.0799999999999999E-2</v>
      </c>
      <c r="DA30" s="228">
        <v>35.94</v>
      </c>
      <c r="DB30" s="228">
        <v>34</v>
      </c>
      <c r="DC30" s="228">
        <v>1.94</v>
      </c>
      <c r="DD30" s="228">
        <v>1.94</v>
      </c>
      <c r="DE30" s="228">
        <v>38.659999999999997</v>
      </c>
      <c r="DF30" s="228">
        <v>38.68</v>
      </c>
      <c r="DG30" s="228">
        <v>-2.72</v>
      </c>
      <c r="DH30" s="228">
        <v>-0.02</v>
      </c>
      <c r="DI30" s="228">
        <v>36.130000000000003</v>
      </c>
      <c r="DJ30" s="228">
        <v>34.01</v>
      </c>
      <c r="DK30" s="228">
        <v>2.12</v>
      </c>
      <c r="DL30" s="228">
        <v>2.12</v>
      </c>
      <c r="DM30" s="228">
        <v>35.729999999999997</v>
      </c>
      <c r="DN30" s="228">
        <v>34</v>
      </c>
      <c r="DO30" s="228">
        <v>1.73</v>
      </c>
      <c r="DP30" s="228">
        <v>1.73</v>
      </c>
      <c r="DQ30" s="228">
        <v>0.87</v>
      </c>
      <c r="DR30" s="228">
        <v>0.87</v>
      </c>
      <c r="DS30" s="228">
        <v>0</v>
      </c>
      <c r="DT30" s="229">
        <v>0</v>
      </c>
      <c r="DU30" s="228">
        <v>250</v>
      </c>
      <c r="DV30" s="228">
        <v>220</v>
      </c>
      <c r="DW30" s="228">
        <v>0.94</v>
      </c>
      <c r="DX30" s="228">
        <v>0.72</v>
      </c>
      <c r="DY30" s="228">
        <v>0.22</v>
      </c>
      <c r="DZ30" s="229">
        <v>0.30559999999999998</v>
      </c>
      <c r="EA30" s="229">
        <v>0.17680000000000001</v>
      </c>
      <c r="EB30" s="230">
        <v>16213275</v>
      </c>
      <c r="EC30" s="229">
        <v>4.8999999999999998E-3</v>
      </c>
      <c r="ED30" s="229">
        <v>0.17680000000000001</v>
      </c>
      <c r="EE30" s="228">
        <v>1.18</v>
      </c>
      <c r="EF30" s="229">
        <v>4.8999999999999998E-3</v>
      </c>
      <c r="EG30" s="230">
        <v>4177772</v>
      </c>
      <c r="EH30" s="230">
        <v>2141734</v>
      </c>
      <c r="EI30" s="229">
        <v>0.9506</v>
      </c>
      <c r="EJ30" s="229">
        <v>0.53100000000000003</v>
      </c>
      <c r="EK30" s="231">
        <v>1378.16</v>
      </c>
      <c r="EL30" s="231">
        <v>1259.6300000000001</v>
      </c>
      <c r="EM30" s="228">
        <v>630.5</v>
      </c>
      <c r="EN30" s="228">
        <v>0</v>
      </c>
      <c r="EO30" s="231">
        <v>3268.29</v>
      </c>
      <c r="EP30" s="231">
        <v>2490.0700000000002</v>
      </c>
      <c r="EQ30" s="228">
        <v>778.22</v>
      </c>
      <c r="ER30" s="229">
        <v>0.3125</v>
      </c>
      <c r="ES30" s="231">
        <v>1241.44</v>
      </c>
      <c r="ET30" s="231">
        <v>1034.7</v>
      </c>
      <c r="EU30" s="231">
        <v>2510.52</v>
      </c>
      <c r="EV30" s="231">
        <v>372635498</v>
      </c>
      <c r="EW30" s="231">
        <v>4786.67</v>
      </c>
      <c r="EX30" s="231">
        <v>4735.37</v>
      </c>
      <c r="EY30" s="228">
        <v>51.3</v>
      </c>
      <c r="EZ30" s="229">
        <v>1.0800000000000001E-2</v>
      </c>
      <c r="FA30" s="229">
        <v>0.53120000000000001</v>
      </c>
      <c r="FB30" s="227" t="s">
        <v>567</v>
      </c>
      <c r="FC30">
        <f t="shared" si="0"/>
        <v>458</v>
      </c>
    </row>
    <row r="31" spans="1:159" ht="17.25" thickBot="1" x14ac:dyDescent="0.3">
      <c r="A31" s="226">
        <v>45860</v>
      </c>
      <c r="B31" s="227" t="s">
        <v>172</v>
      </c>
      <c r="C31" s="227" t="s">
        <v>603</v>
      </c>
      <c r="D31" s="228">
        <v>5200</v>
      </c>
      <c r="E31" s="228">
        <v>9</v>
      </c>
      <c r="F31" s="228">
        <v>113.16</v>
      </c>
      <c r="G31" s="228">
        <v>114.79</v>
      </c>
      <c r="H31" s="228">
        <v>-1.63</v>
      </c>
      <c r="I31" s="229">
        <v>-1.4200000000000001E-2</v>
      </c>
      <c r="J31" s="228">
        <v>113.13</v>
      </c>
      <c r="K31" s="228">
        <v>114.67</v>
      </c>
      <c r="L31" s="228">
        <v>-1.54</v>
      </c>
      <c r="M31" s="229">
        <v>-1.34E-2</v>
      </c>
      <c r="N31" s="228">
        <v>113.16</v>
      </c>
      <c r="O31" s="228">
        <v>114.79</v>
      </c>
      <c r="P31" s="228">
        <v>-1.63</v>
      </c>
      <c r="Q31" s="229">
        <v>-1.4200000000000001E-2</v>
      </c>
      <c r="R31" s="228">
        <v>113.76</v>
      </c>
      <c r="S31" s="228">
        <v>115.39</v>
      </c>
      <c r="T31" s="228">
        <v>-1.63</v>
      </c>
      <c r="U31" s="229">
        <v>-1.41E-2</v>
      </c>
      <c r="V31" s="228">
        <v>0</v>
      </c>
      <c r="W31" s="228">
        <v>0</v>
      </c>
      <c r="X31" s="228">
        <v>0</v>
      </c>
      <c r="Y31" s="229">
        <v>0</v>
      </c>
      <c r="Z31" s="228">
        <v>0.03</v>
      </c>
      <c r="AA31" s="228">
        <v>0.12</v>
      </c>
      <c r="AB31" s="228">
        <v>-0.09</v>
      </c>
      <c r="AC31" s="229">
        <v>2.9999999999999997E-4</v>
      </c>
      <c r="AD31" s="228">
        <v>0.03</v>
      </c>
      <c r="AE31" s="228">
        <v>0.12</v>
      </c>
      <c r="AF31" s="228">
        <v>-0.09</v>
      </c>
      <c r="AG31" s="229">
        <v>2.9999999999999997E-4</v>
      </c>
      <c r="AH31" s="228">
        <v>0.63</v>
      </c>
      <c r="AI31" s="228">
        <v>0.72</v>
      </c>
      <c r="AJ31" s="228">
        <v>-0.09</v>
      </c>
      <c r="AK31" s="229">
        <v>5.5999999999999999E-3</v>
      </c>
      <c r="AL31" s="228">
        <v>0</v>
      </c>
      <c r="AM31" s="228">
        <v>0</v>
      </c>
      <c r="AN31" s="228">
        <v>0</v>
      </c>
      <c r="AO31" s="229">
        <v>0</v>
      </c>
      <c r="AP31" s="228">
        <v>113.76</v>
      </c>
      <c r="AQ31" s="228">
        <v>114.4</v>
      </c>
      <c r="AR31" s="228">
        <v>0</v>
      </c>
      <c r="AS31" s="228">
        <v>144</v>
      </c>
      <c r="AT31" s="228">
        <v>137</v>
      </c>
      <c r="AU31" s="228">
        <v>7</v>
      </c>
      <c r="AV31" s="229">
        <v>4.7600000000000003E-2</v>
      </c>
      <c r="AW31" s="228">
        <v>101</v>
      </c>
      <c r="AX31" s="228">
        <v>114</v>
      </c>
      <c r="AY31" s="228">
        <v>-13</v>
      </c>
      <c r="AZ31" s="229">
        <v>-0.1163</v>
      </c>
      <c r="BA31" s="228">
        <v>40</v>
      </c>
      <c r="BB31" s="228">
        <v>22</v>
      </c>
      <c r="BC31" s="228">
        <v>18</v>
      </c>
      <c r="BD31" s="229">
        <v>0.84240000000000004</v>
      </c>
      <c r="BE31" s="228">
        <v>0</v>
      </c>
      <c r="BF31" s="228">
        <v>0</v>
      </c>
      <c r="BG31" s="228">
        <v>0</v>
      </c>
      <c r="BH31" s="229">
        <v>0</v>
      </c>
      <c r="BI31" s="228">
        <v>137</v>
      </c>
      <c r="BJ31" s="228">
        <v>258</v>
      </c>
      <c r="BK31" s="228">
        <v>-121</v>
      </c>
      <c r="BL31" s="229">
        <v>-0.47</v>
      </c>
      <c r="BM31" s="228">
        <v>63</v>
      </c>
      <c r="BN31" s="228">
        <v>120</v>
      </c>
      <c r="BO31" s="228">
        <v>-56</v>
      </c>
      <c r="BP31" s="229">
        <v>-0.46949999999999997</v>
      </c>
      <c r="BQ31" s="228">
        <v>344</v>
      </c>
      <c r="BR31" s="228">
        <v>514</v>
      </c>
      <c r="BS31" s="228">
        <v>-171</v>
      </c>
      <c r="BT31" s="229">
        <v>-0.33189999999999997</v>
      </c>
      <c r="BU31" s="230">
        <v>4815528</v>
      </c>
      <c r="BV31" s="230">
        <v>3995506</v>
      </c>
      <c r="BW31" s="230">
        <v>820022</v>
      </c>
      <c r="BX31" s="229">
        <v>0.20519999999999999</v>
      </c>
      <c r="BY31" s="228">
        <v>821</v>
      </c>
      <c r="BZ31" s="228">
        <v>807</v>
      </c>
      <c r="CA31" s="228">
        <v>14</v>
      </c>
      <c r="CB31" s="229">
        <v>1.7299999999999999E-2</v>
      </c>
      <c r="CC31" s="228">
        <v>703</v>
      </c>
      <c r="CD31" s="228">
        <v>718</v>
      </c>
      <c r="CE31" s="228">
        <v>-15</v>
      </c>
      <c r="CF31" s="229">
        <v>-2.07E-2</v>
      </c>
      <c r="CG31" s="228">
        <v>109</v>
      </c>
      <c r="CH31" s="228">
        <v>82</v>
      </c>
      <c r="CI31" s="228">
        <v>27</v>
      </c>
      <c r="CJ31" s="229">
        <v>0.33210000000000001</v>
      </c>
      <c r="CK31" s="228">
        <v>0</v>
      </c>
      <c r="CL31" s="228">
        <v>0</v>
      </c>
      <c r="CM31" s="228">
        <v>0</v>
      </c>
      <c r="CN31" s="229">
        <v>0</v>
      </c>
      <c r="CO31" s="228">
        <v>421</v>
      </c>
      <c r="CP31" s="228">
        <v>434</v>
      </c>
      <c r="CQ31" s="228">
        <v>-13</v>
      </c>
      <c r="CR31" s="229">
        <v>-3.0599999999999999E-2</v>
      </c>
      <c r="CS31" s="228">
        <v>255</v>
      </c>
      <c r="CT31" s="228">
        <v>253</v>
      </c>
      <c r="CU31" s="228">
        <v>2</v>
      </c>
      <c r="CV31" s="229">
        <v>8.0999999999999996E-3</v>
      </c>
      <c r="CW31" s="230">
        <v>1497</v>
      </c>
      <c r="CX31" s="230">
        <v>1495</v>
      </c>
      <c r="CY31" s="228">
        <v>3</v>
      </c>
      <c r="CZ31" s="229">
        <v>1.8E-3</v>
      </c>
      <c r="DA31" s="228">
        <v>37.85</v>
      </c>
      <c r="DB31" s="228">
        <v>36.11</v>
      </c>
      <c r="DC31" s="228">
        <v>1.74</v>
      </c>
      <c r="DD31" s="228">
        <v>1.74</v>
      </c>
      <c r="DE31" s="228">
        <v>42.57</v>
      </c>
      <c r="DF31" s="228">
        <v>42.63</v>
      </c>
      <c r="DG31" s="228">
        <v>-4.72</v>
      </c>
      <c r="DH31" s="228">
        <v>-0.06</v>
      </c>
      <c r="DI31" s="228">
        <v>38.94</v>
      </c>
      <c r="DJ31" s="228">
        <v>36.64</v>
      </c>
      <c r="DK31" s="228">
        <v>2.2999999999999998</v>
      </c>
      <c r="DL31" s="228">
        <v>2.2999999999999998</v>
      </c>
      <c r="DM31" s="228">
        <v>35.51</v>
      </c>
      <c r="DN31" s="228">
        <v>34.96</v>
      </c>
      <c r="DO31" s="228">
        <v>0.55000000000000004</v>
      </c>
      <c r="DP31" s="228">
        <v>0.55000000000000004</v>
      </c>
      <c r="DQ31" s="228">
        <v>0.61</v>
      </c>
      <c r="DR31" s="228">
        <v>0.57999999999999996</v>
      </c>
      <c r="DS31" s="228">
        <v>0.03</v>
      </c>
      <c r="DT31" s="229">
        <v>5.1700000000000003E-2</v>
      </c>
      <c r="DU31" s="228">
        <v>120</v>
      </c>
      <c r="DV31" s="228">
        <v>115</v>
      </c>
      <c r="DW31" s="228">
        <v>0.46</v>
      </c>
      <c r="DX31" s="228">
        <v>0.46</v>
      </c>
      <c r="DY31" s="228">
        <v>0</v>
      </c>
      <c r="DZ31" s="229">
        <v>0</v>
      </c>
      <c r="EA31" s="229">
        <v>0.13250000000000001</v>
      </c>
      <c r="EB31" s="230">
        <v>7217600</v>
      </c>
      <c r="EC31" s="229">
        <v>5.3E-3</v>
      </c>
      <c r="ED31" s="229">
        <v>0.13250000000000001</v>
      </c>
      <c r="EE31" s="228">
        <v>0.64</v>
      </c>
      <c r="EF31" s="229">
        <v>5.5999999999999999E-3</v>
      </c>
      <c r="EG31" s="230">
        <v>2586027</v>
      </c>
      <c r="EH31" s="230">
        <v>1618096</v>
      </c>
      <c r="EI31" s="229">
        <v>0.59819999999999995</v>
      </c>
      <c r="EJ31" s="229">
        <v>0.53700000000000003</v>
      </c>
      <c r="EK31" s="228">
        <v>145.94</v>
      </c>
      <c r="EL31" s="228">
        <v>64.16</v>
      </c>
      <c r="EM31" s="228">
        <v>144.66</v>
      </c>
      <c r="EN31" s="228">
        <v>0</v>
      </c>
      <c r="EO31" s="228">
        <v>354.77</v>
      </c>
      <c r="EP31" s="228">
        <v>536.53</v>
      </c>
      <c r="EQ31" s="228">
        <v>-181.76</v>
      </c>
      <c r="ER31" s="229">
        <v>-0.33879999999999999</v>
      </c>
      <c r="ES31" s="228">
        <v>450.71</v>
      </c>
      <c r="ET31" s="228">
        <v>254.81</v>
      </c>
      <c r="EU31" s="228">
        <v>821.95</v>
      </c>
      <c r="EV31" s="231">
        <v>242361229</v>
      </c>
      <c r="EW31" s="231">
        <v>1527.47</v>
      </c>
      <c r="EX31" s="231">
        <v>1537.86</v>
      </c>
      <c r="EY31" s="228">
        <v>-10.39</v>
      </c>
      <c r="EZ31" s="229">
        <v>-6.7999999999999996E-3</v>
      </c>
      <c r="FA31" s="229">
        <v>0.54600000000000004</v>
      </c>
      <c r="FB31" s="227" t="s">
        <v>567</v>
      </c>
      <c r="FC31">
        <f t="shared" si="0"/>
        <v>118</v>
      </c>
    </row>
    <row r="32" spans="1:159" ht="17.25" thickBot="1" x14ac:dyDescent="0.3">
      <c r="A32" s="226">
        <v>45860</v>
      </c>
      <c r="B32" s="227" t="s">
        <v>181</v>
      </c>
      <c r="C32" s="227" t="s">
        <v>182</v>
      </c>
      <c r="D32" s="228">
        <v>35</v>
      </c>
      <c r="E32" s="228">
        <v>9</v>
      </c>
      <c r="F32" s="231">
        <v>56804.6</v>
      </c>
      <c r="G32" s="231">
        <v>56981.8</v>
      </c>
      <c r="H32" s="228">
        <v>-177.2</v>
      </c>
      <c r="I32" s="229">
        <v>-3.0999999999999999E-3</v>
      </c>
      <c r="J32" s="231">
        <v>56756</v>
      </c>
      <c r="K32" s="231">
        <v>56952.75</v>
      </c>
      <c r="L32" s="228">
        <v>-196.75</v>
      </c>
      <c r="M32" s="229">
        <v>-3.5000000000000001E-3</v>
      </c>
      <c r="N32" s="231">
        <v>56804.6</v>
      </c>
      <c r="O32" s="231">
        <v>56981.8</v>
      </c>
      <c r="P32" s="228">
        <v>-177.2</v>
      </c>
      <c r="Q32" s="229">
        <v>-3.0999999999999999E-3</v>
      </c>
      <c r="R32" s="231">
        <v>56970.8</v>
      </c>
      <c r="S32" s="231">
        <v>57144.4</v>
      </c>
      <c r="T32" s="228">
        <v>-173.6</v>
      </c>
      <c r="U32" s="229">
        <v>-3.0000000000000001E-3</v>
      </c>
      <c r="V32" s="231">
        <v>57256.4</v>
      </c>
      <c r="W32" s="231">
        <v>57420.4</v>
      </c>
      <c r="X32" s="228">
        <v>-164</v>
      </c>
      <c r="Y32" s="229">
        <v>-2.8999999999999998E-3</v>
      </c>
      <c r="Z32" s="228">
        <v>48.6</v>
      </c>
      <c r="AA32" s="228">
        <v>29.05</v>
      </c>
      <c r="AB32" s="228">
        <v>19.55</v>
      </c>
      <c r="AC32" s="229">
        <v>8.9999999999999998E-4</v>
      </c>
      <c r="AD32" s="228">
        <v>48.6</v>
      </c>
      <c r="AE32" s="228">
        <v>29.05</v>
      </c>
      <c r="AF32" s="228">
        <v>19.55</v>
      </c>
      <c r="AG32" s="229">
        <v>8.9999999999999998E-4</v>
      </c>
      <c r="AH32" s="228">
        <v>214.8</v>
      </c>
      <c r="AI32" s="228">
        <v>191.65</v>
      </c>
      <c r="AJ32" s="228">
        <v>23.15</v>
      </c>
      <c r="AK32" s="229">
        <v>3.8E-3</v>
      </c>
      <c r="AL32" s="228">
        <v>500.4</v>
      </c>
      <c r="AM32" s="228">
        <v>467.65</v>
      </c>
      <c r="AN32" s="228">
        <v>32.75</v>
      </c>
      <c r="AO32" s="229">
        <v>8.8000000000000005E-3</v>
      </c>
      <c r="AP32" s="231">
        <v>56961.62</v>
      </c>
      <c r="AQ32" s="231">
        <v>57124.66</v>
      </c>
      <c r="AR32" s="228">
        <v>0</v>
      </c>
      <c r="AS32" s="230">
        <v>5558</v>
      </c>
      <c r="AT32" s="230">
        <v>10155</v>
      </c>
      <c r="AU32" s="230">
        <v>-4597</v>
      </c>
      <c r="AV32" s="229">
        <v>-0.45269999999999999</v>
      </c>
      <c r="AW32" s="230">
        <v>4629</v>
      </c>
      <c r="AX32" s="230">
        <v>8711</v>
      </c>
      <c r="AY32" s="230">
        <v>-4082</v>
      </c>
      <c r="AZ32" s="229">
        <v>-0.46860000000000002</v>
      </c>
      <c r="BA32" s="228">
        <v>783</v>
      </c>
      <c r="BB32" s="230">
        <v>1181</v>
      </c>
      <c r="BC32" s="228">
        <v>-398</v>
      </c>
      <c r="BD32" s="229">
        <v>-0.33689999999999998</v>
      </c>
      <c r="BE32" s="228">
        <v>146</v>
      </c>
      <c r="BF32" s="228">
        <v>263</v>
      </c>
      <c r="BG32" s="228">
        <v>-117</v>
      </c>
      <c r="BH32" s="229">
        <v>-0.44519999999999998</v>
      </c>
      <c r="BI32" s="230">
        <v>408850</v>
      </c>
      <c r="BJ32" s="230">
        <v>586805</v>
      </c>
      <c r="BK32" s="230">
        <v>-177955</v>
      </c>
      <c r="BL32" s="229">
        <v>-0.30330000000000001</v>
      </c>
      <c r="BM32" s="230">
        <v>366536</v>
      </c>
      <c r="BN32" s="230">
        <v>463185</v>
      </c>
      <c r="BO32" s="230">
        <v>-96649</v>
      </c>
      <c r="BP32" s="229">
        <v>-0.2087</v>
      </c>
      <c r="BQ32" s="230">
        <v>780944</v>
      </c>
      <c r="BR32" s="230">
        <v>1060146</v>
      </c>
      <c r="BS32" s="230">
        <v>-279202</v>
      </c>
      <c r="BT32" s="229">
        <v>-0.26340000000000002</v>
      </c>
      <c r="BU32" s="228">
        <v>0</v>
      </c>
      <c r="BV32" s="228">
        <v>0</v>
      </c>
      <c r="BW32" s="228">
        <v>0</v>
      </c>
      <c r="BX32" s="229">
        <v>0</v>
      </c>
      <c r="BY32" s="230">
        <v>14806</v>
      </c>
      <c r="BZ32" s="230">
        <v>14864</v>
      </c>
      <c r="CA32" s="228">
        <v>-59</v>
      </c>
      <c r="CB32" s="229">
        <v>-4.0000000000000001E-3</v>
      </c>
      <c r="CC32" s="230">
        <v>11512</v>
      </c>
      <c r="CD32" s="230">
        <v>11663</v>
      </c>
      <c r="CE32" s="228">
        <v>-151</v>
      </c>
      <c r="CF32" s="229">
        <v>-1.29E-2</v>
      </c>
      <c r="CG32" s="230">
        <v>2839</v>
      </c>
      <c r="CH32" s="230">
        <v>2764</v>
      </c>
      <c r="CI32" s="228">
        <v>76</v>
      </c>
      <c r="CJ32" s="229">
        <v>2.75E-2</v>
      </c>
      <c r="CK32" s="228">
        <v>454</v>
      </c>
      <c r="CL32" s="228">
        <v>438</v>
      </c>
      <c r="CM32" s="228">
        <v>16</v>
      </c>
      <c r="CN32" s="229">
        <v>3.5799999999999998E-2</v>
      </c>
      <c r="CO32" s="230">
        <v>141632</v>
      </c>
      <c r="CP32" s="230">
        <v>125657</v>
      </c>
      <c r="CQ32" s="230">
        <v>15975</v>
      </c>
      <c r="CR32" s="229">
        <v>0.12709999999999999</v>
      </c>
      <c r="CS32" s="230">
        <v>114865</v>
      </c>
      <c r="CT32" s="230">
        <v>111000</v>
      </c>
      <c r="CU32" s="230">
        <v>3866</v>
      </c>
      <c r="CV32" s="229">
        <v>3.4799999999999998E-2</v>
      </c>
      <c r="CW32" s="230">
        <v>271303</v>
      </c>
      <c r="CX32" s="230">
        <v>251521</v>
      </c>
      <c r="CY32" s="230">
        <v>19782</v>
      </c>
      <c r="CZ32" s="229">
        <v>7.8600000000000003E-2</v>
      </c>
      <c r="DA32" s="228">
        <v>12.25</v>
      </c>
      <c r="DB32" s="228">
        <v>12.68</v>
      </c>
      <c r="DC32" s="228">
        <v>-0.43</v>
      </c>
      <c r="DD32" s="228">
        <v>-0.43</v>
      </c>
      <c r="DE32" s="228">
        <v>18.84</v>
      </c>
      <c r="DF32" s="228">
        <v>18.88</v>
      </c>
      <c r="DG32" s="228">
        <v>-6.59</v>
      </c>
      <c r="DH32" s="228">
        <v>-0.04</v>
      </c>
      <c r="DI32" s="228">
        <v>12.12</v>
      </c>
      <c r="DJ32" s="228">
        <v>12.24</v>
      </c>
      <c r="DK32" s="228">
        <v>-0.12</v>
      </c>
      <c r="DL32" s="228">
        <v>-0.12</v>
      </c>
      <c r="DM32" s="228">
        <v>12.39</v>
      </c>
      <c r="DN32" s="228">
        <v>13.23</v>
      </c>
      <c r="DO32" s="228">
        <v>-0.84</v>
      </c>
      <c r="DP32" s="228">
        <v>-0.84</v>
      </c>
      <c r="DQ32" s="228">
        <v>0.81</v>
      </c>
      <c r="DR32" s="228">
        <v>0.88</v>
      </c>
      <c r="DS32" s="228">
        <v>-7.0000000000000007E-2</v>
      </c>
      <c r="DT32" s="229">
        <v>-7.9500000000000001E-2</v>
      </c>
      <c r="DU32" s="231">
        <v>57000</v>
      </c>
      <c r="DV32" s="231">
        <v>56000</v>
      </c>
      <c r="DW32" s="228">
        <v>0.9</v>
      </c>
      <c r="DX32" s="228">
        <v>0.79</v>
      </c>
      <c r="DY32" s="228">
        <v>0.11</v>
      </c>
      <c r="DZ32" s="229">
        <v>0.13919999999999999</v>
      </c>
      <c r="EA32" s="229">
        <v>0.22239999999999999</v>
      </c>
      <c r="EB32" s="230">
        <v>563640</v>
      </c>
      <c r="EC32" s="229">
        <v>2.8999999999999998E-3</v>
      </c>
      <c r="ED32" s="229">
        <v>0.22239999999999999</v>
      </c>
      <c r="EE32" s="228">
        <v>163.04</v>
      </c>
      <c r="EF32" s="229">
        <v>2.8999999999999998E-3</v>
      </c>
      <c r="EG32" s="228">
        <v>0</v>
      </c>
      <c r="EH32" s="228">
        <v>0</v>
      </c>
      <c r="EI32" s="229">
        <v>0</v>
      </c>
      <c r="EJ32" s="229">
        <v>0</v>
      </c>
      <c r="EK32" s="231">
        <v>418781.87</v>
      </c>
      <c r="EL32" s="231">
        <v>362192.19</v>
      </c>
      <c r="EM32" s="231">
        <v>5576.68</v>
      </c>
      <c r="EN32" s="228">
        <v>0</v>
      </c>
      <c r="EO32" s="231">
        <v>786550.73</v>
      </c>
      <c r="EP32" s="231">
        <v>1066042.52</v>
      </c>
      <c r="EQ32" s="231">
        <v>-279491.78000000003</v>
      </c>
      <c r="ER32" s="229">
        <v>-0.26219999999999999</v>
      </c>
      <c r="ES32" s="231">
        <v>145749.38</v>
      </c>
      <c r="ET32" s="231">
        <v>110604.39</v>
      </c>
      <c r="EU32" s="231">
        <v>14817.55</v>
      </c>
      <c r="EV32" s="228">
        <v>0</v>
      </c>
      <c r="EW32" s="231">
        <v>271171.32</v>
      </c>
      <c r="EX32" s="231">
        <v>251052.18</v>
      </c>
      <c r="EY32" s="231">
        <v>20119.14</v>
      </c>
      <c r="EZ32" s="229">
        <v>8.0100000000000005E-2</v>
      </c>
      <c r="FA32" s="229">
        <v>0</v>
      </c>
      <c r="FB32" s="227" t="s">
        <v>568</v>
      </c>
      <c r="FC32">
        <f t="shared" si="0"/>
        <v>3294</v>
      </c>
    </row>
    <row r="33" spans="1:159" ht="17.25" thickBot="1" x14ac:dyDescent="0.3">
      <c r="A33" s="226">
        <v>45860</v>
      </c>
      <c r="B33" s="227" t="s">
        <v>184</v>
      </c>
      <c r="C33" s="227" t="s">
        <v>673</v>
      </c>
      <c r="D33" s="228">
        <v>325</v>
      </c>
      <c r="E33" s="228">
        <v>9</v>
      </c>
      <c r="F33" s="231">
        <v>1717.6</v>
      </c>
      <c r="G33" s="231">
        <v>1721.9</v>
      </c>
      <c r="H33" s="228">
        <v>-4.3</v>
      </c>
      <c r="I33" s="229">
        <v>-2.5000000000000001E-3</v>
      </c>
      <c r="J33" s="231">
        <v>1717.4</v>
      </c>
      <c r="K33" s="231">
        <v>1718.4</v>
      </c>
      <c r="L33" s="228">
        <v>-1</v>
      </c>
      <c r="M33" s="229">
        <v>-5.9999999999999995E-4</v>
      </c>
      <c r="N33" s="231">
        <v>1717.6</v>
      </c>
      <c r="O33" s="231">
        <v>1721.9</v>
      </c>
      <c r="P33" s="228">
        <v>-4.3</v>
      </c>
      <c r="Q33" s="229">
        <v>-2.5000000000000001E-3</v>
      </c>
      <c r="R33" s="231">
        <v>1723.5</v>
      </c>
      <c r="S33" s="231">
        <v>1729.4</v>
      </c>
      <c r="T33" s="228">
        <v>-5.9</v>
      </c>
      <c r="U33" s="229">
        <v>-3.3999999999999998E-3</v>
      </c>
      <c r="V33" s="228">
        <v>0</v>
      </c>
      <c r="W33" s="228">
        <v>0</v>
      </c>
      <c r="X33" s="228">
        <v>0</v>
      </c>
      <c r="Y33" s="229">
        <v>0</v>
      </c>
      <c r="Z33" s="228">
        <v>0.2</v>
      </c>
      <c r="AA33" s="228">
        <v>3.5</v>
      </c>
      <c r="AB33" s="228">
        <v>-3.3</v>
      </c>
      <c r="AC33" s="229">
        <v>1E-4</v>
      </c>
      <c r="AD33" s="228">
        <v>0.2</v>
      </c>
      <c r="AE33" s="228">
        <v>3.5</v>
      </c>
      <c r="AF33" s="228">
        <v>-3.3</v>
      </c>
      <c r="AG33" s="229">
        <v>1E-4</v>
      </c>
      <c r="AH33" s="228">
        <v>6.1</v>
      </c>
      <c r="AI33" s="228">
        <v>11</v>
      </c>
      <c r="AJ33" s="228">
        <v>-4.9000000000000004</v>
      </c>
      <c r="AK33" s="229">
        <v>3.5999999999999999E-3</v>
      </c>
      <c r="AL33" s="228">
        <v>0</v>
      </c>
      <c r="AM33" s="228">
        <v>0</v>
      </c>
      <c r="AN33" s="228">
        <v>0</v>
      </c>
      <c r="AO33" s="229">
        <v>0</v>
      </c>
      <c r="AP33" s="231">
        <v>1723.88</v>
      </c>
      <c r="AQ33" s="231">
        <v>1732.38</v>
      </c>
      <c r="AR33" s="228">
        <v>0</v>
      </c>
      <c r="AS33" s="228">
        <v>194</v>
      </c>
      <c r="AT33" s="228">
        <v>372</v>
      </c>
      <c r="AU33" s="228">
        <v>-177</v>
      </c>
      <c r="AV33" s="229">
        <v>-0.47720000000000001</v>
      </c>
      <c r="AW33" s="228">
        <v>159</v>
      </c>
      <c r="AX33" s="228">
        <v>304</v>
      </c>
      <c r="AY33" s="228">
        <v>-145</v>
      </c>
      <c r="AZ33" s="229">
        <v>-0.4778</v>
      </c>
      <c r="BA33" s="228">
        <v>32</v>
      </c>
      <c r="BB33" s="228">
        <v>65</v>
      </c>
      <c r="BC33" s="228">
        <v>-33</v>
      </c>
      <c r="BD33" s="229">
        <v>-0.50260000000000005</v>
      </c>
      <c r="BE33" s="228">
        <v>0</v>
      </c>
      <c r="BF33" s="228">
        <v>0</v>
      </c>
      <c r="BG33" s="228">
        <v>0</v>
      </c>
      <c r="BH33" s="229">
        <v>0</v>
      </c>
      <c r="BI33" s="228">
        <v>623</v>
      </c>
      <c r="BJ33" s="230">
        <v>1667</v>
      </c>
      <c r="BK33" s="230">
        <v>-1044</v>
      </c>
      <c r="BL33" s="229">
        <v>-0.62629999999999997</v>
      </c>
      <c r="BM33" s="228">
        <v>205</v>
      </c>
      <c r="BN33" s="228">
        <v>695</v>
      </c>
      <c r="BO33" s="228">
        <v>-489</v>
      </c>
      <c r="BP33" s="229">
        <v>-0.70450000000000002</v>
      </c>
      <c r="BQ33" s="230">
        <v>1023</v>
      </c>
      <c r="BR33" s="230">
        <v>2734</v>
      </c>
      <c r="BS33" s="230">
        <v>-1711</v>
      </c>
      <c r="BT33" s="229">
        <v>-0.62590000000000001</v>
      </c>
      <c r="BU33" s="230">
        <v>1735087</v>
      </c>
      <c r="BV33" s="230">
        <v>2706953</v>
      </c>
      <c r="BW33" s="230">
        <v>-971866</v>
      </c>
      <c r="BX33" s="229">
        <v>-0.35899999999999999</v>
      </c>
      <c r="BY33" s="228">
        <v>737</v>
      </c>
      <c r="BZ33" s="228">
        <v>774</v>
      </c>
      <c r="CA33" s="228">
        <v>-37</v>
      </c>
      <c r="CB33" s="229">
        <v>-4.7500000000000001E-2</v>
      </c>
      <c r="CC33" s="228">
        <v>621</v>
      </c>
      <c r="CD33" s="228">
        <v>666</v>
      </c>
      <c r="CE33" s="228">
        <v>-45</v>
      </c>
      <c r="CF33" s="229">
        <v>-6.8000000000000005E-2</v>
      </c>
      <c r="CG33" s="228">
        <v>106</v>
      </c>
      <c r="CH33" s="228">
        <v>99</v>
      </c>
      <c r="CI33" s="228">
        <v>6</v>
      </c>
      <c r="CJ33" s="229">
        <v>6.4100000000000004E-2</v>
      </c>
      <c r="CK33" s="228">
        <v>0</v>
      </c>
      <c r="CL33" s="228">
        <v>0</v>
      </c>
      <c r="CM33" s="228">
        <v>0</v>
      </c>
      <c r="CN33" s="229">
        <v>0</v>
      </c>
      <c r="CO33" s="228">
        <v>990</v>
      </c>
      <c r="CP33" s="228">
        <v>984</v>
      </c>
      <c r="CQ33" s="228">
        <v>6</v>
      </c>
      <c r="CR33" s="229">
        <v>6.0000000000000001E-3</v>
      </c>
      <c r="CS33" s="228">
        <v>348</v>
      </c>
      <c r="CT33" s="228">
        <v>353</v>
      </c>
      <c r="CU33" s="228">
        <v>-5</v>
      </c>
      <c r="CV33" s="229">
        <v>-1.3899999999999999E-2</v>
      </c>
      <c r="CW33" s="230">
        <v>2075</v>
      </c>
      <c r="CX33" s="230">
        <v>2111</v>
      </c>
      <c r="CY33" s="228">
        <v>-36</v>
      </c>
      <c r="CZ33" s="229">
        <v>-1.7000000000000001E-2</v>
      </c>
      <c r="DA33" s="228">
        <v>42.1</v>
      </c>
      <c r="DB33" s="228">
        <v>41.84</v>
      </c>
      <c r="DC33" s="228">
        <v>0.26</v>
      </c>
      <c r="DD33" s="228">
        <v>0.26</v>
      </c>
      <c r="DE33" s="228">
        <v>56.45</v>
      </c>
      <c r="DF33" s="228">
        <v>56.59</v>
      </c>
      <c r="DG33" s="228">
        <v>-14.35</v>
      </c>
      <c r="DH33" s="228">
        <v>-0.14000000000000001</v>
      </c>
      <c r="DI33" s="228">
        <v>43.46</v>
      </c>
      <c r="DJ33" s="228">
        <v>41.9</v>
      </c>
      <c r="DK33" s="228">
        <v>1.56</v>
      </c>
      <c r="DL33" s="228">
        <v>1.56</v>
      </c>
      <c r="DM33" s="228">
        <v>37.950000000000003</v>
      </c>
      <c r="DN33" s="228">
        <v>41.69</v>
      </c>
      <c r="DO33" s="228">
        <v>-3.74</v>
      </c>
      <c r="DP33" s="228">
        <v>-3.74</v>
      </c>
      <c r="DQ33" s="228">
        <v>0.35</v>
      </c>
      <c r="DR33" s="228">
        <v>0.36</v>
      </c>
      <c r="DS33" s="228">
        <v>-0.01</v>
      </c>
      <c r="DT33" s="229">
        <v>-2.7799999999999998E-2</v>
      </c>
      <c r="DU33" s="231">
        <v>2000</v>
      </c>
      <c r="DV33" s="231">
        <v>1700</v>
      </c>
      <c r="DW33" s="228">
        <v>0.33</v>
      </c>
      <c r="DX33" s="228">
        <v>0.42</v>
      </c>
      <c r="DY33" s="228">
        <v>-0.09</v>
      </c>
      <c r="DZ33" s="229">
        <v>-0.21429999999999999</v>
      </c>
      <c r="EA33" s="229">
        <v>0.14330000000000001</v>
      </c>
      <c r="EB33" s="230">
        <v>577850</v>
      </c>
      <c r="EC33" s="229">
        <v>3.3999999999999998E-3</v>
      </c>
      <c r="ED33" s="229">
        <v>0.14330000000000001</v>
      </c>
      <c r="EE33" s="228">
        <v>8.5</v>
      </c>
      <c r="EF33" s="229">
        <v>4.8999999999999998E-3</v>
      </c>
      <c r="EG33" s="230">
        <v>577211</v>
      </c>
      <c r="EH33" s="230">
        <v>646967</v>
      </c>
      <c r="EI33" s="229">
        <v>-0.10780000000000001</v>
      </c>
      <c r="EJ33" s="229">
        <v>0.3327</v>
      </c>
      <c r="EK33" s="228">
        <v>681.38</v>
      </c>
      <c r="EL33" s="228">
        <v>202.91</v>
      </c>
      <c r="EM33" s="228">
        <v>195.27</v>
      </c>
      <c r="EN33" s="228">
        <v>0</v>
      </c>
      <c r="EO33" s="231">
        <v>1079.56</v>
      </c>
      <c r="EP33" s="231">
        <v>2823.27</v>
      </c>
      <c r="EQ33" s="231">
        <v>-1743.71</v>
      </c>
      <c r="ER33" s="229">
        <v>-0.61760000000000004</v>
      </c>
      <c r="ES33" s="231">
        <v>1118.32</v>
      </c>
      <c r="ET33" s="228">
        <v>355.85</v>
      </c>
      <c r="EU33" s="228">
        <v>737.48</v>
      </c>
      <c r="EV33" s="231">
        <v>18382289</v>
      </c>
      <c r="EW33" s="231">
        <v>2211.65</v>
      </c>
      <c r="EX33" s="231">
        <v>2249.92</v>
      </c>
      <c r="EY33" s="228">
        <v>-38.270000000000003</v>
      </c>
      <c r="EZ33" s="229">
        <v>-1.7000000000000001E-2</v>
      </c>
      <c r="FA33" s="229">
        <v>0.6573</v>
      </c>
      <c r="FB33" s="227" t="s">
        <v>568</v>
      </c>
      <c r="FC33">
        <f t="shared" si="0"/>
        <v>116</v>
      </c>
    </row>
    <row r="34" spans="1:159" ht="17.25" thickBot="1" x14ac:dyDescent="0.3">
      <c r="A34" s="226">
        <v>45860</v>
      </c>
      <c r="B34" s="227" t="s">
        <v>184</v>
      </c>
      <c r="C34" s="227" t="s">
        <v>185</v>
      </c>
      <c r="D34" s="228">
        <v>2850</v>
      </c>
      <c r="E34" s="228">
        <v>9</v>
      </c>
      <c r="F34" s="228">
        <v>403.65</v>
      </c>
      <c r="G34" s="228">
        <v>401.1</v>
      </c>
      <c r="H34" s="228">
        <v>2.5499999999999998</v>
      </c>
      <c r="I34" s="229">
        <v>6.4000000000000003E-3</v>
      </c>
      <c r="J34" s="228">
        <v>403.1</v>
      </c>
      <c r="K34" s="228">
        <v>399.95</v>
      </c>
      <c r="L34" s="228">
        <v>3.15</v>
      </c>
      <c r="M34" s="229">
        <v>7.9000000000000008E-3</v>
      </c>
      <c r="N34" s="228">
        <v>403.65</v>
      </c>
      <c r="O34" s="228">
        <v>401.1</v>
      </c>
      <c r="P34" s="228">
        <v>2.5499999999999998</v>
      </c>
      <c r="Q34" s="229">
        <v>6.4000000000000003E-3</v>
      </c>
      <c r="R34" s="228">
        <v>404.7</v>
      </c>
      <c r="S34" s="228">
        <v>402.1</v>
      </c>
      <c r="T34" s="228">
        <v>2.6</v>
      </c>
      <c r="U34" s="229">
        <v>6.4999999999999997E-3</v>
      </c>
      <c r="V34" s="228">
        <v>0</v>
      </c>
      <c r="W34" s="228">
        <v>0</v>
      </c>
      <c r="X34" s="228">
        <v>0</v>
      </c>
      <c r="Y34" s="229">
        <v>0</v>
      </c>
      <c r="Z34" s="228">
        <v>0.55000000000000004</v>
      </c>
      <c r="AA34" s="228">
        <v>1.1499999999999999</v>
      </c>
      <c r="AB34" s="228">
        <v>-0.6</v>
      </c>
      <c r="AC34" s="229">
        <v>1.4E-3</v>
      </c>
      <c r="AD34" s="228">
        <v>0.55000000000000004</v>
      </c>
      <c r="AE34" s="228">
        <v>1.1499999999999999</v>
      </c>
      <c r="AF34" s="228">
        <v>-0.6</v>
      </c>
      <c r="AG34" s="229">
        <v>1.4E-3</v>
      </c>
      <c r="AH34" s="228">
        <v>1.6</v>
      </c>
      <c r="AI34" s="228">
        <v>2.15</v>
      </c>
      <c r="AJ34" s="228">
        <v>-0.55000000000000004</v>
      </c>
      <c r="AK34" s="229">
        <v>4.0000000000000001E-3</v>
      </c>
      <c r="AL34" s="228">
        <v>0</v>
      </c>
      <c r="AM34" s="228">
        <v>0</v>
      </c>
      <c r="AN34" s="228">
        <v>0</v>
      </c>
      <c r="AO34" s="229">
        <v>0</v>
      </c>
      <c r="AP34" s="228">
        <v>403.19</v>
      </c>
      <c r="AQ34" s="228">
        <v>404.27</v>
      </c>
      <c r="AR34" s="228">
        <v>0</v>
      </c>
      <c r="AS34" s="228">
        <v>815</v>
      </c>
      <c r="AT34" s="230">
        <v>1054</v>
      </c>
      <c r="AU34" s="228">
        <v>-239</v>
      </c>
      <c r="AV34" s="229">
        <v>-0.22700000000000001</v>
      </c>
      <c r="AW34" s="228">
        <v>623</v>
      </c>
      <c r="AX34" s="228">
        <v>841</v>
      </c>
      <c r="AY34" s="228">
        <v>-218</v>
      </c>
      <c r="AZ34" s="229">
        <v>-0.25940000000000002</v>
      </c>
      <c r="BA34" s="228">
        <v>177</v>
      </c>
      <c r="BB34" s="228">
        <v>186</v>
      </c>
      <c r="BC34" s="228">
        <v>-10</v>
      </c>
      <c r="BD34" s="229">
        <v>-5.2400000000000002E-2</v>
      </c>
      <c r="BE34" s="228">
        <v>0</v>
      </c>
      <c r="BF34" s="228">
        <v>0</v>
      </c>
      <c r="BG34" s="228">
        <v>0</v>
      </c>
      <c r="BH34" s="229">
        <v>0</v>
      </c>
      <c r="BI34" s="230">
        <v>3498</v>
      </c>
      <c r="BJ34" s="230">
        <v>5121</v>
      </c>
      <c r="BK34" s="230">
        <v>-1623</v>
      </c>
      <c r="BL34" s="229">
        <v>-0.31690000000000002</v>
      </c>
      <c r="BM34" s="230">
        <v>1640</v>
      </c>
      <c r="BN34" s="230">
        <v>2795</v>
      </c>
      <c r="BO34" s="230">
        <v>-1155</v>
      </c>
      <c r="BP34" s="229">
        <v>-0.4133</v>
      </c>
      <c r="BQ34" s="230">
        <v>5953</v>
      </c>
      <c r="BR34" s="230">
        <v>8971</v>
      </c>
      <c r="BS34" s="230">
        <v>-3018</v>
      </c>
      <c r="BT34" s="229">
        <v>-0.33639999999999998</v>
      </c>
      <c r="BU34" s="230">
        <v>13085407</v>
      </c>
      <c r="BV34" s="230">
        <v>13470190</v>
      </c>
      <c r="BW34" s="230">
        <v>-384783</v>
      </c>
      <c r="BX34" s="229">
        <v>-2.86E-2</v>
      </c>
      <c r="BY34" s="230">
        <v>4826</v>
      </c>
      <c r="BZ34" s="230">
        <v>4888</v>
      </c>
      <c r="CA34" s="228">
        <v>-62</v>
      </c>
      <c r="CB34" s="229">
        <v>-1.2699999999999999E-2</v>
      </c>
      <c r="CC34" s="230">
        <v>3792</v>
      </c>
      <c r="CD34" s="230">
        <v>3881</v>
      </c>
      <c r="CE34" s="228">
        <v>-89</v>
      </c>
      <c r="CF34" s="229">
        <v>-2.29E-2</v>
      </c>
      <c r="CG34" s="228">
        <v>953</v>
      </c>
      <c r="CH34" s="228">
        <v>926</v>
      </c>
      <c r="CI34" s="228">
        <v>26</v>
      </c>
      <c r="CJ34" s="229">
        <v>2.86E-2</v>
      </c>
      <c r="CK34" s="228">
        <v>0</v>
      </c>
      <c r="CL34" s="228">
        <v>0</v>
      </c>
      <c r="CM34" s="228">
        <v>0</v>
      </c>
      <c r="CN34" s="229">
        <v>0</v>
      </c>
      <c r="CO34" s="230">
        <v>4007</v>
      </c>
      <c r="CP34" s="230">
        <v>4041</v>
      </c>
      <c r="CQ34" s="228">
        <v>-34</v>
      </c>
      <c r="CR34" s="229">
        <v>-8.3999999999999995E-3</v>
      </c>
      <c r="CS34" s="230">
        <v>2271</v>
      </c>
      <c r="CT34" s="230">
        <v>2208</v>
      </c>
      <c r="CU34" s="228">
        <v>63</v>
      </c>
      <c r="CV34" s="229">
        <v>2.87E-2</v>
      </c>
      <c r="CW34" s="230">
        <v>11104</v>
      </c>
      <c r="CX34" s="230">
        <v>11137</v>
      </c>
      <c r="CY34" s="228">
        <v>-33</v>
      </c>
      <c r="CZ34" s="229">
        <v>-2.8999999999999998E-3</v>
      </c>
      <c r="DA34" s="228">
        <v>30.56</v>
      </c>
      <c r="DB34" s="228">
        <v>30.36</v>
      </c>
      <c r="DC34" s="228">
        <v>0.2</v>
      </c>
      <c r="DD34" s="228">
        <v>0.2</v>
      </c>
      <c r="DE34" s="228">
        <v>40.81</v>
      </c>
      <c r="DF34" s="228">
        <v>40.89</v>
      </c>
      <c r="DG34" s="228">
        <v>-10.25</v>
      </c>
      <c r="DH34" s="228">
        <v>-0.08</v>
      </c>
      <c r="DI34" s="228">
        <v>30.85</v>
      </c>
      <c r="DJ34" s="228">
        <v>30.76</v>
      </c>
      <c r="DK34" s="228">
        <v>0.09</v>
      </c>
      <c r="DL34" s="228">
        <v>0.09</v>
      </c>
      <c r="DM34" s="228">
        <v>29.94</v>
      </c>
      <c r="DN34" s="228">
        <v>29.62</v>
      </c>
      <c r="DO34" s="228">
        <v>0.32</v>
      </c>
      <c r="DP34" s="228">
        <v>0.32</v>
      </c>
      <c r="DQ34" s="228">
        <v>0.56999999999999995</v>
      </c>
      <c r="DR34" s="228">
        <v>0.55000000000000004</v>
      </c>
      <c r="DS34" s="228">
        <v>0.02</v>
      </c>
      <c r="DT34" s="229">
        <v>3.6400000000000002E-2</v>
      </c>
      <c r="DU34" s="228">
        <v>420</v>
      </c>
      <c r="DV34" s="228">
        <v>400</v>
      </c>
      <c r="DW34" s="228">
        <v>0.47</v>
      </c>
      <c r="DX34" s="228">
        <v>0.55000000000000004</v>
      </c>
      <c r="DY34" s="228">
        <v>-0.08</v>
      </c>
      <c r="DZ34" s="229">
        <v>-0.14549999999999999</v>
      </c>
      <c r="EA34" s="229">
        <v>0.19739999999999999</v>
      </c>
      <c r="EB34" s="230">
        <v>22951050</v>
      </c>
      <c r="EC34" s="229">
        <v>2.5999999999999999E-3</v>
      </c>
      <c r="ED34" s="229">
        <v>0.19739999999999999</v>
      </c>
      <c r="EE34" s="228">
        <v>1.08</v>
      </c>
      <c r="EF34" s="229">
        <v>2.7000000000000001E-3</v>
      </c>
      <c r="EG34" s="230">
        <v>6197201</v>
      </c>
      <c r="EH34" s="230">
        <v>6487281</v>
      </c>
      <c r="EI34" s="229">
        <v>-4.4699999999999997E-2</v>
      </c>
      <c r="EJ34" s="229">
        <v>0.47360000000000002</v>
      </c>
      <c r="EK34" s="231">
        <v>3649.8</v>
      </c>
      <c r="EL34" s="231">
        <v>1620.61</v>
      </c>
      <c r="EM34" s="228">
        <v>814.73</v>
      </c>
      <c r="EN34" s="228">
        <v>0</v>
      </c>
      <c r="EO34" s="231">
        <v>6085.15</v>
      </c>
      <c r="EP34" s="231">
        <v>9096.26</v>
      </c>
      <c r="EQ34" s="231">
        <v>-3011.11</v>
      </c>
      <c r="ER34" s="229">
        <v>-0.33100000000000002</v>
      </c>
      <c r="ES34" s="231">
        <v>4246.5</v>
      </c>
      <c r="ET34" s="231">
        <v>2226.89</v>
      </c>
      <c r="EU34" s="231">
        <v>4829.54</v>
      </c>
      <c r="EV34" s="231">
        <v>714371379</v>
      </c>
      <c r="EW34" s="231">
        <v>11302.93</v>
      </c>
      <c r="EX34" s="231">
        <v>11309.41</v>
      </c>
      <c r="EY34" s="228">
        <v>-6.48</v>
      </c>
      <c r="EZ34" s="229">
        <v>-5.9999999999999995E-4</v>
      </c>
      <c r="FA34" s="229">
        <v>0.3851</v>
      </c>
      <c r="FB34" s="227" t="s">
        <v>556</v>
      </c>
      <c r="FC34">
        <f t="shared" si="0"/>
        <v>1034</v>
      </c>
    </row>
    <row r="35" spans="1:159" ht="17.25" thickBot="1" x14ac:dyDescent="0.3">
      <c r="A35" s="226">
        <v>45860</v>
      </c>
      <c r="B35" s="227" t="s">
        <v>162</v>
      </c>
      <c r="C35" s="227" t="s">
        <v>187</v>
      </c>
      <c r="D35" s="228">
        <v>500</v>
      </c>
      <c r="E35" s="228">
        <v>9</v>
      </c>
      <c r="F35" s="231">
        <v>1206.5999999999999</v>
      </c>
      <c r="G35" s="231">
        <v>1224.4000000000001</v>
      </c>
      <c r="H35" s="228">
        <v>-17.8</v>
      </c>
      <c r="I35" s="229">
        <v>-1.4500000000000001E-2</v>
      </c>
      <c r="J35" s="231">
        <v>1204.7</v>
      </c>
      <c r="K35" s="231">
        <v>1220.8</v>
      </c>
      <c r="L35" s="228">
        <v>-16.100000000000001</v>
      </c>
      <c r="M35" s="229">
        <v>-1.32E-2</v>
      </c>
      <c r="N35" s="231">
        <v>1206.5999999999999</v>
      </c>
      <c r="O35" s="231">
        <v>1224.4000000000001</v>
      </c>
      <c r="P35" s="228">
        <v>-17.8</v>
      </c>
      <c r="Q35" s="229">
        <v>-1.4500000000000001E-2</v>
      </c>
      <c r="R35" s="231">
        <v>1213.4000000000001</v>
      </c>
      <c r="S35" s="231">
        <v>1230.3</v>
      </c>
      <c r="T35" s="228">
        <v>-16.899999999999999</v>
      </c>
      <c r="U35" s="229">
        <v>-1.37E-2</v>
      </c>
      <c r="V35" s="228">
        <v>0</v>
      </c>
      <c r="W35" s="228">
        <v>0</v>
      </c>
      <c r="X35" s="228">
        <v>0</v>
      </c>
      <c r="Y35" s="229">
        <v>0</v>
      </c>
      <c r="Z35" s="228">
        <v>1.9</v>
      </c>
      <c r="AA35" s="228">
        <v>3.6</v>
      </c>
      <c r="AB35" s="228">
        <v>-1.7</v>
      </c>
      <c r="AC35" s="229">
        <v>1.6000000000000001E-3</v>
      </c>
      <c r="AD35" s="228">
        <v>1.9</v>
      </c>
      <c r="AE35" s="228">
        <v>3.6</v>
      </c>
      <c r="AF35" s="228">
        <v>-1.7</v>
      </c>
      <c r="AG35" s="229">
        <v>1.6000000000000001E-3</v>
      </c>
      <c r="AH35" s="228">
        <v>8.6999999999999993</v>
      </c>
      <c r="AI35" s="228">
        <v>9.5</v>
      </c>
      <c r="AJ35" s="228">
        <v>-0.8</v>
      </c>
      <c r="AK35" s="229">
        <v>7.1999999999999998E-3</v>
      </c>
      <c r="AL35" s="228">
        <v>0</v>
      </c>
      <c r="AM35" s="228">
        <v>0</v>
      </c>
      <c r="AN35" s="228">
        <v>0</v>
      </c>
      <c r="AO35" s="229">
        <v>0</v>
      </c>
      <c r="AP35" s="231">
        <v>1212.5999999999999</v>
      </c>
      <c r="AQ35" s="231">
        <v>1220.6400000000001</v>
      </c>
      <c r="AR35" s="228">
        <v>0</v>
      </c>
      <c r="AS35" s="228">
        <v>158</v>
      </c>
      <c r="AT35" s="228">
        <v>121</v>
      </c>
      <c r="AU35" s="228">
        <v>37</v>
      </c>
      <c r="AV35" s="229">
        <v>0.30620000000000003</v>
      </c>
      <c r="AW35" s="228">
        <v>125</v>
      </c>
      <c r="AX35" s="228">
        <v>99</v>
      </c>
      <c r="AY35" s="228">
        <v>26</v>
      </c>
      <c r="AZ35" s="229">
        <v>0.25800000000000001</v>
      </c>
      <c r="BA35" s="228">
        <v>32</v>
      </c>
      <c r="BB35" s="228">
        <v>21</v>
      </c>
      <c r="BC35" s="228">
        <v>11</v>
      </c>
      <c r="BD35" s="229">
        <v>0.51570000000000005</v>
      </c>
      <c r="BE35" s="228">
        <v>0</v>
      </c>
      <c r="BF35" s="228">
        <v>0</v>
      </c>
      <c r="BG35" s="228">
        <v>0</v>
      </c>
      <c r="BH35" s="229">
        <v>0</v>
      </c>
      <c r="BI35" s="228">
        <v>278</v>
      </c>
      <c r="BJ35" s="228">
        <v>221</v>
      </c>
      <c r="BK35" s="228">
        <v>58</v>
      </c>
      <c r="BL35" s="229">
        <v>0.26069999999999999</v>
      </c>
      <c r="BM35" s="228">
        <v>153</v>
      </c>
      <c r="BN35" s="228">
        <v>90</v>
      </c>
      <c r="BO35" s="228">
        <v>63</v>
      </c>
      <c r="BP35" s="229">
        <v>0.70689999999999997</v>
      </c>
      <c r="BQ35" s="228">
        <v>589</v>
      </c>
      <c r="BR35" s="228">
        <v>431</v>
      </c>
      <c r="BS35" s="228">
        <v>158</v>
      </c>
      <c r="BT35" s="229">
        <v>0.36609999999999998</v>
      </c>
      <c r="BU35" s="230">
        <v>674667</v>
      </c>
      <c r="BV35" s="230">
        <v>431730</v>
      </c>
      <c r="BW35" s="230">
        <v>242937</v>
      </c>
      <c r="BX35" s="229">
        <v>0.56269999999999998</v>
      </c>
      <c r="BY35" s="230">
        <v>1496</v>
      </c>
      <c r="BZ35" s="230">
        <v>1475</v>
      </c>
      <c r="CA35" s="228">
        <v>21</v>
      </c>
      <c r="CB35" s="229">
        <v>1.41E-2</v>
      </c>
      <c r="CC35" s="230">
        <v>1387</v>
      </c>
      <c r="CD35" s="230">
        <v>1384</v>
      </c>
      <c r="CE35" s="228">
        <v>3</v>
      </c>
      <c r="CF35" s="229">
        <v>1.9E-3</v>
      </c>
      <c r="CG35" s="228">
        <v>98</v>
      </c>
      <c r="CH35" s="228">
        <v>80</v>
      </c>
      <c r="CI35" s="228">
        <v>18</v>
      </c>
      <c r="CJ35" s="229">
        <v>0.22359999999999999</v>
      </c>
      <c r="CK35" s="228">
        <v>0</v>
      </c>
      <c r="CL35" s="228">
        <v>0</v>
      </c>
      <c r="CM35" s="228">
        <v>0</v>
      </c>
      <c r="CN35" s="229">
        <v>0</v>
      </c>
      <c r="CO35" s="228">
        <v>552</v>
      </c>
      <c r="CP35" s="228">
        <v>552</v>
      </c>
      <c r="CQ35" s="228">
        <v>0</v>
      </c>
      <c r="CR35" s="229">
        <v>-1E-4</v>
      </c>
      <c r="CS35" s="228">
        <v>358</v>
      </c>
      <c r="CT35" s="228">
        <v>346</v>
      </c>
      <c r="CU35" s="228">
        <v>12</v>
      </c>
      <c r="CV35" s="229">
        <v>3.49E-2</v>
      </c>
      <c r="CW35" s="230">
        <v>2406</v>
      </c>
      <c r="CX35" s="230">
        <v>2373</v>
      </c>
      <c r="CY35" s="228">
        <v>33</v>
      </c>
      <c r="CZ35" s="229">
        <v>1.38E-2</v>
      </c>
      <c r="DA35" s="228">
        <v>27.61</v>
      </c>
      <c r="DB35" s="228">
        <v>28.35</v>
      </c>
      <c r="DC35" s="228">
        <v>-0.74</v>
      </c>
      <c r="DD35" s="228">
        <v>-0.74</v>
      </c>
      <c r="DE35" s="228">
        <v>39.840000000000003</v>
      </c>
      <c r="DF35" s="228">
        <v>39.89</v>
      </c>
      <c r="DG35" s="228">
        <v>-12.23</v>
      </c>
      <c r="DH35" s="228">
        <v>-0.05</v>
      </c>
      <c r="DI35" s="228">
        <v>28.76</v>
      </c>
      <c r="DJ35" s="228">
        <v>29.12</v>
      </c>
      <c r="DK35" s="228">
        <v>-0.36</v>
      </c>
      <c r="DL35" s="228">
        <v>-0.36</v>
      </c>
      <c r="DM35" s="228">
        <v>25.52</v>
      </c>
      <c r="DN35" s="228">
        <v>26.47</v>
      </c>
      <c r="DO35" s="228">
        <v>-0.95</v>
      </c>
      <c r="DP35" s="228">
        <v>-0.95</v>
      </c>
      <c r="DQ35" s="228">
        <v>0.65</v>
      </c>
      <c r="DR35" s="228">
        <v>0.63</v>
      </c>
      <c r="DS35" s="228">
        <v>0.02</v>
      </c>
      <c r="DT35" s="229">
        <v>3.1699999999999999E-2</v>
      </c>
      <c r="DU35" s="231">
        <v>1300</v>
      </c>
      <c r="DV35" s="231">
        <v>1200</v>
      </c>
      <c r="DW35" s="228">
        <v>0.55000000000000004</v>
      </c>
      <c r="DX35" s="228">
        <v>0.41</v>
      </c>
      <c r="DY35" s="228">
        <v>0.14000000000000001</v>
      </c>
      <c r="DZ35" s="229">
        <v>0.34150000000000003</v>
      </c>
      <c r="EA35" s="229">
        <v>6.5500000000000003E-2</v>
      </c>
      <c r="EB35" s="230">
        <v>664000</v>
      </c>
      <c r="EC35" s="229">
        <v>5.5999999999999999E-3</v>
      </c>
      <c r="ED35" s="229">
        <v>6.5500000000000003E-2</v>
      </c>
      <c r="EE35" s="228">
        <v>8.0399999999999991</v>
      </c>
      <c r="EF35" s="229">
        <v>6.6E-3</v>
      </c>
      <c r="EG35" s="230">
        <v>345404</v>
      </c>
      <c r="EH35" s="230">
        <v>258491</v>
      </c>
      <c r="EI35" s="229">
        <v>0.3362</v>
      </c>
      <c r="EJ35" s="229">
        <v>0.51200000000000001</v>
      </c>
      <c r="EK35" s="228">
        <v>294.49</v>
      </c>
      <c r="EL35" s="228">
        <v>152.79</v>
      </c>
      <c r="EM35" s="228">
        <v>159.01</v>
      </c>
      <c r="EN35" s="228">
        <v>0</v>
      </c>
      <c r="EO35" s="228">
        <v>606.29</v>
      </c>
      <c r="EP35" s="228">
        <v>449.29</v>
      </c>
      <c r="EQ35" s="228">
        <v>157</v>
      </c>
      <c r="ER35" s="229">
        <v>0.34939999999999999</v>
      </c>
      <c r="ES35" s="228">
        <v>600.14</v>
      </c>
      <c r="ET35" s="228">
        <v>362.16</v>
      </c>
      <c r="EU35" s="231">
        <v>1496.92</v>
      </c>
      <c r="EV35" s="231">
        <v>53477001</v>
      </c>
      <c r="EW35" s="231">
        <v>2459.2199999999998</v>
      </c>
      <c r="EX35" s="231">
        <v>2450.59</v>
      </c>
      <c r="EY35" s="228">
        <v>8.6300000000000008</v>
      </c>
      <c r="EZ35" s="229">
        <v>3.5000000000000001E-3</v>
      </c>
      <c r="FA35" s="229">
        <v>0.37290000000000001</v>
      </c>
      <c r="FB35" s="227" t="s">
        <v>567</v>
      </c>
      <c r="FC35">
        <f t="shared" si="0"/>
        <v>109</v>
      </c>
    </row>
    <row r="36" spans="1:159" ht="17.25" thickBot="1" x14ac:dyDescent="0.3">
      <c r="A36" s="226">
        <v>45860</v>
      </c>
      <c r="B36" s="227" t="s">
        <v>188</v>
      </c>
      <c r="C36" s="227" t="s">
        <v>189</v>
      </c>
      <c r="D36" s="228">
        <v>475</v>
      </c>
      <c r="E36" s="228">
        <v>9</v>
      </c>
      <c r="F36" s="231">
        <v>1908.2</v>
      </c>
      <c r="G36" s="231">
        <v>1912.6</v>
      </c>
      <c r="H36" s="228">
        <v>-4.4000000000000004</v>
      </c>
      <c r="I36" s="229">
        <v>-2.3E-3</v>
      </c>
      <c r="J36" s="231">
        <v>1906.8</v>
      </c>
      <c r="K36" s="231">
        <v>1909.2</v>
      </c>
      <c r="L36" s="228">
        <v>-2.4</v>
      </c>
      <c r="M36" s="229">
        <v>-1.2999999999999999E-3</v>
      </c>
      <c r="N36" s="231">
        <v>1908.2</v>
      </c>
      <c r="O36" s="231">
        <v>1912.6</v>
      </c>
      <c r="P36" s="228">
        <v>-4.4000000000000004</v>
      </c>
      <c r="Q36" s="229">
        <v>-2.3E-3</v>
      </c>
      <c r="R36" s="231">
        <v>1918</v>
      </c>
      <c r="S36" s="231">
        <v>1922.2</v>
      </c>
      <c r="T36" s="228">
        <v>-4.2</v>
      </c>
      <c r="U36" s="229">
        <v>-2.2000000000000001E-3</v>
      </c>
      <c r="V36" s="228">
        <v>0</v>
      </c>
      <c r="W36" s="228">
        <v>0</v>
      </c>
      <c r="X36" s="228">
        <v>0</v>
      </c>
      <c r="Y36" s="229">
        <v>0</v>
      </c>
      <c r="Z36" s="228">
        <v>1.4</v>
      </c>
      <c r="AA36" s="228">
        <v>3.4</v>
      </c>
      <c r="AB36" s="228">
        <v>-2</v>
      </c>
      <c r="AC36" s="229">
        <v>6.9999999999999999E-4</v>
      </c>
      <c r="AD36" s="228">
        <v>1.4</v>
      </c>
      <c r="AE36" s="228">
        <v>3.4</v>
      </c>
      <c r="AF36" s="228">
        <v>-2</v>
      </c>
      <c r="AG36" s="229">
        <v>6.9999999999999999E-4</v>
      </c>
      <c r="AH36" s="228">
        <v>11.2</v>
      </c>
      <c r="AI36" s="228">
        <v>13</v>
      </c>
      <c r="AJ36" s="228">
        <v>-1.8</v>
      </c>
      <c r="AK36" s="229">
        <v>5.8999999999999999E-3</v>
      </c>
      <c r="AL36" s="228">
        <v>0</v>
      </c>
      <c r="AM36" s="228">
        <v>0</v>
      </c>
      <c r="AN36" s="228">
        <v>0</v>
      </c>
      <c r="AO36" s="229">
        <v>0</v>
      </c>
      <c r="AP36" s="231">
        <v>1901.75</v>
      </c>
      <c r="AQ36" s="231">
        <v>1908.84</v>
      </c>
      <c r="AR36" s="228">
        <v>0</v>
      </c>
      <c r="AS36" s="228">
        <v>566</v>
      </c>
      <c r="AT36" s="228">
        <v>618</v>
      </c>
      <c r="AU36" s="228">
        <v>-52</v>
      </c>
      <c r="AV36" s="229">
        <v>-8.3699999999999997E-2</v>
      </c>
      <c r="AW36" s="228">
        <v>454</v>
      </c>
      <c r="AX36" s="228">
        <v>507</v>
      </c>
      <c r="AY36" s="228">
        <v>-53</v>
      </c>
      <c r="AZ36" s="229">
        <v>-0.1043</v>
      </c>
      <c r="BA36" s="228">
        <v>106</v>
      </c>
      <c r="BB36" s="228">
        <v>101</v>
      </c>
      <c r="BC36" s="228">
        <v>5</v>
      </c>
      <c r="BD36" s="229">
        <v>5.1400000000000001E-2</v>
      </c>
      <c r="BE36" s="228">
        <v>0</v>
      </c>
      <c r="BF36" s="228">
        <v>0</v>
      </c>
      <c r="BG36" s="228">
        <v>0</v>
      </c>
      <c r="BH36" s="229">
        <v>0</v>
      </c>
      <c r="BI36" s="230">
        <v>3042</v>
      </c>
      <c r="BJ36" s="230">
        <v>3146</v>
      </c>
      <c r="BK36" s="228">
        <v>-105</v>
      </c>
      <c r="BL36" s="229">
        <v>-3.3300000000000003E-2</v>
      </c>
      <c r="BM36" s="230">
        <v>1201</v>
      </c>
      <c r="BN36" s="228">
        <v>955</v>
      </c>
      <c r="BO36" s="228">
        <v>245</v>
      </c>
      <c r="BP36" s="229">
        <v>0.25690000000000002</v>
      </c>
      <c r="BQ36" s="230">
        <v>4809</v>
      </c>
      <c r="BR36" s="230">
        <v>4720</v>
      </c>
      <c r="BS36" s="228">
        <v>89</v>
      </c>
      <c r="BT36" s="229">
        <v>1.8800000000000001E-2</v>
      </c>
      <c r="BU36" s="230">
        <v>4558483</v>
      </c>
      <c r="BV36" s="230">
        <v>5155225</v>
      </c>
      <c r="BW36" s="230">
        <v>-596742</v>
      </c>
      <c r="BX36" s="229">
        <v>-0.1158</v>
      </c>
      <c r="BY36" s="230">
        <v>9584</v>
      </c>
      <c r="BZ36" s="230">
        <v>9638</v>
      </c>
      <c r="CA36" s="228">
        <v>-55</v>
      </c>
      <c r="CB36" s="229">
        <v>-5.7000000000000002E-3</v>
      </c>
      <c r="CC36" s="230">
        <v>7984</v>
      </c>
      <c r="CD36" s="230">
        <v>8086</v>
      </c>
      <c r="CE36" s="228">
        <v>-102</v>
      </c>
      <c r="CF36" s="229">
        <v>-1.26E-2</v>
      </c>
      <c r="CG36" s="230">
        <v>1269</v>
      </c>
      <c r="CH36" s="230">
        <v>1225</v>
      </c>
      <c r="CI36" s="228">
        <v>44</v>
      </c>
      <c r="CJ36" s="229">
        <v>3.6299999999999999E-2</v>
      </c>
      <c r="CK36" s="228">
        <v>0</v>
      </c>
      <c r="CL36" s="228">
        <v>0</v>
      </c>
      <c r="CM36" s="228">
        <v>0</v>
      </c>
      <c r="CN36" s="229">
        <v>0</v>
      </c>
      <c r="CO36" s="230">
        <v>4073</v>
      </c>
      <c r="CP36" s="230">
        <v>4083</v>
      </c>
      <c r="CQ36" s="228">
        <v>-10</v>
      </c>
      <c r="CR36" s="229">
        <v>-2.3999999999999998E-3</v>
      </c>
      <c r="CS36" s="230">
        <v>1697</v>
      </c>
      <c r="CT36" s="230">
        <v>1692</v>
      </c>
      <c r="CU36" s="228">
        <v>6</v>
      </c>
      <c r="CV36" s="229">
        <v>3.5000000000000001E-3</v>
      </c>
      <c r="CW36" s="230">
        <v>15354</v>
      </c>
      <c r="CX36" s="230">
        <v>15413</v>
      </c>
      <c r="CY36" s="228">
        <v>-59</v>
      </c>
      <c r="CZ36" s="229">
        <v>-3.8E-3</v>
      </c>
      <c r="DA36" s="228">
        <v>19.3</v>
      </c>
      <c r="DB36" s="228">
        <v>19.96</v>
      </c>
      <c r="DC36" s="228">
        <v>-0.66</v>
      </c>
      <c r="DD36" s="228">
        <v>-0.66</v>
      </c>
      <c r="DE36" s="228">
        <v>26.35</v>
      </c>
      <c r="DF36" s="228">
        <v>26.41</v>
      </c>
      <c r="DG36" s="228">
        <v>-7.05</v>
      </c>
      <c r="DH36" s="228">
        <v>-0.06</v>
      </c>
      <c r="DI36" s="228">
        <v>19.47</v>
      </c>
      <c r="DJ36" s="228">
        <v>20.12</v>
      </c>
      <c r="DK36" s="228">
        <v>-0.65</v>
      </c>
      <c r="DL36" s="228">
        <v>-0.65</v>
      </c>
      <c r="DM36" s="228">
        <v>18.88</v>
      </c>
      <c r="DN36" s="228">
        <v>19.440000000000001</v>
      </c>
      <c r="DO36" s="228">
        <v>-0.56000000000000005</v>
      </c>
      <c r="DP36" s="228">
        <v>-0.56000000000000005</v>
      </c>
      <c r="DQ36" s="228">
        <v>0.42</v>
      </c>
      <c r="DR36" s="228">
        <v>0.41</v>
      </c>
      <c r="DS36" s="228">
        <v>0.01</v>
      </c>
      <c r="DT36" s="229">
        <v>2.4400000000000002E-2</v>
      </c>
      <c r="DU36" s="231">
        <v>2000</v>
      </c>
      <c r="DV36" s="231">
        <v>1900</v>
      </c>
      <c r="DW36" s="228">
        <v>0.39</v>
      </c>
      <c r="DX36" s="228">
        <v>0.3</v>
      </c>
      <c r="DY36" s="228">
        <v>0.09</v>
      </c>
      <c r="DZ36" s="229">
        <v>0.3</v>
      </c>
      <c r="EA36" s="229">
        <v>0.13239999999999999</v>
      </c>
      <c r="EB36" s="230">
        <v>6417250</v>
      </c>
      <c r="EC36" s="229">
        <v>5.1000000000000004E-3</v>
      </c>
      <c r="ED36" s="229">
        <v>0.13239999999999999</v>
      </c>
      <c r="EE36" s="228">
        <v>7.09</v>
      </c>
      <c r="EF36" s="229">
        <v>3.7000000000000002E-3</v>
      </c>
      <c r="EG36" s="230">
        <v>3440997</v>
      </c>
      <c r="EH36" s="230">
        <v>3826012</v>
      </c>
      <c r="EI36" s="229">
        <v>-0.10059999999999999</v>
      </c>
      <c r="EJ36" s="229">
        <v>0.75490000000000002</v>
      </c>
      <c r="EK36" s="231">
        <v>3143.42</v>
      </c>
      <c r="EL36" s="231">
        <v>1189.74</v>
      </c>
      <c r="EM36" s="228">
        <v>564.85</v>
      </c>
      <c r="EN36" s="228">
        <v>0</v>
      </c>
      <c r="EO36" s="231">
        <v>4898.01</v>
      </c>
      <c r="EP36" s="231">
        <v>4837.32</v>
      </c>
      <c r="EQ36" s="228">
        <v>60.69</v>
      </c>
      <c r="ER36" s="229">
        <v>1.2500000000000001E-2</v>
      </c>
      <c r="ES36" s="231">
        <v>4295.24</v>
      </c>
      <c r="ET36" s="231">
        <v>1693.97</v>
      </c>
      <c r="EU36" s="231">
        <v>9593.82</v>
      </c>
      <c r="EV36" s="231">
        <v>579085354</v>
      </c>
      <c r="EW36" s="231">
        <v>15583.04</v>
      </c>
      <c r="EX36" s="231">
        <v>15671.29</v>
      </c>
      <c r="EY36" s="228">
        <v>-88.25</v>
      </c>
      <c r="EZ36" s="229">
        <v>-5.5999999999999999E-3</v>
      </c>
      <c r="FA36" s="229">
        <v>0.13900000000000001</v>
      </c>
      <c r="FB36" s="227" t="s">
        <v>568</v>
      </c>
      <c r="FC36">
        <f t="shared" si="0"/>
        <v>1600</v>
      </c>
    </row>
    <row r="37" spans="1:159" ht="17.25" thickBot="1" x14ac:dyDescent="0.3">
      <c r="A37" s="226">
        <v>45860</v>
      </c>
      <c r="B37" s="227" t="s">
        <v>184</v>
      </c>
      <c r="C37" s="227" t="s">
        <v>190</v>
      </c>
      <c r="D37" s="228">
        <v>2625</v>
      </c>
      <c r="E37" s="228">
        <v>9</v>
      </c>
      <c r="F37" s="228">
        <v>250.8</v>
      </c>
      <c r="G37" s="228">
        <v>255.3</v>
      </c>
      <c r="H37" s="228">
        <v>-4.5</v>
      </c>
      <c r="I37" s="229">
        <v>-1.7600000000000001E-2</v>
      </c>
      <c r="J37" s="228">
        <v>250.5</v>
      </c>
      <c r="K37" s="228">
        <v>254.65</v>
      </c>
      <c r="L37" s="228">
        <v>-4.1500000000000004</v>
      </c>
      <c r="M37" s="229">
        <v>-1.6299999999999999E-2</v>
      </c>
      <c r="N37" s="228">
        <v>250.8</v>
      </c>
      <c r="O37" s="228">
        <v>255.3</v>
      </c>
      <c r="P37" s="228">
        <v>-4.5</v>
      </c>
      <c r="Q37" s="229">
        <v>-1.7600000000000001E-2</v>
      </c>
      <c r="R37" s="228">
        <v>252.1</v>
      </c>
      <c r="S37" s="228">
        <v>256.5</v>
      </c>
      <c r="T37" s="228">
        <v>-4.4000000000000004</v>
      </c>
      <c r="U37" s="229">
        <v>-1.72E-2</v>
      </c>
      <c r="V37" s="228">
        <v>0</v>
      </c>
      <c r="W37" s="228">
        <v>0</v>
      </c>
      <c r="X37" s="228">
        <v>0</v>
      </c>
      <c r="Y37" s="229">
        <v>0</v>
      </c>
      <c r="Z37" s="228">
        <v>0.3</v>
      </c>
      <c r="AA37" s="228">
        <v>0.65</v>
      </c>
      <c r="AB37" s="228">
        <v>-0.35</v>
      </c>
      <c r="AC37" s="229">
        <v>1.1999999999999999E-3</v>
      </c>
      <c r="AD37" s="228">
        <v>0.3</v>
      </c>
      <c r="AE37" s="228">
        <v>0.65</v>
      </c>
      <c r="AF37" s="228">
        <v>-0.35</v>
      </c>
      <c r="AG37" s="229">
        <v>1.1999999999999999E-3</v>
      </c>
      <c r="AH37" s="228">
        <v>1.6</v>
      </c>
      <c r="AI37" s="228">
        <v>1.85</v>
      </c>
      <c r="AJ37" s="228">
        <v>-0.25</v>
      </c>
      <c r="AK37" s="229">
        <v>6.4000000000000003E-3</v>
      </c>
      <c r="AL37" s="228">
        <v>0</v>
      </c>
      <c r="AM37" s="228">
        <v>0</v>
      </c>
      <c r="AN37" s="228">
        <v>0</v>
      </c>
      <c r="AO37" s="229">
        <v>0</v>
      </c>
      <c r="AP37" s="228">
        <v>252.43</v>
      </c>
      <c r="AQ37" s="228">
        <v>253.69</v>
      </c>
      <c r="AR37" s="228">
        <v>0</v>
      </c>
      <c r="AS37" s="228">
        <v>207</v>
      </c>
      <c r="AT37" s="228">
        <v>233</v>
      </c>
      <c r="AU37" s="228">
        <v>-25</v>
      </c>
      <c r="AV37" s="229">
        <v>-0.1094</v>
      </c>
      <c r="AW37" s="228">
        <v>163</v>
      </c>
      <c r="AX37" s="228">
        <v>192</v>
      </c>
      <c r="AY37" s="228">
        <v>-29</v>
      </c>
      <c r="AZ37" s="229">
        <v>-0.1497</v>
      </c>
      <c r="BA37" s="228">
        <v>42</v>
      </c>
      <c r="BB37" s="228">
        <v>38</v>
      </c>
      <c r="BC37" s="228">
        <v>4</v>
      </c>
      <c r="BD37" s="229">
        <v>0.1065</v>
      </c>
      <c r="BE37" s="228">
        <v>0</v>
      </c>
      <c r="BF37" s="228">
        <v>0</v>
      </c>
      <c r="BG37" s="228">
        <v>0</v>
      </c>
      <c r="BH37" s="229">
        <v>0</v>
      </c>
      <c r="BI37" s="228">
        <v>552</v>
      </c>
      <c r="BJ37" s="228">
        <v>590</v>
      </c>
      <c r="BK37" s="228">
        <v>-37</v>
      </c>
      <c r="BL37" s="229">
        <v>-6.3200000000000006E-2</v>
      </c>
      <c r="BM37" s="228">
        <v>298</v>
      </c>
      <c r="BN37" s="228">
        <v>266</v>
      </c>
      <c r="BO37" s="228">
        <v>31</v>
      </c>
      <c r="BP37" s="229">
        <v>0.1179</v>
      </c>
      <c r="BQ37" s="230">
        <v>1058</v>
      </c>
      <c r="BR37" s="230">
        <v>1089</v>
      </c>
      <c r="BS37" s="228">
        <v>-31</v>
      </c>
      <c r="BT37" s="229">
        <v>-2.8799999999999999E-2</v>
      </c>
      <c r="BU37" s="230">
        <v>3561715</v>
      </c>
      <c r="BV37" s="230">
        <v>3826121</v>
      </c>
      <c r="BW37" s="230">
        <v>-264406</v>
      </c>
      <c r="BX37" s="229">
        <v>-6.9099999999999995E-2</v>
      </c>
      <c r="BY37" s="230">
        <v>1413</v>
      </c>
      <c r="BZ37" s="230">
        <v>1415</v>
      </c>
      <c r="CA37" s="228">
        <v>-2</v>
      </c>
      <c r="CB37" s="229">
        <v>-1.5E-3</v>
      </c>
      <c r="CC37" s="230">
        <v>1263</v>
      </c>
      <c r="CD37" s="230">
        <v>1285</v>
      </c>
      <c r="CE37" s="228">
        <v>-22</v>
      </c>
      <c r="CF37" s="229">
        <v>-1.72E-2</v>
      </c>
      <c r="CG37" s="228">
        <v>131</v>
      </c>
      <c r="CH37" s="228">
        <v>111</v>
      </c>
      <c r="CI37" s="228">
        <v>20</v>
      </c>
      <c r="CJ37" s="229">
        <v>0.1772</v>
      </c>
      <c r="CK37" s="228">
        <v>0</v>
      </c>
      <c r="CL37" s="228">
        <v>0</v>
      </c>
      <c r="CM37" s="228">
        <v>0</v>
      </c>
      <c r="CN37" s="229">
        <v>0</v>
      </c>
      <c r="CO37" s="228">
        <v>884</v>
      </c>
      <c r="CP37" s="228">
        <v>829</v>
      </c>
      <c r="CQ37" s="228">
        <v>55</v>
      </c>
      <c r="CR37" s="229">
        <v>6.7000000000000004E-2</v>
      </c>
      <c r="CS37" s="228">
        <v>463</v>
      </c>
      <c r="CT37" s="228">
        <v>447</v>
      </c>
      <c r="CU37" s="228">
        <v>16</v>
      </c>
      <c r="CV37" s="229">
        <v>3.6499999999999998E-2</v>
      </c>
      <c r="CW37" s="230">
        <v>2760</v>
      </c>
      <c r="CX37" s="230">
        <v>2690</v>
      </c>
      <c r="CY37" s="228">
        <v>70</v>
      </c>
      <c r="CZ37" s="229">
        <v>2.5899999999999999E-2</v>
      </c>
      <c r="DA37" s="228">
        <v>32.270000000000003</v>
      </c>
      <c r="DB37" s="228">
        <v>32.020000000000003</v>
      </c>
      <c r="DC37" s="228">
        <v>0.25</v>
      </c>
      <c r="DD37" s="228">
        <v>0.25</v>
      </c>
      <c r="DE37" s="228">
        <v>49.32</v>
      </c>
      <c r="DF37" s="228">
        <v>49.38</v>
      </c>
      <c r="DG37" s="228">
        <v>-17.05</v>
      </c>
      <c r="DH37" s="228">
        <v>-0.06</v>
      </c>
      <c r="DI37" s="228">
        <v>33.25</v>
      </c>
      <c r="DJ37" s="228">
        <v>32.51</v>
      </c>
      <c r="DK37" s="228">
        <v>0.74</v>
      </c>
      <c r="DL37" s="228">
        <v>0.74</v>
      </c>
      <c r="DM37" s="228">
        <v>30.46</v>
      </c>
      <c r="DN37" s="228">
        <v>30.92</v>
      </c>
      <c r="DO37" s="228">
        <v>-0.46</v>
      </c>
      <c r="DP37" s="228">
        <v>-0.46</v>
      </c>
      <c r="DQ37" s="228">
        <v>0.52</v>
      </c>
      <c r="DR37" s="228">
        <v>0.54</v>
      </c>
      <c r="DS37" s="228">
        <v>-0.02</v>
      </c>
      <c r="DT37" s="229">
        <v>-3.6999999999999998E-2</v>
      </c>
      <c r="DU37" s="228">
        <v>270</v>
      </c>
      <c r="DV37" s="228">
        <v>250</v>
      </c>
      <c r="DW37" s="228">
        <v>0.54</v>
      </c>
      <c r="DX37" s="228">
        <v>0.45</v>
      </c>
      <c r="DY37" s="228">
        <v>0.09</v>
      </c>
      <c r="DZ37" s="229">
        <v>0.2</v>
      </c>
      <c r="EA37" s="229">
        <v>9.2600000000000002E-2</v>
      </c>
      <c r="EB37" s="230">
        <v>4428375</v>
      </c>
      <c r="EC37" s="229">
        <v>5.1999999999999998E-3</v>
      </c>
      <c r="ED37" s="229">
        <v>9.2600000000000002E-2</v>
      </c>
      <c r="EE37" s="228">
        <v>1.26</v>
      </c>
      <c r="EF37" s="229">
        <v>5.0000000000000001E-3</v>
      </c>
      <c r="EG37" s="230">
        <v>1284078</v>
      </c>
      <c r="EH37" s="230">
        <v>1632992</v>
      </c>
      <c r="EI37" s="229">
        <v>-0.2137</v>
      </c>
      <c r="EJ37" s="229">
        <v>0.36049999999999999</v>
      </c>
      <c r="EK37" s="228">
        <v>584.28</v>
      </c>
      <c r="EL37" s="228">
        <v>301.82</v>
      </c>
      <c r="EM37" s="228">
        <v>209.03</v>
      </c>
      <c r="EN37" s="228">
        <v>0</v>
      </c>
      <c r="EO37" s="231">
        <v>1095.1300000000001</v>
      </c>
      <c r="EP37" s="231">
        <v>1130.8599999999999</v>
      </c>
      <c r="EQ37" s="228">
        <v>-35.729999999999997</v>
      </c>
      <c r="ER37" s="229">
        <v>-3.1600000000000003E-2</v>
      </c>
      <c r="ES37" s="228">
        <v>957.13</v>
      </c>
      <c r="ET37" s="228">
        <v>465.71</v>
      </c>
      <c r="EU37" s="231">
        <v>1413.43</v>
      </c>
      <c r="EV37" s="231">
        <v>256482590</v>
      </c>
      <c r="EW37" s="231">
        <v>2836.27</v>
      </c>
      <c r="EX37" s="231">
        <v>2790.56</v>
      </c>
      <c r="EY37" s="228">
        <v>45.71</v>
      </c>
      <c r="EZ37" s="229">
        <v>1.6400000000000001E-2</v>
      </c>
      <c r="FA37" s="229">
        <v>0.42899999999999999</v>
      </c>
      <c r="FB37" s="227" t="s">
        <v>568</v>
      </c>
      <c r="FC37">
        <f t="shared" si="0"/>
        <v>150</v>
      </c>
    </row>
    <row r="38" spans="1:159" ht="17.25" thickBot="1" x14ac:dyDescent="0.3">
      <c r="A38" s="226">
        <v>45860</v>
      </c>
      <c r="B38" s="227" t="s">
        <v>170</v>
      </c>
      <c r="C38" s="227" t="s">
        <v>191</v>
      </c>
      <c r="D38" s="228">
        <v>2500</v>
      </c>
      <c r="E38" s="228">
        <v>9</v>
      </c>
      <c r="F38" s="228">
        <v>388.05</v>
      </c>
      <c r="G38" s="228">
        <v>396</v>
      </c>
      <c r="H38" s="228">
        <v>-7.95</v>
      </c>
      <c r="I38" s="229">
        <v>-2.01E-2</v>
      </c>
      <c r="J38" s="228">
        <v>387.2</v>
      </c>
      <c r="K38" s="228">
        <v>394.65</v>
      </c>
      <c r="L38" s="228">
        <v>-7.45</v>
      </c>
      <c r="M38" s="229">
        <v>-1.89E-2</v>
      </c>
      <c r="N38" s="228">
        <v>388.05</v>
      </c>
      <c r="O38" s="228">
        <v>396</v>
      </c>
      <c r="P38" s="228">
        <v>-7.95</v>
      </c>
      <c r="Q38" s="229">
        <v>-2.01E-2</v>
      </c>
      <c r="R38" s="228">
        <v>390.1</v>
      </c>
      <c r="S38" s="228">
        <v>397.95</v>
      </c>
      <c r="T38" s="228">
        <v>-7.85</v>
      </c>
      <c r="U38" s="229">
        <v>-1.9699999999999999E-2</v>
      </c>
      <c r="V38" s="228">
        <v>0</v>
      </c>
      <c r="W38" s="228">
        <v>0</v>
      </c>
      <c r="X38" s="228">
        <v>0</v>
      </c>
      <c r="Y38" s="229">
        <v>0</v>
      </c>
      <c r="Z38" s="228">
        <v>0.85</v>
      </c>
      <c r="AA38" s="228">
        <v>1.35</v>
      </c>
      <c r="AB38" s="228">
        <v>-0.5</v>
      </c>
      <c r="AC38" s="229">
        <v>2.2000000000000001E-3</v>
      </c>
      <c r="AD38" s="228">
        <v>0.85</v>
      </c>
      <c r="AE38" s="228">
        <v>1.35</v>
      </c>
      <c r="AF38" s="228">
        <v>-0.5</v>
      </c>
      <c r="AG38" s="229">
        <v>2.2000000000000001E-3</v>
      </c>
      <c r="AH38" s="228">
        <v>2.9</v>
      </c>
      <c r="AI38" s="228">
        <v>3.3</v>
      </c>
      <c r="AJ38" s="228">
        <v>-0.4</v>
      </c>
      <c r="AK38" s="229">
        <v>7.4999999999999997E-3</v>
      </c>
      <c r="AL38" s="228">
        <v>0</v>
      </c>
      <c r="AM38" s="228">
        <v>0</v>
      </c>
      <c r="AN38" s="228">
        <v>0</v>
      </c>
      <c r="AO38" s="229">
        <v>0</v>
      </c>
      <c r="AP38" s="228">
        <v>390.47</v>
      </c>
      <c r="AQ38" s="228">
        <v>392.89</v>
      </c>
      <c r="AR38" s="228">
        <v>0</v>
      </c>
      <c r="AS38" s="228">
        <v>310</v>
      </c>
      <c r="AT38" s="228">
        <v>224</v>
      </c>
      <c r="AU38" s="228">
        <v>86</v>
      </c>
      <c r="AV38" s="229">
        <v>0.38200000000000001</v>
      </c>
      <c r="AW38" s="228">
        <v>237</v>
      </c>
      <c r="AX38" s="228">
        <v>170</v>
      </c>
      <c r="AY38" s="228">
        <v>67</v>
      </c>
      <c r="AZ38" s="229">
        <v>0.39350000000000002</v>
      </c>
      <c r="BA38" s="228">
        <v>69</v>
      </c>
      <c r="BB38" s="228">
        <v>50</v>
      </c>
      <c r="BC38" s="228">
        <v>19</v>
      </c>
      <c r="BD38" s="229">
        <v>0.36730000000000002</v>
      </c>
      <c r="BE38" s="228">
        <v>0</v>
      </c>
      <c r="BF38" s="228">
        <v>0</v>
      </c>
      <c r="BG38" s="228">
        <v>0</v>
      </c>
      <c r="BH38" s="229">
        <v>0</v>
      </c>
      <c r="BI38" s="228">
        <v>706</v>
      </c>
      <c r="BJ38" s="228">
        <v>568</v>
      </c>
      <c r="BK38" s="228">
        <v>137</v>
      </c>
      <c r="BL38" s="229">
        <v>0.24160000000000001</v>
      </c>
      <c r="BM38" s="228">
        <v>419</v>
      </c>
      <c r="BN38" s="228">
        <v>287</v>
      </c>
      <c r="BO38" s="228">
        <v>132</v>
      </c>
      <c r="BP38" s="229">
        <v>0.45960000000000001</v>
      </c>
      <c r="BQ38" s="230">
        <v>1435</v>
      </c>
      <c r="BR38" s="230">
        <v>1080</v>
      </c>
      <c r="BS38" s="228">
        <v>355</v>
      </c>
      <c r="BT38" s="229">
        <v>0.32879999999999998</v>
      </c>
      <c r="BU38" s="230">
        <v>2491078</v>
      </c>
      <c r="BV38" s="230">
        <v>2655787</v>
      </c>
      <c r="BW38" s="230">
        <v>-164709</v>
      </c>
      <c r="BX38" s="229">
        <v>-6.2E-2</v>
      </c>
      <c r="BY38" s="230">
        <v>1534</v>
      </c>
      <c r="BZ38" s="230">
        <v>1561</v>
      </c>
      <c r="CA38" s="228">
        <v>-27</v>
      </c>
      <c r="CB38" s="229">
        <v>-1.7000000000000001E-2</v>
      </c>
      <c r="CC38" s="230">
        <v>1229</v>
      </c>
      <c r="CD38" s="230">
        <v>1294</v>
      </c>
      <c r="CE38" s="228">
        <v>-65</v>
      </c>
      <c r="CF38" s="229">
        <v>-5.0299999999999997E-2</v>
      </c>
      <c r="CG38" s="228">
        <v>292</v>
      </c>
      <c r="CH38" s="228">
        <v>255</v>
      </c>
      <c r="CI38" s="228">
        <v>37</v>
      </c>
      <c r="CJ38" s="229">
        <v>0.1459</v>
      </c>
      <c r="CK38" s="228">
        <v>0</v>
      </c>
      <c r="CL38" s="228">
        <v>0</v>
      </c>
      <c r="CM38" s="228">
        <v>0</v>
      </c>
      <c r="CN38" s="229">
        <v>0</v>
      </c>
      <c r="CO38" s="228">
        <v>883</v>
      </c>
      <c r="CP38" s="228">
        <v>884</v>
      </c>
      <c r="CQ38" s="228">
        <v>-1</v>
      </c>
      <c r="CR38" s="229">
        <v>-1E-3</v>
      </c>
      <c r="CS38" s="228">
        <v>576</v>
      </c>
      <c r="CT38" s="228">
        <v>627</v>
      </c>
      <c r="CU38" s="228">
        <v>-51</v>
      </c>
      <c r="CV38" s="229">
        <v>-8.1199999999999994E-2</v>
      </c>
      <c r="CW38" s="230">
        <v>2994</v>
      </c>
      <c r="CX38" s="230">
        <v>3072</v>
      </c>
      <c r="CY38" s="228">
        <v>-78</v>
      </c>
      <c r="CZ38" s="229">
        <v>-2.5499999999999998E-2</v>
      </c>
      <c r="DA38" s="228">
        <v>30.2</v>
      </c>
      <c r="DB38" s="228">
        <v>31.45</v>
      </c>
      <c r="DC38" s="228">
        <v>-1.25</v>
      </c>
      <c r="DD38" s="228">
        <v>-1.25</v>
      </c>
      <c r="DE38" s="228">
        <v>41.31</v>
      </c>
      <c r="DF38" s="228">
        <v>41.33</v>
      </c>
      <c r="DG38" s="228">
        <v>-11.11</v>
      </c>
      <c r="DH38" s="228">
        <v>-0.02</v>
      </c>
      <c r="DI38" s="228">
        <v>30.92</v>
      </c>
      <c r="DJ38" s="228">
        <v>31.51</v>
      </c>
      <c r="DK38" s="228">
        <v>-0.59</v>
      </c>
      <c r="DL38" s="228">
        <v>-0.59</v>
      </c>
      <c r="DM38" s="228">
        <v>29</v>
      </c>
      <c r="DN38" s="228">
        <v>31.32</v>
      </c>
      <c r="DO38" s="228">
        <v>-2.3199999999999998</v>
      </c>
      <c r="DP38" s="228">
        <v>-2.3199999999999998</v>
      </c>
      <c r="DQ38" s="228">
        <v>0.65</v>
      </c>
      <c r="DR38" s="228">
        <v>0.71</v>
      </c>
      <c r="DS38" s="228">
        <v>-0.06</v>
      </c>
      <c r="DT38" s="229">
        <v>-8.4500000000000006E-2</v>
      </c>
      <c r="DU38" s="228">
        <v>400</v>
      </c>
      <c r="DV38" s="228">
        <v>390</v>
      </c>
      <c r="DW38" s="228">
        <v>0.59</v>
      </c>
      <c r="DX38" s="228">
        <v>0.51</v>
      </c>
      <c r="DY38" s="228">
        <v>0.08</v>
      </c>
      <c r="DZ38" s="229">
        <v>0.15690000000000001</v>
      </c>
      <c r="EA38" s="229">
        <v>0.19020000000000001</v>
      </c>
      <c r="EB38" s="230">
        <v>6562500</v>
      </c>
      <c r="EC38" s="229">
        <v>5.3E-3</v>
      </c>
      <c r="ED38" s="229">
        <v>0.19020000000000001</v>
      </c>
      <c r="EE38" s="228">
        <v>2.42</v>
      </c>
      <c r="EF38" s="229">
        <v>6.1999999999999998E-3</v>
      </c>
      <c r="EG38" s="230">
        <v>1260613</v>
      </c>
      <c r="EH38" s="230">
        <v>1413410</v>
      </c>
      <c r="EI38" s="229">
        <v>-0.1081</v>
      </c>
      <c r="EJ38" s="229">
        <v>0.50609999999999999</v>
      </c>
      <c r="EK38" s="228">
        <v>745.41</v>
      </c>
      <c r="EL38" s="228">
        <v>419.32</v>
      </c>
      <c r="EM38" s="228">
        <v>311.97000000000003</v>
      </c>
      <c r="EN38" s="228">
        <v>0</v>
      </c>
      <c r="EO38" s="231">
        <v>1476.71</v>
      </c>
      <c r="EP38" s="231">
        <v>1125.3</v>
      </c>
      <c r="EQ38" s="228">
        <v>351.41</v>
      </c>
      <c r="ER38" s="229">
        <v>0.31230000000000002</v>
      </c>
      <c r="ES38" s="228">
        <v>900.87</v>
      </c>
      <c r="ET38" s="228">
        <v>544.91999999999996</v>
      </c>
      <c r="EU38" s="231">
        <v>1535.75</v>
      </c>
      <c r="EV38" s="231">
        <v>121306033</v>
      </c>
      <c r="EW38" s="231">
        <v>2981.54</v>
      </c>
      <c r="EX38" s="231">
        <v>3094.67</v>
      </c>
      <c r="EY38" s="228">
        <v>-113.13</v>
      </c>
      <c r="EZ38" s="229">
        <v>-3.6600000000000001E-2</v>
      </c>
      <c r="FA38" s="229">
        <v>0.63600000000000001</v>
      </c>
      <c r="FB38" s="227" t="s">
        <v>568</v>
      </c>
      <c r="FC38">
        <f t="shared" si="0"/>
        <v>305</v>
      </c>
    </row>
    <row r="39" spans="1:159" ht="17.25" thickBot="1" x14ac:dyDescent="0.3">
      <c r="A39" s="226">
        <v>45860</v>
      </c>
      <c r="B39" s="227" t="s">
        <v>184</v>
      </c>
      <c r="C39" s="227" t="s">
        <v>681</v>
      </c>
      <c r="D39" s="228">
        <v>325</v>
      </c>
      <c r="E39" s="228">
        <v>9</v>
      </c>
      <c r="F39" s="231">
        <v>1769.4</v>
      </c>
      <c r="G39" s="231">
        <v>1823.8</v>
      </c>
      <c r="H39" s="228">
        <v>-54.4</v>
      </c>
      <c r="I39" s="229">
        <v>-2.98E-2</v>
      </c>
      <c r="J39" s="231">
        <v>1764.2</v>
      </c>
      <c r="K39" s="231">
        <v>1819.6</v>
      </c>
      <c r="L39" s="228">
        <v>-55.4</v>
      </c>
      <c r="M39" s="229">
        <v>-3.04E-2</v>
      </c>
      <c r="N39" s="231">
        <v>1769.4</v>
      </c>
      <c r="O39" s="231">
        <v>1823.8</v>
      </c>
      <c r="P39" s="228">
        <v>-54.4</v>
      </c>
      <c r="Q39" s="229">
        <v>-2.98E-2</v>
      </c>
      <c r="R39" s="231">
        <v>1765.6</v>
      </c>
      <c r="S39" s="231">
        <v>1820.5</v>
      </c>
      <c r="T39" s="228">
        <v>-54.9</v>
      </c>
      <c r="U39" s="229">
        <v>-3.0200000000000001E-2</v>
      </c>
      <c r="V39" s="228">
        <v>0</v>
      </c>
      <c r="W39" s="228">
        <v>0</v>
      </c>
      <c r="X39" s="228">
        <v>0</v>
      </c>
      <c r="Y39" s="229">
        <v>0</v>
      </c>
      <c r="Z39" s="228">
        <v>5.2</v>
      </c>
      <c r="AA39" s="228">
        <v>4.2</v>
      </c>
      <c r="AB39" s="228">
        <v>1</v>
      </c>
      <c r="AC39" s="229">
        <v>2.8999999999999998E-3</v>
      </c>
      <c r="AD39" s="228">
        <v>5.2</v>
      </c>
      <c r="AE39" s="228">
        <v>4.2</v>
      </c>
      <c r="AF39" s="228">
        <v>1</v>
      </c>
      <c r="AG39" s="229">
        <v>2.8999999999999998E-3</v>
      </c>
      <c r="AH39" s="228">
        <v>1.4</v>
      </c>
      <c r="AI39" s="228">
        <v>0.9</v>
      </c>
      <c r="AJ39" s="228">
        <v>0.5</v>
      </c>
      <c r="AK39" s="229">
        <v>8.0000000000000004E-4</v>
      </c>
      <c r="AL39" s="228">
        <v>0</v>
      </c>
      <c r="AM39" s="228">
        <v>0</v>
      </c>
      <c r="AN39" s="228">
        <v>0</v>
      </c>
      <c r="AO39" s="229">
        <v>0</v>
      </c>
      <c r="AP39" s="231">
        <v>1785.1</v>
      </c>
      <c r="AQ39" s="231">
        <v>1785.68</v>
      </c>
      <c r="AR39" s="228">
        <v>0</v>
      </c>
      <c r="AS39" s="228">
        <v>186</v>
      </c>
      <c r="AT39" s="228">
        <v>90</v>
      </c>
      <c r="AU39" s="228">
        <v>96</v>
      </c>
      <c r="AV39" s="229">
        <v>1.0619000000000001</v>
      </c>
      <c r="AW39" s="228">
        <v>133</v>
      </c>
      <c r="AX39" s="228">
        <v>77</v>
      </c>
      <c r="AY39" s="228">
        <v>57</v>
      </c>
      <c r="AZ39" s="229">
        <v>0.73970000000000002</v>
      </c>
      <c r="BA39" s="228">
        <v>45</v>
      </c>
      <c r="BB39" s="228">
        <v>13</v>
      </c>
      <c r="BC39" s="228">
        <v>32</v>
      </c>
      <c r="BD39" s="229">
        <v>2.5156999999999998</v>
      </c>
      <c r="BE39" s="228">
        <v>0</v>
      </c>
      <c r="BF39" s="228">
        <v>0</v>
      </c>
      <c r="BG39" s="228">
        <v>0</v>
      </c>
      <c r="BH39" s="229">
        <v>0</v>
      </c>
      <c r="BI39" s="228">
        <v>498</v>
      </c>
      <c r="BJ39" s="228">
        <v>351</v>
      </c>
      <c r="BK39" s="228">
        <v>147</v>
      </c>
      <c r="BL39" s="229">
        <v>0.41789999999999999</v>
      </c>
      <c r="BM39" s="228">
        <v>423</v>
      </c>
      <c r="BN39" s="228">
        <v>622</v>
      </c>
      <c r="BO39" s="228">
        <v>-200</v>
      </c>
      <c r="BP39" s="229">
        <v>-0.32100000000000001</v>
      </c>
      <c r="BQ39" s="230">
        <v>1106</v>
      </c>
      <c r="BR39" s="230">
        <v>1064</v>
      </c>
      <c r="BS39" s="228">
        <v>43</v>
      </c>
      <c r="BT39" s="229">
        <v>4.0099999999999997E-2</v>
      </c>
      <c r="BU39" s="230">
        <v>939908</v>
      </c>
      <c r="BV39" s="230">
        <v>494022</v>
      </c>
      <c r="BW39" s="230">
        <v>445886</v>
      </c>
      <c r="BX39" s="229">
        <v>0.90259999999999996</v>
      </c>
      <c r="BY39" s="228">
        <v>395</v>
      </c>
      <c r="BZ39" s="228">
        <v>380</v>
      </c>
      <c r="CA39" s="228">
        <v>15</v>
      </c>
      <c r="CB39" s="229">
        <v>4.0099999999999997E-2</v>
      </c>
      <c r="CC39" s="228">
        <v>288</v>
      </c>
      <c r="CD39" s="228">
        <v>292</v>
      </c>
      <c r="CE39" s="228">
        <v>-4</v>
      </c>
      <c r="CF39" s="229">
        <v>-1.2800000000000001E-2</v>
      </c>
      <c r="CG39" s="228">
        <v>98</v>
      </c>
      <c r="CH39" s="228">
        <v>85</v>
      </c>
      <c r="CI39" s="228">
        <v>14</v>
      </c>
      <c r="CJ39" s="229">
        <v>0.16009999999999999</v>
      </c>
      <c r="CK39" s="228">
        <v>0</v>
      </c>
      <c r="CL39" s="228">
        <v>0</v>
      </c>
      <c r="CM39" s="228">
        <v>0</v>
      </c>
      <c r="CN39" s="229">
        <v>0</v>
      </c>
      <c r="CO39" s="228">
        <v>294</v>
      </c>
      <c r="CP39" s="228">
        <v>271</v>
      </c>
      <c r="CQ39" s="228">
        <v>23</v>
      </c>
      <c r="CR39" s="229">
        <v>8.3699999999999997E-2</v>
      </c>
      <c r="CS39" s="228">
        <v>295</v>
      </c>
      <c r="CT39" s="228">
        <v>309</v>
      </c>
      <c r="CU39" s="228">
        <v>-14</v>
      </c>
      <c r="CV39" s="229">
        <v>-4.5499999999999999E-2</v>
      </c>
      <c r="CW39" s="228">
        <v>985</v>
      </c>
      <c r="CX39" s="228">
        <v>961</v>
      </c>
      <c r="CY39" s="228">
        <v>24</v>
      </c>
      <c r="CZ39" s="229">
        <v>2.4799999999999999E-2</v>
      </c>
      <c r="DA39" s="228">
        <v>32.5</v>
      </c>
      <c r="DB39" s="228">
        <v>33.44</v>
      </c>
      <c r="DC39" s="228">
        <v>-0.94</v>
      </c>
      <c r="DD39" s="228">
        <v>-0.94</v>
      </c>
      <c r="DE39" s="228">
        <v>45.1</v>
      </c>
      <c r="DF39" s="228">
        <v>45.02</v>
      </c>
      <c r="DG39" s="228">
        <v>-12.6</v>
      </c>
      <c r="DH39" s="228">
        <v>0.08</v>
      </c>
      <c r="DI39" s="228">
        <v>34.76</v>
      </c>
      <c r="DJ39" s="228">
        <v>34.61</v>
      </c>
      <c r="DK39" s="228">
        <v>0.15</v>
      </c>
      <c r="DL39" s="228">
        <v>0.15</v>
      </c>
      <c r="DM39" s="228">
        <v>29.84</v>
      </c>
      <c r="DN39" s="228">
        <v>32.78</v>
      </c>
      <c r="DO39" s="228">
        <v>-2.94</v>
      </c>
      <c r="DP39" s="228">
        <v>-2.94</v>
      </c>
      <c r="DQ39" s="228">
        <v>1</v>
      </c>
      <c r="DR39" s="228">
        <v>1.1399999999999999</v>
      </c>
      <c r="DS39" s="228">
        <v>-0.14000000000000001</v>
      </c>
      <c r="DT39" s="229">
        <v>-0.12280000000000001</v>
      </c>
      <c r="DU39" s="231">
        <v>1900</v>
      </c>
      <c r="DV39" s="231">
        <v>1700</v>
      </c>
      <c r="DW39" s="228">
        <v>0.85</v>
      </c>
      <c r="DX39" s="228">
        <v>1.77</v>
      </c>
      <c r="DY39" s="228">
        <v>-0.92</v>
      </c>
      <c r="DZ39" s="229">
        <v>-0.51980000000000004</v>
      </c>
      <c r="EA39" s="229">
        <v>0.2487</v>
      </c>
      <c r="EB39" s="230">
        <v>479050</v>
      </c>
      <c r="EC39" s="229">
        <v>-2.0999999999999999E-3</v>
      </c>
      <c r="ED39" s="229">
        <v>0.2487</v>
      </c>
      <c r="EE39" s="228">
        <v>0.57999999999999996</v>
      </c>
      <c r="EF39" s="229">
        <v>2.9999999999999997E-4</v>
      </c>
      <c r="EG39" s="230">
        <v>469891</v>
      </c>
      <c r="EH39" s="230">
        <v>201587</v>
      </c>
      <c r="EI39" s="229">
        <v>1.331</v>
      </c>
      <c r="EJ39" s="229">
        <v>0.49990000000000001</v>
      </c>
      <c r="EK39" s="228">
        <v>535.13</v>
      </c>
      <c r="EL39" s="228">
        <v>421.09</v>
      </c>
      <c r="EM39" s="228">
        <v>187.57</v>
      </c>
      <c r="EN39" s="228">
        <v>0</v>
      </c>
      <c r="EO39" s="231">
        <v>1143.78</v>
      </c>
      <c r="EP39" s="231">
        <v>1087.28</v>
      </c>
      <c r="EQ39" s="228">
        <v>56.5</v>
      </c>
      <c r="ER39" s="229">
        <v>5.1999999999999998E-2</v>
      </c>
      <c r="ES39" s="228">
        <v>309.97000000000003</v>
      </c>
      <c r="ET39" s="228">
        <v>281.20999999999998</v>
      </c>
      <c r="EU39" s="228">
        <v>395.18</v>
      </c>
      <c r="EV39" s="231">
        <v>26123462</v>
      </c>
      <c r="EW39" s="228">
        <v>986.36</v>
      </c>
      <c r="EX39" s="228">
        <v>973.66</v>
      </c>
      <c r="EY39" s="228">
        <v>12.7</v>
      </c>
      <c r="EZ39" s="229">
        <v>1.2999999999999999E-2</v>
      </c>
      <c r="FA39" s="229">
        <v>0.21310000000000001</v>
      </c>
      <c r="FB39" s="227" t="s">
        <v>567</v>
      </c>
      <c r="FC39">
        <f t="shared" si="0"/>
        <v>107</v>
      </c>
    </row>
    <row r="40" spans="1:159" ht="17.25" thickBot="1" x14ac:dyDescent="0.3">
      <c r="A40" s="226">
        <v>45860</v>
      </c>
      <c r="B40" s="227" t="s">
        <v>162</v>
      </c>
      <c r="C40" s="227" t="s">
        <v>192</v>
      </c>
      <c r="D40" s="228">
        <v>25</v>
      </c>
      <c r="E40" s="228">
        <v>9</v>
      </c>
      <c r="F40" s="231">
        <v>37350</v>
      </c>
      <c r="G40" s="231">
        <v>37985</v>
      </c>
      <c r="H40" s="228">
        <v>-635</v>
      </c>
      <c r="I40" s="229">
        <v>-1.67E-2</v>
      </c>
      <c r="J40" s="231">
        <v>37755</v>
      </c>
      <c r="K40" s="231">
        <v>38320</v>
      </c>
      <c r="L40" s="228">
        <v>-565</v>
      </c>
      <c r="M40" s="229">
        <v>-1.47E-2</v>
      </c>
      <c r="N40" s="231">
        <v>37350</v>
      </c>
      <c r="O40" s="231">
        <v>37985</v>
      </c>
      <c r="P40" s="228">
        <v>-635</v>
      </c>
      <c r="Q40" s="229">
        <v>-1.67E-2</v>
      </c>
      <c r="R40" s="231">
        <v>37535</v>
      </c>
      <c r="S40" s="231">
        <v>38170</v>
      </c>
      <c r="T40" s="228">
        <v>-635</v>
      </c>
      <c r="U40" s="229">
        <v>-1.66E-2</v>
      </c>
      <c r="V40" s="228">
        <v>0</v>
      </c>
      <c r="W40" s="228">
        <v>0</v>
      </c>
      <c r="X40" s="228">
        <v>0</v>
      </c>
      <c r="Y40" s="229">
        <v>0</v>
      </c>
      <c r="Z40" s="228">
        <v>-405</v>
      </c>
      <c r="AA40" s="228">
        <v>-335</v>
      </c>
      <c r="AB40" s="228">
        <v>-70</v>
      </c>
      <c r="AC40" s="229">
        <v>-1.0699999999999999E-2</v>
      </c>
      <c r="AD40" s="228">
        <v>-405</v>
      </c>
      <c r="AE40" s="228">
        <v>-335</v>
      </c>
      <c r="AF40" s="228">
        <v>-70</v>
      </c>
      <c r="AG40" s="229">
        <v>-1.0699999999999999E-2</v>
      </c>
      <c r="AH40" s="228">
        <v>-220</v>
      </c>
      <c r="AI40" s="228">
        <v>-150</v>
      </c>
      <c r="AJ40" s="228">
        <v>-70</v>
      </c>
      <c r="AK40" s="229">
        <v>-5.7999999999999996E-3</v>
      </c>
      <c r="AL40" s="228">
        <v>0</v>
      </c>
      <c r="AM40" s="228">
        <v>0</v>
      </c>
      <c r="AN40" s="228">
        <v>0</v>
      </c>
      <c r="AO40" s="229">
        <v>0</v>
      </c>
      <c r="AP40" s="231">
        <v>37362.720000000001</v>
      </c>
      <c r="AQ40" s="231">
        <v>37529.89</v>
      </c>
      <c r="AR40" s="228">
        <v>0</v>
      </c>
      <c r="AS40" s="228">
        <v>262</v>
      </c>
      <c r="AT40" s="228">
        <v>235</v>
      </c>
      <c r="AU40" s="228">
        <v>26</v>
      </c>
      <c r="AV40" s="229">
        <v>0.1115</v>
      </c>
      <c r="AW40" s="228">
        <v>224</v>
      </c>
      <c r="AX40" s="228">
        <v>211</v>
      </c>
      <c r="AY40" s="228">
        <v>13</v>
      </c>
      <c r="AZ40" s="229">
        <v>5.9200000000000003E-2</v>
      </c>
      <c r="BA40" s="228">
        <v>35</v>
      </c>
      <c r="BB40" s="228">
        <v>22</v>
      </c>
      <c r="BC40" s="228">
        <v>13</v>
      </c>
      <c r="BD40" s="229">
        <v>0.5696</v>
      </c>
      <c r="BE40" s="228">
        <v>0</v>
      </c>
      <c r="BF40" s="228">
        <v>0</v>
      </c>
      <c r="BG40" s="228">
        <v>0</v>
      </c>
      <c r="BH40" s="229">
        <v>0</v>
      </c>
      <c r="BI40" s="230">
        <v>2659</v>
      </c>
      <c r="BJ40" s="230">
        <v>2124</v>
      </c>
      <c r="BK40" s="228">
        <v>534</v>
      </c>
      <c r="BL40" s="229">
        <v>0.2515</v>
      </c>
      <c r="BM40" s="230">
        <v>1370</v>
      </c>
      <c r="BN40" s="228">
        <v>786</v>
      </c>
      <c r="BO40" s="228">
        <v>584</v>
      </c>
      <c r="BP40" s="229">
        <v>0.74199999999999999</v>
      </c>
      <c r="BQ40" s="230">
        <v>4290</v>
      </c>
      <c r="BR40" s="230">
        <v>3146</v>
      </c>
      <c r="BS40" s="230">
        <v>1144</v>
      </c>
      <c r="BT40" s="229">
        <v>0.36359999999999998</v>
      </c>
      <c r="BU40" s="230">
        <v>27684</v>
      </c>
      <c r="BV40" s="230">
        <v>24729</v>
      </c>
      <c r="BW40" s="230">
        <v>2955</v>
      </c>
      <c r="BX40" s="229">
        <v>0.1195</v>
      </c>
      <c r="BY40" s="230">
        <v>1228</v>
      </c>
      <c r="BZ40" s="230">
        <v>1276</v>
      </c>
      <c r="CA40" s="228">
        <v>-48</v>
      </c>
      <c r="CB40" s="229">
        <v>-3.73E-2</v>
      </c>
      <c r="CC40" s="230">
        <v>1170</v>
      </c>
      <c r="CD40" s="230">
        <v>1215</v>
      </c>
      <c r="CE40" s="228">
        <v>-45</v>
      </c>
      <c r="CF40" s="229">
        <v>-3.73E-2</v>
      </c>
      <c r="CG40" s="228">
        <v>46</v>
      </c>
      <c r="CH40" s="228">
        <v>49</v>
      </c>
      <c r="CI40" s="228">
        <v>-3</v>
      </c>
      <c r="CJ40" s="229">
        <v>-5.7500000000000002E-2</v>
      </c>
      <c r="CK40" s="228">
        <v>0</v>
      </c>
      <c r="CL40" s="228">
        <v>0</v>
      </c>
      <c r="CM40" s="228">
        <v>0</v>
      </c>
      <c r="CN40" s="229">
        <v>0</v>
      </c>
      <c r="CO40" s="230">
        <v>1656</v>
      </c>
      <c r="CP40" s="230">
        <v>1848</v>
      </c>
      <c r="CQ40" s="228">
        <v>-192</v>
      </c>
      <c r="CR40" s="229">
        <v>-0.10390000000000001</v>
      </c>
      <c r="CS40" s="228">
        <v>929</v>
      </c>
      <c r="CT40" s="228">
        <v>999</v>
      </c>
      <c r="CU40" s="228">
        <v>-70</v>
      </c>
      <c r="CV40" s="229">
        <v>-7.0000000000000007E-2</v>
      </c>
      <c r="CW40" s="230">
        <v>3813</v>
      </c>
      <c r="CX40" s="230">
        <v>4123</v>
      </c>
      <c r="CY40" s="228">
        <v>-309</v>
      </c>
      <c r="CZ40" s="229">
        <v>-7.51E-2</v>
      </c>
      <c r="DA40" s="228">
        <v>31.64</v>
      </c>
      <c r="DB40" s="228">
        <v>33.9</v>
      </c>
      <c r="DC40" s="228">
        <v>-2.2599999999999998</v>
      </c>
      <c r="DD40" s="228">
        <v>-2.2599999999999998</v>
      </c>
      <c r="DE40" s="228">
        <v>29.64</v>
      </c>
      <c r="DF40" s="228">
        <v>29.63</v>
      </c>
      <c r="DG40" s="228">
        <v>2</v>
      </c>
      <c r="DH40" s="228">
        <v>0.01</v>
      </c>
      <c r="DI40" s="228">
        <v>32.270000000000003</v>
      </c>
      <c r="DJ40" s="228">
        <v>33.64</v>
      </c>
      <c r="DK40" s="228">
        <v>-1.37</v>
      </c>
      <c r="DL40" s="228">
        <v>-1.37</v>
      </c>
      <c r="DM40" s="228">
        <v>30.43</v>
      </c>
      <c r="DN40" s="228">
        <v>34.6</v>
      </c>
      <c r="DO40" s="228">
        <v>-4.17</v>
      </c>
      <c r="DP40" s="228">
        <v>-4.17</v>
      </c>
      <c r="DQ40" s="228">
        <v>0.56000000000000005</v>
      </c>
      <c r="DR40" s="228">
        <v>0.54</v>
      </c>
      <c r="DS40" s="228">
        <v>0.02</v>
      </c>
      <c r="DT40" s="229">
        <v>3.6999999999999998E-2</v>
      </c>
      <c r="DU40" s="231">
        <v>43000</v>
      </c>
      <c r="DV40" s="231">
        <v>35000</v>
      </c>
      <c r="DW40" s="228">
        <v>0.52</v>
      </c>
      <c r="DX40" s="228">
        <v>0.37</v>
      </c>
      <c r="DY40" s="228">
        <v>0.15</v>
      </c>
      <c r="DZ40" s="229">
        <v>0.40539999999999998</v>
      </c>
      <c r="EA40" s="229">
        <v>3.7400000000000003E-2</v>
      </c>
      <c r="EB40" s="230">
        <v>13050</v>
      </c>
      <c r="EC40" s="229">
        <v>5.0000000000000001E-3</v>
      </c>
      <c r="ED40" s="229">
        <v>3.7400000000000003E-2</v>
      </c>
      <c r="EE40" s="228">
        <v>167.17</v>
      </c>
      <c r="EF40" s="229">
        <v>4.4999999999999997E-3</v>
      </c>
      <c r="EG40" s="230">
        <v>8194</v>
      </c>
      <c r="EH40" s="230">
        <v>7890</v>
      </c>
      <c r="EI40" s="229">
        <v>3.85E-2</v>
      </c>
      <c r="EJ40" s="229">
        <v>0.29599999999999999</v>
      </c>
      <c r="EK40" s="231">
        <v>2853.02</v>
      </c>
      <c r="EL40" s="231">
        <v>1309.19</v>
      </c>
      <c r="EM40" s="228">
        <v>261.81</v>
      </c>
      <c r="EN40" s="228">
        <v>0</v>
      </c>
      <c r="EO40" s="231">
        <v>4424.0200000000004</v>
      </c>
      <c r="EP40" s="231">
        <v>3299.84</v>
      </c>
      <c r="EQ40" s="231">
        <v>1124.18</v>
      </c>
      <c r="ER40" s="229">
        <v>0.3407</v>
      </c>
      <c r="ES40" s="231">
        <v>1745.64</v>
      </c>
      <c r="ET40" s="228">
        <v>850.66</v>
      </c>
      <c r="EU40" s="231">
        <v>1228.57</v>
      </c>
      <c r="EV40" s="231">
        <v>1737683</v>
      </c>
      <c r="EW40" s="231">
        <v>3824.86</v>
      </c>
      <c r="EX40" s="231">
        <v>4168.5200000000004</v>
      </c>
      <c r="EY40" s="228">
        <v>-343.66</v>
      </c>
      <c r="EZ40" s="229">
        <v>-8.2400000000000001E-2</v>
      </c>
      <c r="FA40" s="229">
        <v>0.58750000000000002</v>
      </c>
      <c r="FB40" s="227" t="s">
        <v>568</v>
      </c>
      <c r="FC40">
        <f t="shared" si="0"/>
        <v>58</v>
      </c>
    </row>
    <row r="41" spans="1:159" ht="17.25" thickBot="1" x14ac:dyDescent="0.3">
      <c r="A41" s="226">
        <v>45860</v>
      </c>
      <c r="B41" s="227" t="s">
        <v>193</v>
      </c>
      <c r="C41" s="227" t="s">
        <v>194</v>
      </c>
      <c r="D41" s="228">
        <v>1975</v>
      </c>
      <c r="E41" s="228">
        <v>9</v>
      </c>
      <c r="F41" s="228">
        <v>336.5</v>
      </c>
      <c r="G41" s="228">
        <v>338.8</v>
      </c>
      <c r="H41" s="228">
        <v>-2.2999999999999998</v>
      </c>
      <c r="I41" s="229">
        <v>-6.7999999999999996E-3</v>
      </c>
      <c r="J41" s="228">
        <v>340.35</v>
      </c>
      <c r="K41" s="228">
        <v>342.6</v>
      </c>
      <c r="L41" s="228">
        <v>-2.25</v>
      </c>
      <c r="M41" s="229">
        <v>-6.6E-3</v>
      </c>
      <c r="N41" s="228">
        <v>336.5</v>
      </c>
      <c r="O41" s="228">
        <v>338.8</v>
      </c>
      <c r="P41" s="228">
        <v>-2.2999999999999998</v>
      </c>
      <c r="Q41" s="229">
        <v>-6.7999999999999996E-3</v>
      </c>
      <c r="R41" s="228">
        <v>336.3</v>
      </c>
      <c r="S41" s="228">
        <v>337.95</v>
      </c>
      <c r="T41" s="228">
        <v>-1.65</v>
      </c>
      <c r="U41" s="229">
        <v>-4.8999999999999998E-3</v>
      </c>
      <c r="V41" s="228">
        <v>0</v>
      </c>
      <c r="W41" s="228">
        <v>0</v>
      </c>
      <c r="X41" s="228">
        <v>0</v>
      </c>
      <c r="Y41" s="229">
        <v>0</v>
      </c>
      <c r="Z41" s="228">
        <v>-3.85</v>
      </c>
      <c r="AA41" s="228">
        <v>-3.8</v>
      </c>
      <c r="AB41" s="228">
        <v>-0.05</v>
      </c>
      <c r="AC41" s="229">
        <v>-1.1299999999999999E-2</v>
      </c>
      <c r="AD41" s="228">
        <v>-3.85</v>
      </c>
      <c r="AE41" s="228">
        <v>-3.8</v>
      </c>
      <c r="AF41" s="228">
        <v>-0.05</v>
      </c>
      <c r="AG41" s="229">
        <v>-1.1299999999999999E-2</v>
      </c>
      <c r="AH41" s="228">
        <v>-4.05</v>
      </c>
      <c r="AI41" s="228">
        <v>-4.6500000000000004</v>
      </c>
      <c r="AJ41" s="228">
        <v>0.6</v>
      </c>
      <c r="AK41" s="229">
        <v>-1.1900000000000001E-2</v>
      </c>
      <c r="AL41" s="228">
        <v>0</v>
      </c>
      <c r="AM41" s="228">
        <v>0</v>
      </c>
      <c r="AN41" s="228">
        <v>0</v>
      </c>
      <c r="AO41" s="229">
        <v>0</v>
      </c>
      <c r="AP41" s="228">
        <v>337.29</v>
      </c>
      <c r="AQ41" s="228">
        <v>336.66</v>
      </c>
      <c r="AR41" s="228">
        <v>0</v>
      </c>
      <c r="AS41" s="228">
        <v>203</v>
      </c>
      <c r="AT41" s="228">
        <v>185</v>
      </c>
      <c r="AU41" s="228">
        <v>18</v>
      </c>
      <c r="AV41" s="229">
        <v>9.7900000000000001E-2</v>
      </c>
      <c r="AW41" s="228">
        <v>133</v>
      </c>
      <c r="AX41" s="228">
        <v>165</v>
      </c>
      <c r="AY41" s="228">
        <v>-32</v>
      </c>
      <c r="AZ41" s="229">
        <v>-0.1953</v>
      </c>
      <c r="BA41" s="228">
        <v>68</v>
      </c>
      <c r="BB41" s="228">
        <v>17</v>
      </c>
      <c r="BC41" s="228">
        <v>51</v>
      </c>
      <c r="BD41" s="229">
        <v>2.9346000000000001</v>
      </c>
      <c r="BE41" s="228">
        <v>0</v>
      </c>
      <c r="BF41" s="228">
        <v>0</v>
      </c>
      <c r="BG41" s="228">
        <v>0</v>
      </c>
      <c r="BH41" s="229">
        <v>0</v>
      </c>
      <c r="BI41" s="228">
        <v>399</v>
      </c>
      <c r="BJ41" s="228">
        <v>402</v>
      </c>
      <c r="BK41" s="228">
        <v>-3</v>
      </c>
      <c r="BL41" s="229">
        <v>-8.6E-3</v>
      </c>
      <c r="BM41" s="228">
        <v>215</v>
      </c>
      <c r="BN41" s="228">
        <v>263</v>
      </c>
      <c r="BO41" s="228">
        <v>-48</v>
      </c>
      <c r="BP41" s="229">
        <v>-0.183</v>
      </c>
      <c r="BQ41" s="228">
        <v>816</v>
      </c>
      <c r="BR41" s="228">
        <v>849</v>
      </c>
      <c r="BS41" s="228">
        <v>-33</v>
      </c>
      <c r="BT41" s="229">
        <v>-3.9399999999999998E-2</v>
      </c>
      <c r="BU41" s="230">
        <v>4747363</v>
      </c>
      <c r="BV41" s="230">
        <v>5517707</v>
      </c>
      <c r="BW41" s="230">
        <v>-770344</v>
      </c>
      <c r="BX41" s="229">
        <v>-0.1396</v>
      </c>
      <c r="BY41" s="230">
        <v>1555</v>
      </c>
      <c r="BZ41" s="230">
        <v>1563</v>
      </c>
      <c r="CA41" s="228">
        <v>-8</v>
      </c>
      <c r="CB41" s="229">
        <v>-5.3E-3</v>
      </c>
      <c r="CC41" s="230">
        <v>1109</v>
      </c>
      <c r="CD41" s="230">
        <v>1119</v>
      </c>
      <c r="CE41" s="228">
        <v>-9</v>
      </c>
      <c r="CF41" s="229">
        <v>-8.3999999999999995E-3</v>
      </c>
      <c r="CG41" s="228">
        <v>440</v>
      </c>
      <c r="CH41" s="228">
        <v>440</v>
      </c>
      <c r="CI41" s="228">
        <v>0</v>
      </c>
      <c r="CJ41" s="229">
        <v>1.1000000000000001E-3</v>
      </c>
      <c r="CK41" s="228">
        <v>0</v>
      </c>
      <c r="CL41" s="228">
        <v>0</v>
      </c>
      <c r="CM41" s="228">
        <v>0</v>
      </c>
      <c r="CN41" s="229">
        <v>0</v>
      </c>
      <c r="CO41" s="228">
        <v>662</v>
      </c>
      <c r="CP41" s="228">
        <v>667</v>
      </c>
      <c r="CQ41" s="228">
        <v>-5</v>
      </c>
      <c r="CR41" s="229">
        <v>-7.7000000000000002E-3</v>
      </c>
      <c r="CS41" s="228">
        <v>465</v>
      </c>
      <c r="CT41" s="228">
        <v>464</v>
      </c>
      <c r="CU41" s="228">
        <v>1</v>
      </c>
      <c r="CV41" s="229">
        <v>2.7000000000000001E-3</v>
      </c>
      <c r="CW41" s="230">
        <v>2682</v>
      </c>
      <c r="CX41" s="230">
        <v>2694</v>
      </c>
      <c r="CY41" s="228">
        <v>-12</v>
      </c>
      <c r="CZ41" s="229">
        <v>-4.4999999999999997E-3</v>
      </c>
      <c r="DA41" s="228">
        <v>28.21</v>
      </c>
      <c r="DB41" s="228">
        <v>28.77</v>
      </c>
      <c r="DC41" s="228">
        <v>-0.56000000000000005</v>
      </c>
      <c r="DD41" s="228">
        <v>-0.56000000000000005</v>
      </c>
      <c r="DE41" s="228">
        <v>36.01</v>
      </c>
      <c r="DF41" s="228">
        <v>36.090000000000003</v>
      </c>
      <c r="DG41" s="228">
        <v>-7.8</v>
      </c>
      <c r="DH41" s="228">
        <v>-0.08</v>
      </c>
      <c r="DI41" s="228">
        <v>29.02</v>
      </c>
      <c r="DJ41" s="228">
        <v>29.03</v>
      </c>
      <c r="DK41" s="228">
        <v>-0.01</v>
      </c>
      <c r="DL41" s="228">
        <v>-0.01</v>
      </c>
      <c r="DM41" s="228">
        <v>26.7</v>
      </c>
      <c r="DN41" s="228">
        <v>28.38</v>
      </c>
      <c r="DO41" s="228">
        <v>-1.68</v>
      </c>
      <c r="DP41" s="228">
        <v>-1.68</v>
      </c>
      <c r="DQ41" s="228">
        <v>0.7</v>
      </c>
      <c r="DR41" s="228">
        <v>0.7</v>
      </c>
      <c r="DS41" s="228">
        <v>0</v>
      </c>
      <c r="DT41" s="229">
        <v>0</v>
      </c>
      <c r="DU41" s="228">
        <v>360</v>
      </c>
      <c r="DV41" s="228">
        <v>330</v>
      </c>
      <c r="DW41" s="228">
        <v>0.54</v>
      </c>
      <c r="DX41" s="228">
        <v>0.65</v>
      </c>
      <c r="DY41" s="228">
        <v>-0.11</v>
      </c>
      <c r="DZ41" s="229">
        <v>-0.16919999999999999</v>
      </c>
      <c r="EA41" s="229">
        <v>0.28299999999999997</v>
      </c>
      <c r="EB41" s="230">
        <v>13066600</v>
      </c>
      <c r="EC41" s="229">
        <v>-5.9999999999999995E-4</v>
      </c>
      <c r="ED41" s="229">
        <v>0.28299999999999997</v>
      </c>
      <c r="EE41" s="228">
        <v>-0.63</v>
      </c>
      <c r="EF41" s="229">
        <v>-1.9E-3</v>
      </c>
      <c r="EG41" s="230">
        <v>3356510</v>
      </c>
      <c r="EH41" s="230">
        <v>3597729</v>
      </c>
      <c r="EI41" s="229">
        <v>-6.7000000000000004E-2</v>
      </c>
      <c r="EJ41" s="229">
        <v>0.70699999999999996</v>
      </c>
      <c r="EK41" s="228">
        <v>421.57</v>
      </c>
      <c r="EL41" s="228">
        <v>214.96</v>
      </c>
      <c r="EM41" s="228">
        <v>203.12</v>
      </c>
      <c r="EN41" s="228">
        <v>0</v>
      </c>
      <c r="EO41" s="228">
        <v>839.65</v>
      </c>
      <c r="EP41" s="228">
        <v>872</v>
      </c>
      <c r="EQ41" s="228">
        <v>-32.36</v>
      </c>
      <c r="ER41" s="229">
        <v>-3.7100000000000001E-2</v>
      </c>
      <c r="ES41" s="228">
        <v>696.3</v>
      </c>
      <c r="ET41" s="228">
        <v>444.62</v>
      </c>
      <c r="EU41" s="231">
        <v>1554.82</v>
      </c>
      <c r="EV41" s="231">
        <v>408027660</v>
      </c>
      <c r="EW41" s="231">
        <v>2695.74</v>
      </c>
      <c r="EX41" s="231">
        <v>2721.43</v>
      </c>
      <c r="EY41" s="228">
        <v>-25.69</v>
      </c>
      <c r="EZ41" s="229">
        <v>-9.4000000000000004E-3</v>
      </c>
      <c r="FA41" s="229">
        <v>0.1953</v>
      </c>
      <c r="FB41" s="227" t="s">
        <v>568</v>
      </c>
      <c r="FC41">
        <f t="shared" si="0"/>
        <v>446</v>
      </c>
    </row>
    <row r="42" spans="1:159" ht="17.25" thickBot="1" x14ac:dyDescent="0.3">
      <c r="A42" s="226">
        <v>45860</v>
      </c>
      <c r="B42" s="227" t="s">
        <v>168</v>
      </c>
      <c r="C42" s="227" t="s">
        <v>195</v>
      </c>
      <c r="D42" s="228">
        <v>125</v>
      </c>
      <c r="E42" s="228">
        <v>9</v>
      </c>
      <c r="F42" s="231">
        <v>5713</v>
      </c>
      <c r="G42" s="231">
        <v>5700.5</v>
      </c>
      <c r="H42" s="228">
        <v>12.5</v>
      </c>
      <c r="I42" s="229">
        <v>2.2000000000000001E-3</v>
      </c>
      <c r="J42" s="231">
        <v>5708.5</v>
      </c>
      <c r="K42" s="231">
        <v>5681.5</v>
      </c>
      <c r="L42" s="228">
        <v>27</v>
      </c>
      <c r="M42" s="229">
        <v>4.7999999999999996E-3</v>
      </c>
      <c r="N42" s="231">
        <v>5713</v>
      </c>
      <c r="O42" s="231">
        <v>5700.5</v>
      </c>
      <c r="P42" s="228">
        <v>12.5</v>
      </c>
      <c r="Q42" s="229">
        <v>2.2000000000000001E-3</v>
      </c>
      <c r="R42" s="231">
        <v>5673</v>
      </c>
      <c r="S42" s="231">
        <v>5652.5</v>
      </c>
      <c r="T42" s="228">
        <v>20.5</v>
      </c>
      <c r="U42" s="229">
        <v>3.5999999999999999E-3</v>
      </c>
      <c r="V42" s="228">
        <v>0</v>
      </c>
      <c r="W42" s="228">
        <v>0</v>
      </c>
      <c r="X42" s="228">
        <v>0</v>
      </c>
      <c r="Y42" s="229">
        <v>0</v>
      </c>
      <c r="Z42" s="228">
        <v>4.5</v>
      </c>
      <c r="AA42" s="228">
        <v>19</v>
      </c>
      <c r="AB42" s="228">
        <v>-14.5</v>
      </c>
      <c r="AC42" s="229">
        <v>8.0000000000000004E-4</v>
      </c>
      <c r="AD42" s="228">
        <v>4.5</v>
      </c>
      <c r="AE42" s="228">
        <v>19</v>
      </c>
      <c r="AF42" s="228">
        <v>-14.5</v>
      </c>
      <c r="AG42" s="229">
        <v>8.0000000000000004E-4</v>
      </c>
      <c r="AH42" s="228">
        <v>-35.5</v>
      </c>
      <c r="AI42" s="228">
        <v>-29</v>
      </c>
      <c r="AJ42" s="228">
        <v>-6.5</v>
      </c>
      <c r="AK42" s="229">
        <v>-6.1999999999999998E-3</v>
      </c>
      <c r="AL42" s="228">
        <v>0</v>
      </c>
      <c r="AM42" s="228">
        <v>0</v>
      </c>
      <c r="AN42" s="228">
        <v>0</v>
      </c>
      <c r="AO42" s="229">
        <v>0</v>
      </c>
      <c r="AP42" s="231">
        <v>5705.38</v>
      </c>
      <c r="AQ42" s="231">
        <v>5653.64</v>
      </c>
      <c r="AR42" s="228">
        <v>0</v>
      </c>
      <c r="AS42" s="228">
        <v>199</v>
      </c>
      <c r="AT42" s="228">
        <v>196</v>
      </c>
      <c r="AU42" s="228">
        <v>3</v>
      </c>
      <c r="AV42" s="229">
        <v>1.5699999999999999E-2</v>
      </c>
      <c r="AW42" s="228">
        <v>178</v>
      </c>
      <c r="AX42" s="228">
        <v>148</v>
      </c>
      <c r="AY42" s="228">
        <v>30</v>
      </c>
      <c r="AZ42" s="229">
        <v>0.2046</v>
      </c>
      <c r="BA42" s="228">
        <v>20</v>
      </c>
      <c r="BB42" s="228">
        <v>47</v>
      </c>
      <c r="BC42" s="228">
        <v>-27</v>
      </c>
      <c r="BD42" s="229">
        <v>-0.57489999999999997</v>
      </c>
      <c r="BE42" s="228">
        <v>0</v>
      </c>
      <c r="BF42" s="228">
        <v>0</v>
      </c>
      <c r="BG42" s="228">
        <v>0</v>
      </c>
      <c r="BH42" s="229">
        <v>0</v>
      </c>
      <c r="BI42" s="228">
        <v>668</v>
      </c>
      <c r="BJ42" s="228">
        <v>447</v>
      </c>
      <c r="BK42" s="228">
        <v>221</v>
      </c>
      <c r="BL42" s="229">
        <v>0.49349999999999999</v>
      </c>
      <c r="BM42" s="228">
        <v>377</v>
      </c>
      <c r="BN42" s="228">
        <v>234</v>
      </c>
      <c r="BO42" s="228">
        <v>143</v>
      </c>
      <c r="BP42" s="229">
        <v>0.60980000000000001</v>
      </c>
      <c r="BQ42" s="230">
        <v>1244</v>
      </c>
      <c r="BR42" s="228">
        <v>877</v>
      </c>
      <c r="BS42" s="228">
        <v>367</v>
      </c>
      <c r="BT42" s="229">
        <v>0.41799999999999998</v>
      </c>
      <c r="BU42" s="230">
        <v>238753</v>
      </c>
      <c r="BV42" s="230">
        <v>332806</v>
      </c>
      <c r="BW42" s="230">
        <v>-94053</v>
      </c>
      <c r="BX42" s="229">
        <v>-0.28260000000000002</v>
      </c>
      <c r="BY42" s="230">
        <v>1803</v>
      </c>
      <c r="BZ42" s="230">
        <v>1793</v>
      </c>
      <c r="CA42" s="228">
        <v>9</v>
      </c>
      <c r="CB42" s="229">
        <v>5.3E-3</v>
      </c>
      <c r="CC42" s="230">
        <v>1687</v>
      </c>
      <c r="CD42" s="230">
        <v>1685</v>
      </c>
      <c r="CE42" s="228">
        <v>2</v>
      </c>
      <c r="CF42" s="229">
        <v>1.4E-3</v>
      </c>
      <c r="CG42" s="228">
        <v>114</v>
      </c>
      <c r="CH42" s="228">
        <v>107</v>
      </c>
      <c r="CI42" s="228">
        <v>7</v>
      </c>
      <c r="CJ42" s="229">
        <v>6.5600000000000006E-2</v>
      </c>
      <c r="CK42" s="228">
        <v>0</v>
      </c>
      <c r="CL42" s="228">
        <v>0</v>
      </c>
      <c r="CM42" s="228">
        <v>0</v>
      </c>
      <c r="CN42" s="229">
        <v>0</v>
      </c>
      <c r="CO42" s="228">
        <v>435</v>
      </c>
      <c r="CP42" s="228">
        <v>441</v>
      </c>
      <c r="CQ42" s="228">
        <v>-6</v>
      </c>
      <c r="CR42" s="229">
        <v>-1.34E-2</v>
      </c>
      <c r="CS42" s="228">
        <v>258</v>
      </c>
      <c r="CT42" s="228">
        <v>241</v>
      </c>
      <c r="CU42" s="228">
        <v>17</v>
      </c>
      <c r="CV42" s="229">
        <v>7.0999999999999994E-2</v>
      </c>
      <c r="CW42" s="230">
        <v>2496</v>
      </c>
      <c r="CX42" s="230">
        <v>2475</v>
      </c>
      <c r="CY42" s="228">
        <v>21</v>
      </c>
      <c r="CZ42" s="229">
        <v>8.3000000000000001E-3</v>
      </c>
      <c r="DA42" s="228">
        <v>20.94</v>
      </c>
      <c r="DB42" s="228">
        <v>21.68</v>
      </c>
      <c r="DC42" s="228">
        <v>-0.74</v>
      </c>
      <c r="DD42" s="228">
        <v>-0.74</v>
      </c>
      <c r="DE42" s="228">
        <v>23.96</v>
      </c>
      <c r="DF42" s="228">
        <v>24.01</v>
      </c>
      <c r="DG42" s="228">
        <v>-3.02</v>
      </c>
      <c r="DH42" s="228">
        <v>-0.05</v>
      </c>
      <c r="DI42" s="228">
        <v>21</v>
      </c>
      <c r="DJ42" s="228">
        <v>21.93</v>
      </c>
      <c r="DK42" s="228">
        <v>-0.93</v>
      </c>
      <c r="DL42" s="228">
        <v>-0.93</v>
      </c>
      <c r="DM42" s="228">
        <v>20.81</v>
      </c>
      <c r="DN42" s="228">
        <v>21.22</v>
      </c>
      <c r="DO42" s="228">
        <v>-0.41</v>
      </c>
      <c r="DP42" s="228">
        <v>-0.41</v>
      </c>
      <c r="DQ42" s="228">
        <v>0.59</v>
      </c>
      <c r="DR42" s="228">
        <v>0.55000000000000004</v>
      </c>
      <c r="DS42" s="228">
        <v>0.04</v>
      </c>
      <c r="DT42" s="229">
        <v>7.2700000000000001E-2</v>
      </c>
      <c r="DU42" s="231">
        <v>6000</v>
      </c>
      <c r="DV42" s="231">
        <v>5700</v>
      </c>
      <c r="DW42" s="228">
        <v>0.56000000000000005</v>
      </c>
      <c r="DX42" s="228">
        <v>0.52</v>
      </c>
      <c r="DY42" s="228">
        <v>0.04</v>
      </c>
      <c r="DZ42" s="229">
        <v>7.6899999999999996E-2</v>
      </c>
      <c r="EA42" s="229">
        <v>6.3E-2</v>
      </c>
      <c r="EB42" s="230">
        <v>186625</v>
      </c>
      <c r="EC42" s="229">
        <v>-7.0000000000000001E-3</v>
      </c>
      <c r="ED42" s="229">
        <v>6.3E-2</v>
      </c>
      <c r="EE42" s="228">
        <v>-51.74</v>
      </c>
      <c r="EF42" s="229">
        <v>-9.1000000000000004E-3</v>
      </c>
      <c r="EG42" s="230">
        <v>155843</v>
      </c>
      <c r="EH42" s="230">
        <v>238604</v>
      </c>
      <c r="EI42" s="229">
        <v>-0.34689999999999999</v>
      </c>
      <c r="EJ42" s="229">
        <v>0.65269999999999995</v>
      </c>
      <c r="EK42" s="228">
        <v>684.8</v>
      </c>
      <c r="EL42" s="228">
        <v>375.45</v>
      </c>
      <c r="EM42" s="228">
        <v>198.22</v>
      </c>
      <c r="EN42" s="228">
        <v>0</v>
      </c>
      <c r="EO42" s="231">
        <v>1258.48</v>
      </c>
      <c r="EP42" s="228">
        <v>889.41</v>
      </c>
      <c r="EQ42" s="228">
        <v>369.07</v>
      </c>
      <c r="ER42" s="229">
        <v>0.41499999999999998</v>
      </c>
      <c r="ES42" s="228">
        <v>457.39</v>
      </c>
      <c r="ET42" s="228">
        <v>250.54</v>
      </c>
      <c r="EU42" s="231">
        <v>1802.01</v>
      </c>
      <c r="EV42" s="231">
        <v>23823080</v>
      </c>
      <c r="EW42" s="231">
        <v>2509.94</v>
      </c>
      <c r="EX42" s="231">
        <v>2486.86</v>
      </c>
      <c r="EY42" s="228">
        <v>23.08</v>
      </c>
      <c r="EZ42" s="229">
        <v>9.2999999999999992E-3</v>
      </c>
      <c r="FA42" s="229">
        <v>0.18340000000000001</v>
      </c>
      <c r="FB42" s="227" t="s">
        <v>555</v>
      </c>
      <c r="FC42">
        <f t="shared" si="0"/>
        <v>116</v>
      </c>
    </row>
    <row r="43" spans="1:159" ht="17.25" thickBot="1" x14ac:dyDescent="0.3">
      <c r="A43" s="226">
        <v>45860</v>
      </c>
      <c r="B43" s="227" t="s">
        <v>175</v>
      </c>
      <c r="C43" s="227" t="s">
        <v>585</v>
      </c>
      <c r="D43" s="228">
        <v>375</v>
      </c>
      <c r="E43" s="228">
        <v>9</v>
      </c>
      <c r="F43" s="231">
        <v>2551.1</v>
      </c>
      <c r="G43" s="231">
        <v>2528</v>
      </c>
      <c r="H43" s="228">
        <v>23.1</v>
      </c>
      <c r="I43" s="229">
        <v>9.1000000000000004E-3</v>
      </c>
      <c r="J43" s="231">
        <v>2548.4</v>
      </c>
      <c r="K43" s="231">
        <v>2521.3000000000002</v>
      </c>
      <c r="L43" s="228">
        <v>27.1</v>
      </c>
      <c r="M43" s="229">
        <v>1.0699999999999999E-2</v>
      </c>
      <c r="N43" s="231">
        <v>2551.1</v>
      </c>
      <c r="O43" s="231">
        <v>2528</v>
      </c>
      <c r="P43" s="228">
        <v>23.1</v>
      </c>
      <c r="Q43" s="229">
        <v>9.1000000000000004E-3</v>
      </c>
      <c r="R43" s="231">
        <v>2558.1</v>
      </c>
      <c r="S43" s="231">
        <v>2532.6999999999998</v>
      </c>
      <c r="T43" s="228">
        <v>25.4</v>
      </c>
      <c r="U43" s="229">
        <v>0.01</v>
      </c>
      <c r="V43" s="228">
        <v>0</v>
      </c>
      <c r="W43" s="228">
        <v>0</v>
      </c>
      <c r="X43" s="228">
        <v>0</v>
      </c>
      <c r="Y43" s="229">
        <v>0</v>
      </c>
      <c r="Z43" s="228">
        <v>2.7</v>
      </c>
      <c r="AA43" s="228">
        <v>6.7</v>
      </c>
      <c r="AB43" s="228">
        <v>-4</v>
      </c>
      <c r="AC43" s="229">
        <v>1.1000000000000001E-3</v>
      </c>
      <c r="AD43" s="228">
        <v>2.7</v>
      </c>
      <c r="AE43" s="228">
        <v>6.7</v>
      </c>
      <c r="AF43" s="228">
        <v>-4</v>
      </c>
      <c r="AG43" s="229">
        <v>1.1000000000000001E-3</v>
      </c>
      <c r="AH43" s="228">
        <v>9.6999999999999993</v>
      </c>
      <c r="AI43" s="228">
        <v>11.4</v>
      </c>
      <c r="AJ43" s="228">
        <v>-1.7</v>
      </c>
      <c r="AK43" s="229">
        <v>3.8E-3</v>
      </c>
      <c r="AL43" s="228">
        <v>0</v>
      </c>
      <c r="AM43" s="228">
        <v>0</v>
      </c>
      <c r="AN43" s="228">
        <v>0</v>
      </c>
      <c r="AO43" s="229">
        <v>0</v>
      </c>
      <c r="AP43" s="231">
        <v>2557.75</v>
      </c>
      <c r="AQ43" s="231">
        <v>2564.04</v>
      </c>
      <c r="AR43" s="228">
        <v>0</v>
      </c>
      <c r="AS43" s="228">
        <v>782</v>
      </c>
      <c r="AT43" s="230">
        <v>1232</v>
      </c>
      <c r="AU43" s="228">
        <v>-450</v>
      </c>
      <c r="AV43" s="229">
        <v>-0.3654</v>
      </c>
      <c r="AW43" s="228">
        <v>642</v>
      </c>
      <c r="AX43" s="230">
        <v>1076</v>
      </c>
      <c r="AY43" s="228">
        <v>-434</v>
      </c>
      <c r="AZ43" s="229">
        <v>-0.40300000000000002</v>
      </c>
      <c r="BA43" s="228">
        <v>129</v>
      </c>
      <c r="BB43" s="228">
        <v>144</v>
      </c>
      <c r="BC43" s="228">
        <v>-16</v>
      </c>
      <c r="BD43" s="229">
        <v>-0.10929999999999999</v>
      </c>
      <c r="BE43" s="228">
        <v>0</v>
      </c>
      <c r="BF43" s="228">
        <v>0</v>
      </c>
      <c r="BG43" s="228">
        <v>0</v>
      </c>
      <c r="BH43" s="229">
        <v>0</v>
      </c>
      <c r="BI43" s="230">
        <v>5278</v>
      </c>
      <c r="BJ43" s="230">
        <v>10367</v>
      </c>
      <c r="BK43" s="230">
        <v>-5089</v>
      </c>
      <c r="BL43" s="229">
        <v>-0.49080000000000001</v>
      </c>
      <c r="BM43" s="230">
        <v>2771</v>
      </c>
      <c r="BN43" s="230">
        <v>4485</v>
      </c>
      <c r="BO43" s="230">
        <v>-1715</v>
      </c>
      <c r="BP43" s="229">
        <v>-0.38229999999999997</v>
      </c>
      <c r="BQ43" s="230">
        <v>8831</v>
      </c>
      <c r="BR43" s="230">
        <v>16084</v>
      </c>
      <c r="BS43" s="230">
        <v>-7253</v>
      </c>
      <c r="BT43" s="229">
        <v>-0.45100000000000001</v>
      </c>
      <c r="BU43" s="230">
        <v>3215319</v>
      </c>
      <c r="BV43" s="230">
        <v>4732364</v>
      </c>
      <c r="BW43" s="230">
        <v>-1517045</v>
      </c>
      <c r="BX43" s="229">
        <v>-0.3206</v>
      </c>
      <c r="BY43" s="230">
        <v>3362</v>
      </c>
      <c r="BZ43" s="230">
        <v>3471</v>
      </c>
      <c r="CA43" s="228">
        <v>-108</v>
      </c>
      <c r="CB43" s="229">
        <v>-3.1199999999999999E-2</v>
      </c>
      <c r="CC43" s="230">
        <v>2855</v>
      </c>
      <c r="CD43" s="230">
        <v>2959</v>
      </c>
      <c r="CE43" s="228">
        <v>-104</v>
      </c>
      <c r="CF43" s="229">
        <v>-3.5299999999999998E-2</v>
      </c>
      <c r="CG43" s="228">
        <v>461</v>
      </c>
      <c r="CH43" s="228">
        <v>464</v>
      </c>
      <c r="CI43" s="228">
        <v>-3</v>
      </c>
      <c r="CJ43" s="229">
        <v>-5.5999999999999999E-3</v>
      </c>
      <c r="CK43" s="228">
        <v>0</v>
      </c>
      <c r="CL43" s="228">
        <v>0</v>
      </c>
      <c r="CM43" s="228">
        <v>0</v>
      </c>
      <c r="CN43" s="229">
        <v>0</v>
      </c>
      <c r="CO43" s="230">
        <v>4995</v>
      </c>
      <c r="CP43" s="230">
        <v>5117</v>
      </c>
      <c r="CQ43" s="228">
        <v>-122</v>
      </c>
      <c r="CR43" s="229">
        <v>-2.3900000000000001E-2</v>
      </c>
      <c r="CS43" s="230">
        <v>2739</v>
      </c>
      <c r="CT43" s="230">
        <v>2820</v>
      </c>
      <c r="CU43" s="228">
        <v>-80</v>
      </c>
      <c r="CV43" s="229">
        <v>-2.8400000000000002E-2</v>
      </c>
      <c r="CW43" s="230">
        <v>11097</v>
      </c>
      <c r="CX43" s="230">
        <v>11407</v>
      </c>
      <c r="CY43" s="228">
        <v>-311</v>
      </c>
      <c r="CZ43" s="229">
        <v>-2.7199999999999998E-2</v>
      </c>
      <c r="DA43" s="228">
        <v>47.01</v>
      </c>
      <c r="DB43" s="228">
        <v>47.67</v>
      </c>
      <c r="DC43" s="228">
        <v>-0.66</v>
      </c>
      <c r="DD43" s="228">
        <v>-0.66</v>
      </c>
      <c r="DE43" s="228">
        <v>67.94</v>
      </c>
      <c r="DF43" s="228">
        <v>68.09</v>
      </c>
      <c r="DG43" s="228">
        <v>-20.93</v>
      </c>
      <c r="DH43" s="228">
        <v>-0.15</v>
      </c>
      <c r="DI43" s="228">
        <v>47.51</v>
      </c>
      <c r="DJ43" s="228">
        <v>47.79</v>
      </c>
      <c r="DK43" s="228">
        <v>-0.28000000000000003</v>
      </c>
      <c r="DL43" s="228">
        <v>-0.28000000000000003</v>
      </c>
      <c r="DM43" s="228">
        <v>46.06</v>
      </c>
      <c r="DN43" s="228">
        <v>47.38</v>
      </c>
      <c r="DO43" s="228">
        <v>-1.32</v>
      </c>
      <c r="DP43" s="228">
        <v>-1.32</v>
      </c>
      <c r="DQ43" s="228">
        <v>0.55000000000000004</v>
      </c>
      <c r="DR43" s="228">
        <v>0.55000000000000004</v>
      </c>
      <c r="DS43" s="228">
        <v>0</v>
      </c>
      <c r="DT43" s="229">
        <v>0</v>
      </c>
      <c r="DU43" s="231">
        <v>2800</v>
      </c>
      <c r="DV43" s="231">
        <v>2400</v>
      </c>
      <c r="DW43" s="228">
        <v>0.52</v>
      </c>
      <c r="DX43" s="228">
        <v>0.43</v>
      </c>
      <c r="DY43" s="228">
        <v>0.09</v>
      </c>
      <c r="DZ43" s="229">
        <v>0.20930000000000001</v>
      </c>
      <c r="EA43" s="229">
        <v>0.13719999999999999</v>
      </c>
      <c r="EB43" s="230">
        <v>1818375</v>
      </c>
      <c r="EC43" s="229">
        <v>2.7000000000000001E-3</v>
      </c>
      <c r="ED43" s="229">
        <v>0.13719999999999999</v>
      </c>
      <c r="EE43" s="228">
        <v>6.29</v>
      </c>
      <c r="EF43" s="229">
        <v>2.5000000000000001E-3</v>
      </c>
      <c r="EG43" s="230">
        <v>849321</v>
      </c>
      <c r="EH43" s="230">
        <v>996568</v>
      </c>
      <c r="EI43" s="229">
        <v>-0.14779999999999999</v>
      </c>
      <c r="EJ43" s="229">
        <v>0.2641</v>
      </c>
      <c r="EK43" s="231">
        <v>5667.84</v>
      </c>
      <c r="EL43" s="231">
        <v>2681.05</v>
      </c>
      <c r="EM43" s="228">
        <v>783.99</v>
      </c>
      <c r="EN43" s="228">
        <v>0</v>
      </c>
      <c r="EO43" s="231">
        <v>9132.8799999999992</v>
      </c>
      <c r="EP43" s="231">
        <v>16504.97</v>
      </c>
      <c r="EQ43" s="231">
        <v>-7372.08</v>
      </c>
      <c r="ER43" s="229">
        <v>-0.44669999999999999</v>
      </c>
      <c r="ES43" s="231">
        <v>5500.81</v>
      </c>
      <c r="ET43" s="231">
        <v>2616.71</v>
      </c>
      <c r="EU43" s="231">
        <v>3363.89</v>
      </c>
      <c r="EV43" s="231">
        <v>63536556</v>
      </c>
      <c r="EW43" s="231">
        <v>11481.42</v>
      </c>
      <c r="EX43" s="231">
        <v>11756.77</v>
      </c>
      <c r="EY43" s="228">
        <v>-275.35000000000002</v>
      </c>
      <c r="EZ43" s="229">
        <v>-2.3400000000000001E-2</v>
      </c>
      <c r="FA43" s="229">
        <v>0.68459999999999999</v>
      </c>
      <c r="FB43" s="227" t="s">
        <v>556</v>
      </c>
      <c r="FC43">
        <f t="shared" si="0"/>
        <v>507</v>
      </c>
    </row>
    <row r="44" spans="1:159" ht="17.25" thickBot="1" x14ac:dyDescent="0.3">
      <c r="A44" s="226">
        <v>45860</v>
      </c>
      <c r="B44" s="227" t="s">
        <v>221</v>
      </c>
      <c r="C44" s="227" t="s">
        <v>531</v>
      </c>
      <c r="D44" s="228">
        <v>1300</v>
      </c>
      <c r="E44" s="228">
        <v>9</v>
      </c>
      <c r="F44" s="228">
        <v>405.5</v>
      </c>
      <c r="G44" s="228">
        <v>417.4</v>
      </c>
      <c r="H44" s="228">
        <v>-11.9</v>
      </c>
      <c r="I44" s="229">
        <v>-2.8500000000000001E-2</v>
      </c>
      <c r="J44" s="228">
        <v>404.3</v>
      </c>
      <c r="K44" s="228">
        <v>416.65</v>
      </c>
      <c r="L44" s="228">
        <v>-12.35</v>
      </c>
      <c r="M44" s="229">
        <v>-2.9600000000000001E-2</v>
      </c>
      <c r="N44" s="228">
        <v>405.5</v>
      </c>
      <c r="O44" s="228">
        <v>417.4</v>
      </c>
      <c r="P44" s="228">
        <v>-11.9</v>
      </c>
      <c r="Q44" s="229">
        <v>-2.8500000000000001E-2</v>
      </c>
      <c r="R44" s="228">
        <v>0</v>
      </c>
      <c r="S44" s="228">
        <v>0</v>
      </c>
      <c r="T44" s="228">
        <v>0</v>
      </c>
      <c r="U44" s="229">
        <v>0</v>
      </c>
      <c r="V44" s="228">
        <v>0</v>
      </c>
      <c r="W44" s="228">
        <v>0</v>
      </c>
      <c r="X44" s="228">
        <v>0</v>
      </c>
      <c r="Y44" s="229">
        <v>0</v>
      </c>
      <c r="Z44" s="228">
        <v>1.2</v>
      </c>
      <c r="AA44" s="228">
        <v>0.75</v>
      </c>
      <c r="AB44" s="228">
        <v>0.45</v>
      </c>
      <c r="AC44" s="229">
        <v>3.0000000000000001E-3</v>
      </c>
      <c r="AD44" s="228">
        <v>1.2</v>
      </c>
      <c r="AE44" s="228">
        <v>0.75</v>
      </c>
      <c r="AF44" s="228">
        <v>0.45</v>
      </c>
      <c r="AG44" s="229">
        <v>3.0000000000000001E-3</v>
      </c>
      <c r="AH44" s="228">
        <v>0</v>
      </c>
      <c r="AI44" s="228">
        <v>0</v>
      </c>
      <c r="AJ44" s="228">
        <v>0</v>
      </c>
      <c r="AK44" s="229">
        <v>0</v>
      </c>
      <c r="AL44" s="228">
        <v>0</v>
      </c>
      <c r="AM44" s="228">
        <v>0</v>
      </c>
      <c r="AN44" s="228">
        <v>0</v>
      </c>
      <c r="AO44" s="229">
        <v>0</v>
      </c>
      <c r="AP44" s="228">
        <v>410.43</v>
      </c>
      <c r="AQ44" s="228">
        <v>0</v>
      </c>
      <c r="AR44" s="228">
        <v>0</v>
      </c>
      <c r="AS44" s="228">
        <v>61</v>
      </c>
      <c r="AT44" s="228">
        <v>31</v>
      </c>
      <c r="AU44" s="228">
        <v>30</v>
      </c>
      <c r="AV44" s="229">
        <v>0.95309999999999995</v>
      </c>
      <c r="AW44" s="228">
        <v>61</v>
      </c>
      <c r="AX44" s="228">
        <v>31</v>
      </c>
      <c r="AY44" s="228">
        <v>30</v>
      </c>
      <c r="AZ44" s="229">
        <v>0.95309999999999995</v>
      </c>
      <c r="BA44" s="228">
        <v>0</v>
      </c>
      <c r="BB44" s="228">
        <v>0</v>
      </c>
      <c r="BC44" s="228">
        <v>0</v>
      </c>
      <c r="BD44" s="229">
        <v>0</v>
      </c>
      <c r="BE44" s="228">
        <v>0</v>
      </c>
      <c r="BF44" s="228">
        <v>0</v>
      </c>
      <c r="BG44" s="228">
        <v>0</v>
      </c>
      <c r="BH44" s="229">
        <v>0</v>
      </c>
      <c r="BI44" s="228">
        <v>354</v>
      </c>
      <c r="BJ44" s="228">
        <v>126</v>
      </c>
      <c r="BK44" s="228">
        <v>228</v>
      </c>
      <c r="BL44" s="229">
        <v>1.8033999999999999</v>
      </c>
      <c r="BM44" s="228">
        <v>86</v>
      </c>
      <c r="BN44" s="228">
        <v>30</v>
      </c>
      <c r="BO44" s="228">
        <v>56</v>
      </c>
      <c r="BP44" s="229">
        <v>1.8708</v>
      </c>
      <c r="BQ44" s="228">
        <v>501</v>
      </c>
      <c r="BR44" s="228">
        <v>188</v>
      </c>
      <c r="BS44" s="228">
        <v>313</v>
      </c>
      <c r="BT44" s="229">
        <v>1.6714</v>
      </c>
      <c r="BU44" s="230">
        <v>1528174</v>
      </c>
      <c r="BV44" s="230">
        <v>671447</v>
      </c>
      <c r="BW44" s="230">
        <v>856727</v>
      </c>
      <c r="BX44" s="229">
        <v>1.2759</v>
      </c>
      <c r="BY44" s="228">
        <v>345</v>
      </c>
      <c r="BZ44" s="228">
        <v>349</v>
      </c>
      <c r="CA44" s="228">
        <v>-4</v>
      </c>
      <c r="CB44" s="229">
        <v>-1.1599999999999999E-2</v>
      </c>
      <c r="CC44" s="228">
        <v>345</v>
      </c>
      <c r="CD44" s="228">
        <v>349</v>
      </c>
      <c r="CE44" s="228">
        <v>-4</v>
      </c>
      <c r="CF44" s="229">
        <v>-1.1599999999999999E-2</v>
      </c>
      <c r="CG44" s="228">
        <v>0</v>
      </c>
      <c r="CH44" s="228">
        <v>0</v>
      </c>
      <c r="CI44" s="228">
        <v>0</v>
      </c>
      <c r="CJ44" s="229">
        <v>0</v>
      </c>
      <c r="CK44" s="228">
        <v>0</v>
      </c>
      <c r="CL44" s="228">
        <v>0</v>
      </c>
      <c r="CM44" s="228">
        <v>0</v>
      </c>
      <c r="CN44" s="229">
        <v>0</v>
      </c>
      <c r="CO44" s="228">
        <v>389</v>
      </c>
      <c r="CP44" s="228">
        <v>408</v>
      </c>
      <c r="CQ44" s="228">
        <v>-19</v>
      </c>
      <c r="CR44" s="229">
        <v>-4.6699999999999998E-2</v>
      </c>
      <c r="CS44" s="228">
        <v>171</v>
      </c>
      <c r="CT44" s="228">
        <v>173</v>
      </c>
      <c r="CU44" s="228">
        <v>-3</v>
      </c>
      <c r="CV44" s="229">
        <v>-1.49E-2</v>
      </c>
      <c r="CW44" s="228">
        <v>904</v>
      </c>
      <c r="CX44" s="228">
        <v>930</v>
      </c>
      <c r="CY44" s="228">
        <v>-26</v>
      </c>
      <c r="CZ44" s="229">
        <v>-2.76E-2</v>
      </c>
      <c r="DA44" s="228">
        <v>40.020000000000003</v>
      </c>
      <c r="DB44" s="228">
        <v>38.770000000000003</v>
      </c>
      <c r="DC44" s="228">
        <v>1.25</v>
      </c>
      <c r="DD44" s="228">
        <v>1.25</v>
      </c>
      <c r="DE44" s="228">
        <v>40.98</v>
      </c>
      <c r="DF44" s="228">
        <v>40.880000000000003</v>
      </c>
      <c r="DG44" s="228">
        <v>-0.96</v>
      </c>
      <c r="DH44" s="228">
        <v>0.1</v>
      </c>
      <c r="DI44" s="228">
        <v>41.44</v>
      </c>
      <c r="DJ44" s="228">
        <v>39.93</v>
      </c>
      <c r="DK44" s="228">
        <v>1.51</v>
      </c>
      <c r="DL44" s="228">
        <v>1.51</v>
      </c>
      <c r="DM44" s="228">
        <v>34.14</v>
      </c>
      <c r="DN44" s="228">
        <v>33.85</v>
      </c>
      <c r="DO44" s="228">
        <v>0.28999999999999998</v>
      </c>
      <c r="DP44" s="228">
        <v>0.28999999999999998</v>
      </c>
      <c r="DQ44" s="228">
        <v>0.44</v>
      </c>
      <c r="DR44" s="228">
        <v>0.42</v>
      </c>
      <c r="DS44" s="228">
        <v>0.02</v>
      </c>
      <c r="DT44" s="229">
        <v>4.7600000000000003E-2</v>
      </c>
      <c r="DU44" s="228">
        <v>450</v>
      </c>
      <c r="DV44" s="228">
        <v>400</v>
      </c>
      <c r="DW44" s="228">
        <v>0.24</v>
      </c>
      <c r="DX44" s="228">
        <v>0.24</v>
      </c>
      <c r="DY44" s="228">
        <v>0</v>
      </c>
      <c r="DZ44" s="229">
        <v>0</v>
      </c>
      <c r="EA44" s="229">
        <v>0</v>
      </c>
      <c r="EB44" s="228">
        <v>0</v>
      </c>
      <c r="EC44" s="229">
        <v>0</v>
      </c>
      <c r="ED44" s="229">
        <v>0</v>
      </c>
      <c r="EE44" s="228">
        <v>0</v>
      </c>
      <c r="EF44" s="229">
        <v>0</v>
      </c>
      <c r="EG44" s="230">
        <v>726866</v>
      </c>
      <c r="EH44" s="230">
        <v>233128</v>
      </c>
      <c r="EI44" s="229">
        <v>2.1179000000000001</v>
      </c>
      <c r="EJ44" s="229">
        <v>0.47560000000000002</v>
      </c>
      <c r="EK44" s="228">
        <v>387.96</v>
      </c>
      <c r="EL44" s="228">
        <v>87.37</v>
      </c>
      <c r="EM44" s="228">
        <v>62.21</v>
      </c>
      <c r="EN44" s="228">
        <v>0</v>
      </c>
      <c r="EO44" s="228">
        <v>537.54</v>
      </c>
      <c r="EP44" s="228">
        <v>203.49</v>
      </c>
      <c r="EQ44" s="228">
        <v>334.05</v>
      </c>
      <c r="ER44" s="229">
        <v>1.6415999999999999</v>
      </c>
      <c r="ES44" s="228">
        <v>429.78</v>
      </c>
      <c r="ET44" s="228">
        <v>175.02</v>
      </c>
      <c r="EU44" s="228">
        <v>344.91</v>
      </c>
      <c r="EV44" s="231">
        <v>32988281</v>
      </c>
      <c r="EW44" s="228">
        <v>949.72</v>
      </c>
      <c r="EX44" s="228">
        <v>990.66</v>
      </c>
      <c r="EY44" s="228">
        <v>-40.94</v>
      </c>
      <c r="EZ44" s="229">
        <v>-4.1300000000000003E-2</v>
      </c>
      <c r="FA44" s="229">
        <v>0.67579999999999996</v>
      </c>
      <c r="FB44" s="227" t="s">
        <v>568</v>
      </c>
      <c r="FC44">
        <f t="shared" si="0"/>
        <v>0</v>
      </c>
    </row>
    <row r="45" spans="1:159" ht="17.25" thickBot="1" x14ac:dyDescent="0.3">
      <c r="A45" s="226">
        <v>45860</v>
      </c>
      <c r="B45" s="227" t="s">
        <v>175</v>
      </c>
      <c r="C45" s="227" t="s">
        <v>612</v>
      </c>
      <c r="D45" s="228">
        <v>150</v>
      </c>
      <c r="E45" s="228">
        <v>9</v>
      </c>
      <c r="F45" s="231">
        <v>4261.3999999999996</v>
      </c>
      <c r="G45" s="231">
        <v>4260.8</v>
      </c>
      <c r="H45" s="228">
        <v>0.6</v>
      </c>
      <c r="I45" s="229">
        <v>1E-4</v>
      </c>
      <c r="J45" s="231">
        <v>4247.5</v>
      </c>
      <c r="K45" s="231">
        <v>4247.7</v>
      </c>
      <c r="L45" s="228">
        <v>-0.2</v>
      </c>
      <c r="M45" s="229">
        <v>0</v>
      </c>
      <c r="N45" s="231">
        <v>4261.3999999999996</v>
      </c>
      <c r="O45" s="231">
        <v>4260.8</v>
      </c>
      <c r="P45" s="228">
        <v>0.6</v>
      </c>
      <c r="Q45" s="229">
        <v>1E-4</v>
      </c>
      <c r="R45" s="231">
        <v>4273.3</v>
      </c>
      <c r="S45" s="231">
        <v>4270.3</v>
      </c>
      <c r="T45" s="228">
        <v>3</v>
      </c>
      <c r="U45" s="229">
        <v>6.9999999999999999E-4</v>
      </c>
      <c r="V45" s="228">
        <v>0</v>
      </c>
      <c r="W45" s="228">
        <v>0</v>
      </c>
      <c r="X45" s="228">
        <v>0</v>
      </c>
      <c r="Y45" s="229">
        <v>0</v>
      </c>
      <c r="Z45" s="228">
        <v>13.9</v>
      </c>
      <c r="AA45" s="228">
        <v>13.1</v>
      </c>
      <c r="AB45" s="228">
        <v>0.8</v>
      </c>
      <c r="AC45" s="229">
        <v>3.3E-3</v>
      </c>
      <c r="AD45" s="228">
        <v>13.9</v>
      </c>
      <c r="AE45" s="228">
        <v>13.1</v>
      </c>
      <c r="AF45" s="228">
        <v>0.8</v>
      </c>
      <c r="AG45" s="229">
        <v>3.3E-3</v>
      </c>
      <c r="AH45" s="228">
        <v>25.8</v>
      </c>
      <c r="AI45" s="228">
        <v>22.6</v>
      </c>
      <c r="AJ45" s="228">
        <v>3.2</v>
      </c>
      <c r="AK45" s="229">
        <v>6.1000000000000004E-3</v>
      </c>
      <c r="AL45" s="228">
        <v>0</v>
      </c>
      <c r="AM45" s="228">
        <v>0</v>
      </c>
      <c r="AN45" s="228">
        <v>0</v>
      </c>
      <c r="AO45" s="229">
        <v>0</v>
      </c>
      <c r="AP45" s="231">
        <v>4250.8100000000004</v>
      </c>
      <c r="AQ45" s="231">
        <v>4259.5600000000004</v>
      </c>
      <c r="AR45" s="228">
        <v>0</v>
      </c>
      <c r="AS45" s="228">
        <v>137</v>
      </c>
      <c r="AT45" s="228">
        <v>115</v>
      </c>
      <c r="AU45" s="228">
        <v>22</v>
      </c>
      <c r="AV45" s="229">
        <v>0.193</v>
      </c>
      <c r="AW45" s="228">
        <v>102</v>
      </c>
      <c r="AX45" s="228">
        <v>97</v>
      </c>
      <c r="AY45" s="228">
        <v>6</v>
      </c>
      <c r="AZ45" s="229">
        <v>5.96E-2</v>
      </c>
      <c r="BA45" s="228">
        <v>31</v>
      </c>
      <c r="BB45" s="228">
        <v>17</v>
      </c>
      <c r="BC45" s="228">
        <v>14</v>
      </c>
      <c r="BD45" s="229">
        <v>0.86539999999999995</v>
      </c>
      <c r="BE45" s="228">
        <v>0</v>
      </c>
      <c r="BF45" s="228">
        <v>0</v>
      </c>
      <c r="BG45" s="228">
        <v>0</v>
      </c>
      <c r="BH45" s="229">
        <v>0</v>
      </c>
      <c r="BI45" s="228">
        <v>372</v>
      </c>
      <c r="BJ45" s="228">
        <v>305</v>
      </c>
      <c r="BK45" s="228">
        <v>67</v>
      </c>
      <c r="BL45" s="229">
        <v>0.2195</v>
      </c>
      <c r="BM45" s="228">
        <v>147</v>
      </c>
      <c r="BN45" s="228">
        <v>153</v>
      </c>
      <c r="BO45" s="228">
        <v>-6</v>
      </c>
      <c r="BP45" s="229">
        <v>-3.8899999999999997E-2</v>
      </c>
      <c r="BQ45" s="228">
        <v>656</v>
      </c>
      <c r="BR45" s="228">
        <v>573</v>
      </c>
      <c r="BS45" s="228">
        <v>83</v>
      </c>
      <c r="BT45" s="229">
        <v>0.14530000000000001</v>
      </c>
      <c r="BU45" s="230">
        <v>240128</v>
      </c>
      <c r="BV45" s="230">
        <v>185683</v>
      </c>
      <c r="BW45" s="230">
        <v>54445</v>
      </c>
      <c r="BX45" s="229">
        <v>0.29320000000000002</v>
      </c>
      <c r="BY45" s="230">
        <v>1041</v>
      </c>
      <c r="BZ45" s="230">
        <v>1044</v>
      </c>
      <c r="CA45" s="228">
        <v>-3</v>
      </c>
      <c r="CB45" s="229">
        <v>-3.2000000000000002E-3</v>
      </c>
      <c r="CC45" s="228">
        <v>925</v>
      </c>
      <c r="CD45" s="228">
        <v>938</v>
      </c>
      <c r="CE45" s="228">
        <v>-12</v>
      </c>
      <c r="CF45" s="229">
        <v>-1.29E-2</v>
      </c>
      <c r="CG45" s="228">
        <v>109</v>
      </c>
      <c r="CH45" s="228">
        <v>101</v>
      </c>
      <c r="CI45" s="228">
        <v>8</v>
      </c>
      <c r="CJ45" s="229">
        <v>7.9000000000000001E-2</v>
      </c>
      <c r="CK45" s="228">
        <v>0</v>
      </c>
      <c r="CL45" s="228">
        <v>0</v>
      </c>
      <c r="CM45" s="228">
        <v>0</v>
      </c>
      <c r="CN45" s="229">
        <v>0</v>
      </c>
      <c r="CO45" s="228">
        <v>490</v>
      </c>
      <c r="CP45" s="228">
        <v>477</v>
      </c>
      <c r="CQ45" s="228">
        <v>13</v>
      </c>
      <c r="CR45" s="229">
        <v>2.7300000000000001E-2</v>
      </c>
      <c r="CS45" s="228">
        <v>351</v>
      </c>
      <c r="CT45" s="228">
        <v>353</v>
      </c>
      <c r="CU45" s="228">
        <v>-2</v>
      </c>
      <c r="CV45" s="229">
        <v>-6.4999999999999997E-3</v>
      </c>
      <c r="CW45" s="230">
        <v>1882</v>
      </c>
      <c r="CX45" s="230">
        <v>1875</v>
      </c>
      <c r="CY45" s="228">
        <v>7</v>
      </c>
      <c r="CZ45" s="229">
        <v>3.8999999999999998E-3</v>
      </c>
      <c r="DA45" s="228">
        <v>33.67</v>
      </c>
      <c r="DB45" s="228">
        <v>33.840000000000003</v>
      </c>
      <c r="DC45" s="228">
        <v>-0.17</v>
      </c>
      <c r="DD45" s="228">
        <v>-0.17</v>
      </c>
      <c r="DE45" s="228">
        <v>45.78</v>
      </c>
      <c r="DF45" s="228">
        <v>45.89</v>
      </c>
      <c r="DG45" s="228">
        <v>-12.11</v>
      </c>
      <c r="DH45" s="228">
        <v>-0.11</v>
      </c>
      <c r="DI45" s="228">
        <v>33.29</v>
      </c>
      <c r="DJ45" s="228">
        <v>33.479999999999997</v>
      </c>
      <c r="DK45" s="228">
        <v>-0.19</v>
      </c>
      <c r="DL45" s="228">
        <v>-0.19</v>
      </c>
      <c r="DM45" s="228">
        <v>34.630000000000003</v>
      </c>
      <c r="DN45" s="228">
        <v>34.56</v>
      </c>
      <c r="DO45" s="228">
        <v>7.0000000000000007E-2</v>
      </c>
      <c r="DP45" s="228">
        <v>7.0000000000000007E-2</v>
      </c>
      <c r="DQ45" s="228">
        <v>0.72</v>
      </c>
      <c r="DR45" s="228">
        <v>0.74</v>
      </c>
      <c r="DS45" s="228">
        <v>-0.02</v>
      </c>
      <c r="DT45" s="229">
        <v>-2.7E-2</v>
      </c>
      <c r="DU45" s="231">
        <v>4400</v>
      </c>
      <c r="DV45" s="231">
        <v>4000</v>
      </c>
      <c r="DW45" s="228">
        <v>0.39</v>
      </c>
      <c r="DX45" s="228">
        <v>0.5</v>
      </c>
      <c r="DY45" s="228">
        <v>-0.11</v>
      </c>
      <c r="DZ45" s="229">
        <v>-0.22</v>
      </c>
      <c r="EA45" s="229">
        <v>0.1048</v>
      </c>
      <c r="EB45" s="230">
        <v>237300</v>
      </c>
      <c r="EC45" s="229">
        <v>2.8E-3</v>
      </c>
      <c r="ED45" s="229">
        <v>0.1048</v>
      </c>
      <c r="EE45" s="228">
        <v>8.75</v>
      </c>
      <c r="EF45" s="229">
        <v>2.0999999999999999E-3</v>
      </c>
      <c r="EG45" s="230">
        <v>98313</v>
      </c>
      <c r="EH45" s="230">
        <v>64090</v>
      </c>
      <c r="EI45" s="229">
        <v>0.53400000000000003</v>
      </c>
      <c r="EJ45" s="229">
        <v>0.40939999999999999</v>
      </c>
      <c r="EK45" s="228">
        <v>383.71</v>
      </c>
      <c r="EL45" s="228">
        <v>144.62</v>
      </c>
      <c r="EM45" s="228">
        <v>136.47</v>
      </c>
      <c r="EN45" s="228">
        <v>0</v>
      </c>
      <c r="EO45" s="228">
        <v>664.8</v>
      </c>
      <c r="EP45" s="228">
        <v>579.79</v>
      </c>
      <c r="EQ45" s="228">
        <v>85.01</v>
      </c>
      <c r="ER45" s="229">
        <v>0.14660000000000001</v>
      </c>
      <c r="ES45" s="228">
        <v>502.33</v>
      </c>
      <c r="ET45" s="228">
        <v>338.02</v>
      </c>
      <c r="EU45" s="231">
        <v>1041.04</v>
      </c>
      <c r="EV45" s="231">
        <v>9885969</v>
      </c>
      <c r="EW45" s="231">
        <v>1881.39</v>
      </c>
      <c r="EX45" s="231">
        <v>1873.57</v>
      </c>
      <c r="EY45" s="228">
        <v>7.82</v>
      </c>
      <c r="EZ45" s="229">
        <v>4.1999999999999997E-3</v>
      </c>
      <c r="FA45" s="229">
        <v>0.44669999999999999</v>
      </c>
      <c r="FB45" s="227" t="s">
        <v>556</v>
      </c>
      <c r="FC45">
        <f t="shared" si="0"/>
        <v>116</v>
      </c>
    </row>
    <row r="46" spans="1:159" ht="17.25" thickBot="1" x14ac:dyDescent="0.3">
      <c r="A46" s="226">
        <v>45860</v>
      </c>
      <c r="B46" s="227" t="s">
        <v>172</v>
      </c>
      <c r="C46" s="227" t="s">
        <v>196</v>
      </c>
      <c r="D46" s="228">
        <v>6750</v>
      </c>
      <c r="E46" s="228">
        <v>9</v>
      </c>
      <c r="F46" s="228">
        <v>108.09</v>
      </c>
      <c r="G46" s="228">
        <v>112.07</v>
      </c>
      <c r="H46" s="228">
        <v>-3.98</v>
      </c>
      <c r="I46" s="229">
        <v>-3.5499999999999997E-2</v>
      </c>
      <c r="J46" s="228">
        <v>108.05</v>
      </c>
      <c r="K46" s="228">
        <v>112.03</v>
      </c>
      <c r="L46" s="228">
        <v>-3.98</v>
      </c>
      <c r="M46" s="229">
        <v>-3.5499999999999997E-2</v>
      </c>
      <c r="N46" s="228">
        <v>108.09</v>
      </c>
      <c r="O46" s="228">
        <v>112.07</v>
      </c>
      <c r="P46" s="228">
        <v>-3.98</v>
      </c>
      <c r="Q46" s="229">
        <v>-3.5499999999999997E-2</v>
      </c>
      <c r="R46" s="228">
        <v>108.64</v>
      </c>
      <c r="S46" s="228">
        <v>112.68</v>
      </c>
      <c r="T46" s="228">
        <v>-4.04</v>
      </c>
      <c r="U46" s="229">
        <v>-3.5900000000000001E-2</v>
      </c>
      <c r="V46" s="228">
        <v>0</v>
      </c>
      <c r="W46" s="228">
        <v>0</v>
      </c>
      <c r="X46" s="228">
        <v>0</v>
      </c>
      <c r="Y46" s="229">
        <v>0</v>
      </c>
      <c r="Z46" s="228">
        <v>0.04</v>
      </c>
      <c r="AA46" s="228">
        <v>0.04</v>
      </c>
      <c r="AB46" s="228">
        <v>0</v>
      </c>
      <c r="AC46" s="229">
        <v>4.0000000000000002E-4</v>
      </c>
      <c r="AD46" s="228">
        <v>0.04</v>
      </c>
      <c r="AE46" s="228">
        <v>0.04</v>
      </c>
      <c r="AF46" s="228">
        <v>0</v>
      </c>
      <c r="AG46" s="229">
        <v>4.0000000000000002E-4</v>
      </c>
      <c r="AH46" s="228">
        <v>0.59</v>
      </c>
      <c r="AI46" s="228">
        <v>0.65</v>
      </c>
      <c r="AJ46" s="228">
        <v>-0.06</v>
      </c>
      <c r="AK46" s="229">
        <v>5.4999999999999997E-3</v>
      </c>
      <c r="AL46" s="228">
        <v>0</v>
      </c>
      <c r="AM46" s="228">
        <v>0</v>
      </c>
      <c r="AN46" s="228">
        <v>0</v>
      </c>
      <c r="AO46" s="229">
        <v>0</v>
      </c>
      <c r="AP46" s="228">
        <v>109.49</v>
      </c>
      <c r="AQ46" s="228">
        <v>110.06</v>
      </c>
      <c r="AR46" s="228">
        <v>0</v>
      </c>
      <c r="AS46" s="230">
        <v>1075</v>
      </c>
      <c r="AT46" s="228">
        <v>817</v>
      </c>
      <c r="AU46" s="228">
        <v>258</v>
      </c>
      <c r="AV46" s="229">
        <v>0.31619999999999998</v>
      </c>
      <c r="AW46" s="228">
        <v>843</v>
      </c>
      <c r="AX46" s="228">
        <v>676</v>
      </c>
      <c r="AY46" s="228">
        <v>168</v>
      </c>
      <c r="AZ46" s="229">
        <v>0.2482</v>
      </c>
      <c r="BA46" s="228">
        <v>218</v>
      </c>
      <c r="BB46" s="228">
        <v>131</v>
      </c>
      <c r="BC46" s="228">
        <v>87</v>
      </c>
      <c r="BD46" s="229">
        <v>0.66759999999999997</v>
      </c>
      <c r="BE46" s="228">
        <v>0</v>
      </c>
      <c r="BF46" s="228">
        <v>0</v>
      </c>
      <c r="BG46" s="228">
        <v>0</v>
      </c>
      <c r="BH46" s="229">
        <v>0</v>
      </c>
      <c r="BI46" s="230">
        <v>2887</v>
      </c>
      <c r="BJ46" s="230">
        <v>2636</v>
      </c>
      <c r="BK46" s="228">
        <v>251</v>
      </c>
      <c r="BL46" s="229">
        <v>9.5000000000000001E-2</v>
      </c>
      <c r="BM46" s="230">
        <v>1370</v>
      </c>
      <c r="BN46" s="230">
        <v>1028</v>
      </c>
      <c r="BO46" s="228">
        <v>341</v>
      </c>
      <c r="BP46" s="229">
        <v>0.33200000000000002</v>
      </c>
      <c r="BQ46" s="230">
        <v>5332</v>
      </c>
      <c r="BR46" s="230">
        <v>4481</v>
      </c>
      <c r="BS46" s="228">
        <v>850</v>
      </c>
      <c r="BT46" s="229">
        <v>0.18970000000000001</v>
      </c>
      <c r="BU46" s="230">
        <v>43380974</v>
      </c>
      <c r="BV46" s="230">
        <v>24814601</v>
      </c>
      <c r="BW46" s="230">
        <v>18566373</v>
      </c>
      <c r="BX46" s="229">
        <v>0.74819999999999998</v>
      </c>
      <c r="BY46" s="230">
        <v>2240</v>
      </c>
      <c r="BZ46" s="230">
        <v>2104</v>
      </c>
      <c r="CA46" s="228">
        <v>136</v>
      </c>
      <c r="CB46" s="229">
        <v>6.4500000000000002E-2</v>
      </c>
      <c r="CC46" s="230">
        <v>1707</v>
      </c>
      <c r="CD46" s="230">
        <v>1700</v>
      </c>
      <c r="CE46" s="228">
        <v>7</v>
      </c>
      <c r="CF46" s="229">
        <v>4.0000000000000001E-3</v>
      </c>
      <c r="CG46" s="228">
        <v>503</v>
      </c>
      <c r="CH46" s="228">
        <v>382</v>
      </c>
      <c r="CI46" s="228">
        <v>121</v>
      </c>
      <c r="CJ46" s="229">
        <v>0.31709999999999999</v>
      </c>
      <c r="CK46" s="228">
        <v>0</v>
      </c>
      <c r="CL46" s="228">
        <v>0</v>
      </c>
      <c r="CM46" s="228">
        <v>0</v>
      </c>
      <c r="CN46" s="229">
        <v>0</v>
      </c>
      <c r="CO46" s="230">
        <v>1692</v>
      </c>
      <c r="CP46" s="230">
        <v>1408</v>
      </c>
      <c r="CQ46" s="228">
        <v>284</v>
      </c>
      <c r="CR46" s="229">
        <v>0.20150000000000001</v>
      </c>
      <c r="CS46" s="230">
        <v>1051</v>
      </c>
      <c r="CT46" s="228">
        <v>944</v>
      </c>
      <c r="CU46" s="228">
        <v>107</v>
      </c>
      <c r="CV46" s="229">
        <v>0.11360000000000001</v>
      </c>
      <c r="CW46" s="230">
        <v>4983</v>
      </c>
      <c r="CX46" s="230">
        <v>4456</v>
      </c>
      <c r="CY46" s="228">
        <v>527</v>
      </c>
      <c r="CZ46" s="229">
        <v>0.1182</v>
      </c>
      <c r="DA46" s="228">
        <v>45.94</v>
      </c>
      <c r="DB46" s="228">
        <v>42.62</v>
      </c>
      <c r="DC46" s="228">
        <v>3.32</v>
      </c>
      <c r="DD46" s="228">
        <v>3.32</v>
      </c>
      <c r="DE46" s="228">
        <v>39.65</v>
      </c>
      <c r="DF46" s="228">
        <v>39.44</v>
      </c>
      <c r="DG46" s="228">
        <v>6.29</v>
      </c>
      <c r="DH46" s="228">
        <v>0.21</v>
      </c>
      <c r="DI46" s="228">
        <v>47.49</v>
      </c>
      <c r="DJ46" s="228">
        <v>43.68</v>
      </c>
      <c r="DK46" s="228">
        <v>3.81</v>
      </c>
      <c r="DL46" s="228">
        <v>3.81</v>
      </c>
      <c r="DM46" s="228">
        <v>42.65</v>
      </c>
      <c r="DN46" s="228">
        <v>39.9</v>
      </c>
      <c r="DO46" s="228">
        <v>2.75</v>
      </c>
      <c r="DP46" s="228">
        <v>2.75</v>
      </c>
      <c r="DQ46" s="228">
        <v>0.62</v>
      </c>
      <c r="DR46" s="228">
        <v>0.67</v>
      </c>
      <c r="DS46" s="228">
        <v>-0.05</v>
      </c>
      <c r="DT46" s="229">
        <v>-7.46E-2</v>
      </c>
      <c r="DU46" s="228">
        <v>120</v>
      </c>
      <c r="DV46" s="228">
        <v>110</v>
      </c>
      <c r="DW46" s="228">
        <v>0.47</v>
      </c>
      <c r="DX46" s="228">
        <v>0.39</v>
      </c>
      <c r="DY46" s="228">
        <v>0.08</v>
      </c>
      <c r="DZ46" s="229">
        <v>0.2051</v>
      </c>
      <c r="EA46" s="229">
        <v>0.22459999999999999</v>
      </c>
      <c r="EB46" s="230">
        <v>35336250</v>
      </c>
      <c r="EC46" s="229">
        <v>5.1000000000000004E-3</v>
      </c>
      <c r="ED46" s="229">
        <v>0.22459999999999999</v>
      </c>
      <c r="EE46" s="228">
        <v>0.56999999999999995</v>
      </c>
      <c r="EF46" s="229">
        <v>5.1999999999999998E-3</v>
      </c>
      <c r="EG46" s="230">
        <v>22450985</v>
      </c>
      <c r="EH46" s="230">
        <v>10886162</v>
      </c>
      <c r="EI46" s="229">
        <v>1.0623</v>
      </c>
      <c r="EJ46" s="229">
        <v>0.51749999999999996</v>
      </c>
      <c r="EK46" s="231">
        <v>3137.86</v>
      </c>
      <c r="EL46" s="231">
        <v>1387.29</v>
      </c>
      <c r="EM46" s="231">
        <v>1090.58</v>
      </c>
      <c r="EN46" s="228">
        <v>0</v>
      </c>
      <c r="EO46" s="231">
        <v>5615.73</v>
      </c>
      <c r="EP46" s="231">
        <v>4847.7</v>
      </c>
      <c r="EQ46" s="228">
        <v>768.03</v>
      </c>
      <c r="ER46" s="229">
        <v>0.15840000000000001</v>
      </c>
      <c r="ES46" s="231">
        <v>1825.45</v>
      </c>
      <c r="ET46" s="231">
        <v>1049.72</v>
      </c>
      <c r="EU46" s="231">
        <v>2243</v>
      </c>
      <c r="EV46" s="231">
        <v>672420574</v>
      </c>
      <c r="EW46" s="231">
        <v>5118.17</v>
      </c>
      <c r="EX46" s="231">
        <v>4659.12</v>
      </c>
      <c r="EY46" s="228">
        <v>459.05</v>
      </c>
      <c r="EZ46" s="229">
        <v>9.8500000000000004E-2</v>
      </c>
      <c r="FA46" s="229">
        <v>0.68559999999999999</v>
      </c>
      <c r="FB46" s="227" t="s">
        <v>567</v>
      </c>
      <c r="FC46">
        <f t="shared" si="0"/>
        <v>533</v>
      </c>
    </row>
    <row r="47" spans="1:159" ht="17.25" thickBot="1" x14ac:dyDescent="0.3">
      <c r="A47" s="226">
        <v>45860</v>
      </c>
      <c r="B47" s="227" t="s">
        <v>175</v>
      </c>
      <c r="C47" s="227" t="s">
        <v>598</v>
      </c>
      <c r="D47" s="228">
        <v>475</v>
      </c>
      <c r="E47" s="228">
        <v>9</v>
      </c>
      <c r="F47" s="231">
        <v>1716.2</v>
      </c>
      <c r="G47" s="231">
        <v>1738</v>
      </c>
      <c r="H47" s="228">
        <v>-21.8</v>
      </c>
      <c r="I47" s="229">
        <v>-1.2500000000000001E-2</v>
      </c>
      <c r="J47" s="231">
        <v>1714.7</v>
      </c>
      <c r="K47" s="231">
        <v>1731.5</v>
      </c>
      <c r="L47" s="228">
        <v>-16.8</v>
      </c>
      <c r="M47" s="229">
        <v>-9.7000000000000003E-3</v>
      </c>
      <c r="N47" s="231">
        <v>1716.2</v>
      </c>
      <c r="O47" s="231">
        <v>1738</v>
      </c>
      <c r="P47" s="228">
        <v>-21.8</v>
      </c>
      <c r="Q47" s="229">
        <v>-1.2500000000000001E-2</v>
      </c>
      <c r="R47" s="231">
        <v>1709.5</v>
      </c>
      <c r="S47" s="231">
        <v>1729.7</v>
      </c>
      <c r="T47" s="228">
        <v>-20.2</v>
      </c>
      <c r="U47" s="229">
        <v>-1.17E-2</v>
      </c>
      <c r="V47" s="228">
        <v>0</v>
      </c>
      <c r="W47" s="228">
        <v>0</v>
      </c>
      <c r="X47" s="228">
        <v>0</v>
      </c>
      <c r="Y47" s="229">
        <v>0</v>
      </c>
      <c r="Z47" s="228">
        <v>1.5</v>
      </c>
      <c r="AA47" s="228">
        <v>6.5</v>
      </c>
      <c r="AB47" s="228">
        <v>-5</v>
      </c>
      <c r="AC47" s="229">
        <v>8.9999999999999998E-4</v>
      </c>
      <c r="AD47" s="228">
        <v>1.5</v>
      </c>
      <c r="AE47" s="228">
        <v>6.5</v>
      </c>
      <c r="AF47" s="228">
        <v>-5</v>
      </c>
      <c r="AG47" s="229">
        <v>8.9999999999999998E-4</v>
      </c>
      <c r="AH47" s="228">
        <v>-5.2</v>
      </c>
      <c r="AI47" s="228">
        <v>-1.8</v>
      </c>
      <c r="AJ47" s="228">
        <v>-3.4</v>
      </c>
      <c r="AK47" s="229">
        <v>-3.0000000000000001E-3</v>
      </c>
      <c r="AL47" s="228">
        <v>0</v>
      </c>
      <c r="AM47" s="228">
        <v>0</v>
      </c>
      <c r="AN47" s="228">
        <v>0</v>
      </c>
      <c r="AO47" s="229">
        <v>0</v>
      </c>
      <c r="AP47" s="231">
        <v>1732.39</v>
      </c>
      <c r="AQ47" s="231">
        <v>1724.62</v>
      </c>
      <c r="AR47" s="228">
        <v>0</v>
      </c>
      <c r="AS47" s="228">
        <v>493</v>
      </c>
      <c r="AT47" s="228">
        <v>423</v>
      </c>
      <c r="AU47" s="228">
        <v>69</v>
      </c>
      <c r="AV47" s="229">
        <v>0.1638</v>
      </c>
      <c r="AW47" s="228">
        <v>368</v>
      </c>
      <c r="AX47" s="228">
        <v>332</v>
      </c>
      <c r="AY47" s="228">
        <v>36</v>
      </c>
      <c r="AZ47" s="229">
        <v>0.1094</v>
      </c>
      <c r="BA47" s="228">
        <v>120</v>
      </c>
      <c r="BB47" s="228">
        <v>88</v>
      </c>
      <c r="BC47" s="228">
        <v>32</v>
      </c>
      <c r="BD47" s="229">
        <v>0.35830000000000001</v>
      </c>
      <c r="BE47" s="228">
        <v>0</v>
      </c>
      <c r="BF47" s="228">
        <v>0</v>
      </c>
      <c r="BG47" s="228">
        <v>0</v>
      </c>
      <c r="BH47" s="229">
        <v>0</v>
      </c>
      <c r="BI47" s="230">
        <v>1820</v>
      </c>
      <c r="BJ47" s="230">
        <v>1478</v>
      </c>
      <c r="BK47" s="228">
        <v>341</v>
      </c>
      <c r="BL47" s="229">
        <v>0.23100000000000001</v>
      </c>
      <c r="BM47" s="228">
        <v>608</v>
      </c>
      <c r="BN47" s="228">
        <v>592</v>
      </c>
      <c r="BO47" s="228">
        <v>17</v>
      </c>
      <c r="BP47" s="229">
        <v>2.8000000000000001E-2</v>
      </c>
      <c r="BQ47" s="230">
        <v>2921</v>
      </c>
      <c r="BR47" s="230">
        <v>2494</v>
      </c>
      <c r="BS47" s="228">
        <v>427</v>
      </c>
      <c r="BT47" s="229">
        <v>0.1714</v>
      </c>
      <c r="BU47" s="230">
        <v>2601526</v>
      </c>
      <c r="BV47" s="230">
        <v>2168014</v>
      </c>
      <c r="BW47" s="230">
        <v>433512</v>
      </c>
      <c r="BX47" s="229">
        <v>0.2</v>
      </c>
      <c r="BY47" s="230">
        <v>1748</v>
      </c>
      <c r="BZ47" s="230">
        <v>1670</v>
      </c>
      <c r="CA47" s="228">
        <v>79</v>
      </c>
      <c r="CB47" s="229">
        <v>4.7100000000000003E-2</v>
      </c>
      <c r="CC47" s="230">
        <v>1372</v>
      </c>
      <c r="CD47" s="230">
        <v>1349</v>
      </c>
      <c r="CE47" s="228">
        <v>23</v>
      </c>
      <c r="CF47" s="229">
        <v>1.67E-2</v>
      </c>
      <c r="CG47" s="228">
        <v>333</v>
      </c>
      <c r="CH47" s="228">
        <v>280</v>
      </c>
      <c r="CI47" s="228">
        <v>53</v>
      </c>
      <c r="CJ47" s="229">
        <v>0.19059999999999999</v>
      </c>
      <c r="CK47" s="228">
        <v>0</v>
      </c>
      <c r="CL47" s="228">
        <v>0</v>
      </c>
      <c r="CM47" s="228">
        <v>0</v>
      </c>
      <c r="CN47" s="229">
        <v>0</v>
      </c>
      <c r="CO47" s="230">
        <v>1589</v>
      </c>
      <c r="CP47" s="230">
        <v>1482</v>
      </c>
      <c r="CQ47" s="228">
        <v>107</v>
      </c>
      <c r="CR47" s="229">
        <v>7.2099999999999997E-2</v>
      </c>
      <c r="CS47" s="228">
        <v>827</v>
      </c>
      <c r="CT47" s="228">
        <v>809</v>
      </c>
      <c r="CU47" s="228">
        <v>18</v>
      </c>
      <c r="CV47" s="229">
        <v>2.23E-2</v>
      </c>
      <c r="CW47" s="230">
        <v>4164</v>
      </c>
      <c r="CX47" s="230">
        <v>3961</v>
      </c>
      <c r="CY47" s="228">
        <v>204</v>
      </c>
      <c r="CZ47" s="229">
        <v>5.1400000000000001E-2</v>
      </c>
      <c r="DA47" s="228">
        <v>40.19</v>
      </c>
      <c r="DB47" s="228">
        <v>37.93</v>
      </c>
      <c r="DC47" s="228">
        <v>2.2599999999999998</v>
      </c>
      <c r="DD47" s="228">
        <v>2.2599999999999998</v>
      </c>
      <c r="DE47" s="228">
        <v>51.25</v>
      </c>
      <c r="DF47" s="228">
        <v>51.35</v>
      </c>
      <c r="DG47" s="228">
        <v>-11.06</v>
      </c>
      <c r="DH47" s="228">
        <v>-0.1</v>
      </c>
      <c r="DI47" s="228">
        <v>40.74</v>
      </c>
      <c r="DJ47" s="228">
        <v>37.729999999999997</v>
      </c>
      <c r="DK47" s="228">
        <v>3.01</v>
      </c>
      <c r="DL47" s="228">
        <v>3.01</v>
      </c>
      <c r="DM47" s="228">
        <v>38.54</v>
      </c>
      <c r="DN47" s="228">
        <v>38.42</v>
      </c>
      <c r="DO47" s="228">
        <v>0.12</v>
      </c>
      <c r="DP47" s="228">
        <v>0.12</v>
      </c>
      <c r="DQ47" s="228">
        <v>0.52</v>
      </c>
      <c r="DR47" s="228">
        <v>0.55000000000000004</v>
      </c>
      <c r="DS47" s="228">
        <v>-0.03</v>
      </c>
      <c r="DT47" s="229">
        <v>-5.45E-2</v>
      </c>
      <c r="DU47" s="231">
        <v>1800</v>
      </c>
      <c r="DV47" s="231">
        <v>1800</v>
      </c>
      <c r="DW47" s="228">
        <v>0.33</v>
      </c>
      <c r="DX47" s="228">
        <v>0.4</v>
      </c>
      <c r="DY47" s="228">
        <v>-7.0000000000000007E-2</v>
      </c>
      <c r="DZ47" s="229">
        <v>-0.17499999999999999</v>
      </c>
      <c r="EA47" s="229">
        <v>0.1908</v>
      </c>
      <c r="EB47" s="230">
        <v>1632100</v>
      </c>
      <c r="EC47" s="229">
        <v>-3.8999999999999998E-3</v>
      </c>
      <c r="ED47" s="229">
        <v>0.1908</v>
      </c>
      <c r="EE47" s="228">
        <v>-7.77</v>
      </c>
      <c r="EF47" s="229">
        <v>-4.4999999999999997E-3</v>
      </c>
      <c r="EG47" s="230">
        <v>837957</v>
      </c>
      <c r="EH47" s="230">
        <v>734706</v>
      </c>
      <c r="EI47" s="229">
        <v>0.14050000000000001</v>
      </c>
      <c r="EJ47" s="229">
        <v>0.3221</v>
      </c>
      <c r="EK47" s="231">
        <v>1932.22</v>
      </c>
      <c r="EL47" s="228">
        <v>607.88</v>
      </c>
      <c r="EM47" s="228">
        <v>496.96</v>
      </c>
      <c r="EN47" s="228">
        <v>0</v>
      </c>
      <c r="EO47" s="231">
        <v>3037.07</v>
      </c>
      <c r="EP47" s="231">
        <v>2567.23</v>
      </c>
      <c r="EQ47" s="228">
        <v>469.84</v>
      </c>
      <c r="ER47" s="229">
        <v>0.183</v>
      </c>
      <c r="ES47" s="231">
        <v>1692.85</v>
      </c>
      <c r="ET47" s="228">
        <v>806.4</v>
      </c>
      <c r="EU47" s="231">
        <v>1746.94</v>
      </c>
      <c r="EV47" s="231">
        <v>35530000</v>
      </c>
      <c r="EW47" s="231">
        <v>4246.1899999999996</v>
      </c>
      <c r="EX47" s="231">
        <v>4058.21</v>
      </c>
      <c r="EY47" s="228">
        <v>187.98</v>
      </c>
      <c r="EZ47" s="229">
        <v>4.6300000000000001E-2</v>
      </c>
      <c r="FA47" s="229">
        <v>0.68289999999999995</v>
      </c>
      <c r="FB47" s="227" t="s">
        <v>567</v>
      </c>
      <c r="FC47">
        <f t="shared" si="0"/>
        <v>376</v>
      </c>
    </row>
    <row r="48" spans="1:159" ht="17.25" thickBot="1" x14ac:dyDescent="0.3">
      <c r="A48" s="226">
        <v>45860</v>
      </c>
      <c r="B48" s="227" t="s">
        <v>161</v>
      </c>
      <c r="C48" s="227" t="s">
        <v>602</v>
      </c>
      <c r="D48" s="228">
        <v>3625</v>
      </c>
      <c r="E48" s="228">
        <v>9</v>
      </c>
      <c r="F48" s="228">
        <v>177.98</v>
      </c>
      <c r="G48" s="228">
        <v>178.94</v>
      </c>
      <c r="H48" s="228">
        <v>-0.96</v>
      </c>
      <c r="I48" s="229">
        <v>-5.4000000000000003E-3</v>
      </c>
      <c r="J48" s="228">
        <v>177.93</v>
      </c>
      <c r="K48" s="228">
        <v>178.82</v>
      </c>
      <c r="L48" s="228">
        <v>-0.89</v>
      </c>
      <c r="M48" s="229">
        <v>-5.0000000000000001E-3</v>
      </c>
      <c r="N48" s="228">
        <v>177.98</v>
      </c>
      <c r="O48" s="228">
        <v>178.94</v>
      </c>
      <c r="P48" s="228">
        <v>-0.96</v>
      </c>
      <c r="Q48" s="229">
        <v>-5.4000000000000003E-3</v>
      </c>
      <c r="R48" s="228">
        <v>178.88</v>
      </c>
      <c r="S48" s="228">
        <v>179.94</v>
      </c>
      <c r="T48" s="228">
        <v>-1.06</v>
      </c>
      <c r="U48" s="229">
        <v>-5.8999999999999999E-3</v>
      </c>
      <c r="V48" s="228">
        <v>0</v>
      </c>
      <c r="W48" s="228">
        <v>0</v>
      </c>
      <c r="X48" s="228">
        <v>0</v>
      </c>
      <c r="Y48" s="229">
        <v>0</v>
      </c>
      <c r="Z48" s="228">
        <v>0.05</v>
      </c>
      <c r="AA48" s="228">
        <v>0.12</v>
      </c>
      <c r="AB48" s="228">
        <v>-7.0000000000000007E-2</v>
      </c>
      <c r="AC48" s="229">
        <v>2.9999999999999997E-4</v>
      </c>
      <c r="AD48" s="228">
        <v>0.05</v>
      </c>
      <c r="AE48" s="228">
        <v>0.12</v>
      </c>
      <c r="AF48" s="228">
        <v>-7.0000000000000007E-2</v>
      </c>
      <c r="AG48" s="229">
        <v>2.9999999999999997E-4</v>
      </c>
      <c r="AH48" s="228">
        <v>0.95</v>
      </c>
      <c r="AI48" s="228">
        <v>1.1200000000000001</v>
      </c>
      <c r="AJ48" s="228">
        <v>-0.17</v>
      </c>
      <c r="AK48" s="229">
        <v>5.3E-3</v>
      </c>
      <c r="AL48" s="228">
        <v>0</v>
      </c>
      <c r="AM48" s="228">
        <v>0</v>
      </c>
      <c r="AN48" s="228">
        <v>0</v>
      </c>
      <c r="AO48" s="229">
        <v>0</v>
      </c>
      <c r="AP48" s="228">
        <v>178.59</v>
      </c>
      <c r="AQ48" s="228">
        <v>179.6</v>
      </c>
      <c r="AR48" s="228">
        <v>0</v>
      </c>
      <c r="AS48" s="228">
        <v>38</v>
      </c>
      <c r="AT48" s="228">
        <v>80</v>
      </c>
      <c r="AU48" s="228">
        <v>-42</v>
      </c>
      <c r="AV48" s="229">
        <v>-0.52500000000000002</v>
      </c>
      <c r="AW48" s="228">
        <v>33</v>
      </c>
      <c r="AX48" s="228">
        <v>74</v>
      </c>
      <c r="AY48" s="228">
        <v>-41</v>
      </c>
      <c r="AZ48" s="229">
        <v>-0.55030000000000001</v>
      </c>
      <c r="BA48" s="228">
        <v>5</v>
      </c>
      <c r="BB48" s="228">
        <v>6</v>
      </c>
      <c r="BC48" s="228">
        <v>-1</v>
      </c>
      <c r="BD48" s="229">
        <v>-0.186</v>
      </c>
      <c r="BE48" s="228">
        <v>0</v>
      </c>
      <c r="BF48" s="228">
        <v>0</v>
      </c>
      <c r="BG48" s="228">
        <v>0</v>
      </c>
      <c r="BH48" s="229">
        <v>0</v>
      </c>
      <c r="BI48" s="228">
        <v>57</v>
      </c>
      <c r="BJ48" s="228">
        <v>156</v>
      </c>
      <c r="BK48" s="228">
        <v>-99</v>
      </c>
      <c r="BL48" s="229">
        <v>-0.6361</v>
      </c>
      <c r="BM48" s="228">
        <v>14</v>
      </c>
      <c r="BN48" s="228">
        <v>59</v>
      </c>
      <c r="BO48" s="228">
        <v>-45</v>
      </c>
      <c r="BP48" s="229">
        <v>-0.75990000000000002</v>
      </c>
      <c r="BQ48" s="228">
        <v>109</v>
      </c>
      <c r="BR48" s="228">
        <v>295</v>
      </c>
      <c r="BS48" s="228">
        <v>-186</v>
      </c>
      <c r="BT48" s="229">
        <v>-0.63070000000000004</v>
      </c>
      <c r="BU48" s="230">
        <v>1664149</v>
      </c>
      <c r="BV48" s="230">
        <v>2462687</v>
      </c>
      <c r="BW48" s="230">
        <v>-798538</v>
      </c>
      <c r="BX48" s="229">
        <v>-0.32429999999999998</v>
      </c>
      <c r="BY48" s="228">
        <v>307</v>
      </c>
      <c r="BZ48" s="228">
        <v>313</v>
      </c>
      <c r="CA48" s="228">
        <v>-6</v>
      </c>
      <c r="CB48" s="229">
        <v>-0.02</v>
      </c>
      <c r="CC48" s="228">
        <v>293</v>
      </c>
      <c r="CD48" s="228">
        <v>301</v>
      </c>
      <c r="CE48" s="228">
        <v>-8</v>
      </c>
      <c r="CF48" s="229">
        <v>-2.7699999999999999E-2</v>
      </c>
      <c r="CG48" s="228">
        <v>14</v>
      </c>
      <c r="CH48" s="228">
        <v>12</v>
      </c>
      <c r="CI48" s="228">
        <v>2</v>
      </c>
      <c r="CJ48" s="229">
        <v>0.1739</v>
      </c>
      <c r="CK48" s="228">
        <v>0</v>
      </c>
      <c r="CL48" s="228">
        <v>0</v>
      </c>
      <c r="CM48" s="228">
        <v>0</v>
      </c>
      <c r="CN48" s="229">
        <v>0</v>
      </c>
      <c r="CO48" s="228">
        <v>216</v>
      </c>
      <c r="CP48" s="228">
        <v>225</v>
      </c>
      <c r="CQ48" s="228">
        <v>-9</v>
      </c>
      <c r="CR48" s="229">
        <v>-3.9E-2</v>
      </c>
      <c r="CS48" s="228">
        <v>91</v>
      </c>
      <c r="CT48" s="228">
        <v>92</v>
      </c>
      <c r="CU48" s="228">
        <v>0</v>
      </c>
      <c r="CV48" s="229">
        <v>-3.5000000000000001E-3</v>
      </c>
      <c r="CW48" s="228">
        <v>614</v>
      </c>
      <c r="CX48" s="228">
        <v>630</v>
      </c>
      <c r="CY48" s="228">
        <v>-15</v>
      </c>
      <c r="CZ48" s="229">
        <v>-2.4400000000000002E-2</v>
      </c>
      <c r="DA48" s="228">
        <v>29.59</v>
      </c>
      <c r="DB48" s="228">
        <v>28.38</v>
      </c>
      <c r="DC48" s="228">
        <v>1.21</v>
      </c>
      <c r="DD48" s="228">
        <v>1.21</v>
      </c>
      <c r="DE48" s="228">
        <v>43.4</v>
      </c>
      <c r="DF48" s="228">
        <v>43.5</v>
      </c>
      <c r="DG48" s="228">
        <v>-13.81</v>
      </c>
      <c r="DH48" s="228">
        <v>-0.1</v>
      </c>
      <c r="DI48" s="228">
        <v>30.36</v>
      </c>
      <c r="DJ48" s="228">
        <v>28.35</v>
      </c>
      <c r="DK48" s="228">
        <v>2.0099999999999998</v>
      </c>
      <c r="DL48" s="228">
        <v>2.0099999999999998</v>
      </c>
      <c r="DM48" s="228">
        <v>26.54</v>
      </c>
      <c r="DN48" s="228">
        <v>28.44</v>
      </c>
      <c r="DO48" s="228">
        <v>-1.9</v>
      </c>
      <c r="DP48" s="228">
        <v>-1.9</v>
      </c>
      <c r="DQ48" s="228">
        <v>0.42</v>
      </c>
      <c r="DR48" s="228">
        <v>0.41</v>
      </c>
      <c r="DS48" s="228">
        <v>0.01</v>
      </c>
      <c r="DT48" s="229">
        <v>2.4400000000000002E-2</v>
      </c>
      <c r="DU48" s="228">
        <v>200</v>
      </c>
      <c r="DV48" s="228">
        <v>160</v>
      </c>
      <c r="DW48" s="228">
        <v>0.25</v>
      </c>
      <c r="DX48" s="228">
        <v>0.38</v>
      </c>
      <c r="DY48" s="228">
        <v>-0.13</v>
      </c>
      <c r="DZ48" s="229">
        <v>-0.34210000000000002</v>
      </c>
      <c r="EA48" s="229">
        <v>4.5499999999999999E-2</v>
      </c>
      <c r="EB48" s="230">
        <v>667000</v>
      </c>
      <c r="EC48" s="229">
        <v>5.1000000000000004E-3</v>
      </c>
      <c r="ED48" s="229">
        <v>4.5499999999999999E-2</v>
      </c>
      <c r="EE48" s="228">
        <v>1.01</v>
      </c>
      <c r="EF48" s="229">
        <v>5.7000000000000002E-3</v>
      </c>
      <c r="EG48" s="230">
        <v>1042783</v>
      </c>
      <c r="EH48" s="230">
        <v>1466651</v>
      </c>
      <c r="EI48" s="229">
        <v>-0.28899999999999998</v>
      </c>
      <c r="EJ48" s="229">
        <v>0.62660000000000005</v>
      </c>
      <c r="EK48" s="228">
        <v>60.06</v>
      </c>
      <c r="EL48" s="228">
        <v>14.03</v>
      </c>
      <c r="EM48" s="228">
        <v>38.159999999999997</v>
      </c>
      <c r="EN48" s="228">
        <v>0</v>
      </c>
      <c r="EO48" s="228">
        <v>112.25</v>
      </c>
      <c r="EP48" s="228">
        <v>301.98</v>
      </c>
      <c r="EQ48" s="228">
        <v>-189.73</v>
      </c>
      <c r="ER48" s="229">
        <v>-0.62829999999999997</v>
      </c>
      <c r="ES48" s="228">
        <v>227.79</v>
      </c>
      <c r="ET48" s="228">
        <v>86.29</v>
      </c>
      <c r="EU48" s="228">
        <v>306.66000000000003</v>
      </c>
      <c r="EV48" s="231">
        <v>126959974</v>
      </c>
      <c r="EW48" s="228">
        <v>620.74</v>
      </c>
      <c r="EX48" s="228">
        <v>638.53</v>
      </c>
      <c r="EY48" s="228">
        <v>-17.79</v>
      </c>
      <c r="EZ48" s="229">
        <v>-2.7900000000000001E-2</v>
      </c>
      <c r="FA48" s="229">
        <v>0.27179999999999999</v>
      </c>
      <c r="FB48" s="227" t="s">
        <v>568</v>
      </c>
      <c r="FC48">
        <f t="shared" si="0"/>
        <v>14</v>
      </c>
    </row>
    <row r="49" spans="1:159" ht="17.25" thickBot="1" x14ac:dyDescent="0.3">
      <c r="A49" s="226">
        <v>45860</v>
      </c>
      <c r="B49" s="227" t="s">
        <v>161</v>
      </c>
      <c r="C49" s="227" t="s">
        <v>613</v>
      </c>
      <c r="D49" s="228">
        <v>850</v>
      </c>
      <c r="E49" s="228">
        <v>9</v>
      </c>
      <c r="F49" s="228">
        <v>685.1</v>
      </c>
      <c r="G49" s="228">
        <v>683.35</v>
      </c>
      <c r="H49" s="228">
        <v>1.75</v>
      </c>
      <c r="I49" s="229">
        <v>2.5999999999999999E-3</v>
      </c>
      <c r="J49" s="228">
        <v>683.8</v>
      </c>
      <c r="K49" s="228">
        <v>680.65</v>
      </c>
      <c r="L49" s="228">
        <v>3.15</v>
      </c>
      <c r="M49" s="229">
        <v>4.5999999999999999E-3</v>
      </c>
      <c r="N49" s="228">
        <v>685.1</v>
      </c>
      <c r="O49" s="228">
        <v>683.35</v>
      </c>
      <c r="P49" s="228">
        <v>1.75</v>
      </c>
      <c r="Q49" s="229">
        <v>2.5999999999999999E-3</v>
      </c>
      <c r="R49" s="228">
        <v>688.7</v>
      </c>
      <c r="S49" s="228">
        <v>686.75</v>
      </c>
      <c r="T49" s="228">
        <v>1.95</v>
      </c>
      <c r="U49" s="229">
        <v>2.8E-3</v>
      </c>
      <c r="V49" s="228">
        <v>0</v>
      </c>
      <c r="W49" s="228">
        <v>0</v>
      </c>
      <c r="X49" s="228">
        <v>0</v>
      </c>
      <c r="Y49" s="229">
        <v>0</v>
      </c>
      <c r="Z49" s="228">
        <v>1.3</v>
      </c>
      <c r="AA49" s="228">
        <v>2.7</v>
      </c>
      <c r="AB49" s="228">
        <v>-1.4</v>
      </c>
      <c r="AC49" s="229">
        <v>1.9E-3</v>
      </c>
      <c r="AD49" s="228">
        <v>1.3</v>
      </c>
      <c r="AE49" s="228">
        <v>2.7</v>
      </c>
      <c r="AF49" s="228">
        <v>-1.4</v>
      </c>
      <c r="AG49" s="229">
        <v>1.9E-3</v>
      </c>
      <c r="AH49" s="228">
        <v>4.9000000000000004</v>
      </c>
      <c r="AI49" s="228">
        <v>6.1</v>
      </c>
      <c r="AJ49" s="228">
        <v>-1.2</v>
      </c>
      <c r="AK49" s="229">
        <v>7.1999999999999998E-3</v>
      </c>
      <c r="AL49" s="228">
        <v>0</v>
      </c>
      <c r="AM49" s="228">
        <v>0</v>
      </c>
      <c r="AN49" s="228">
        <v>0</v>
      </c>
      <c r="AO49" s="229">
        <v>0</v>
      </c>
      <c r="AP49" s="228">
        <v>685.47</v>
      </c>
      <c r="AQ49" s="228">
        <v>688.61</v>
      </c>
      <c r="AR49" s="228">
        <v>0</v>
      </c>
      <c r="AS49" s="228">
        <v>276</v>
      </c>
      <c r="AT49" s="228">
        <v>274</v>
      </c>
      <c r="AU49" s="228">
        <v>2</v>
      </c>
      <c r="AV49" s="229">
        <v>8.5000000000000006E-3</v>
      </c>
      <c r="AW49" s="228">
        <v>249</v>
      </c>
      <c r="AX49" s="228">
        <v>236</v>
      </c>
      <c r="AY49" s="228">
        <v>13</v>
      </c>
      <c r="AZ49" s="229">
        <v>5.6300000000000003E-2</v>
      </c>
      <c r="BA49" s="228">
        <v>26</v>
      </c>
      <c r="BB49" s="228">
        <v>36</v>
      </c>
      <c r="BC49" s="228">
        <v>-10</v>
      </c>
      <c r="BD49" s="229">
        <v>-0.28339999999999999</v>
      </c>
      <c r="BE49" s="228">
        <v>0</v>
      </c>
      <c r="BF49" s="228">
        <v>0</v>
      </c>
      <c r="BG49" s="228">
        <v>0</v>
      </c>
      <c r="BH49" s="229">
        <v>0</v>
      </c>
      <c r="BI49" s="228">
        <v>453</v>
      </c>
      <c r="BJ49" s="228">
        <v>426</v>
      </c>
      <c r="BK49" s="228">
        <v>27</v>
      </c>
      <c r="BL49" s="229">
        <v>6.4600000000000005E-2</v>
      </c>
      <c r="BM49" s="228">
        <v>159</v>
      </c>
      <c r="BN49" s="228">
        <v>143</v>
      </c>
      <c r="BO49" s="228">
        <v>16</v>
      </c>
      <c r="BP49" s="229">
        <v>0.1114</v>
      </c>
      <c r="BQ49" s="228">
        <v>888</v>
      </c>
      <c r="BR49" s="228">
        <v>842</v>
      </c>
      <c r="BS49" s="228">
        <v>46</v>
      </c>
      <c r="BT49" s="229">
        <v>5.4300000000000001E-2</v>
      </c>
      <c r="BU49" s="230">
        <v>4365131</v>
      </c>
      <c r="BV49" s="230">
        <v>2713350</v>
      </c>
      <c r="BW49" s="230">
        <v>1651781</v>
      </c>
      <c r="BX49" s="229">
        <v>0.60880000000000001</v>
      </c>
      <c r="BY49" s="230">
        <v>1247</v>
      </c>
      <c r="BZ49" s="230">
        <v>1244</v>
      </c>
      <c r="CA49" s="228">
        <v>3</v>
      </c>
      <c r="CB49" s="229">
        <v>2.7000000000000001E-3</v>
      </c>
      <c r="CC49" s="230">
        <v>1192</v>
      </c>
      <c r="CD49" s="230">
        <v>1186</v>
      </c>
      <c r="CE49" s="228">
        <v>5</v>
      </c>
      <c r="CF49" s="229">
        <v>4.4999999999999997E-3</v>
      </c>
      <c r="CG49" s="228">
        <v>53</v>
      </c>
      <c r="CH49" s="228">
        <v>55</v>
      </c>
      <c r="CI49" s="228">
        <v>-2</v>
      </c>
      <c r="CJ49" s="229">
        <v>-3.2899999999999999E-2</v>
      </c>
      <c r="CK49" s="228">
        <v>0</v>
      </c>
      <c r="CL49" s="228">
        <v>0</v>
      </c>
      <c r="CM49" s="228">
        <v>0</v>
      </c>
      <c r="CN49" s="229">
        <v>0</v>
      </c>
      <c r="CO49" s="228">
        <v>357</v>
      </c>
      <c r="CP49" s="228">
        <v>361</v>
      </c>
      <c r="CQ49" s="228">
        <v>-4</v>
      </c>
      <c r="CR49" s="229">
        <v>-1.11E-2</v>
      </c>
      <c r="CS49" s="228">
        <v>268</v>
      </c>
      <c r="CT49" s="228">
        <v>266</v>
      </c>
      <c r="CU49" s="228">
        <v>2</v>
      </c>
      <c r="CV49" s="229">
        <v>8.3000000000000001E-3</v>
      </c>
      <c r="CW49" s="230">
        <v>1872</v>
      </c>
      <c r="CX49" s="230">
        <v>1870</v>
      </c>
      <c r="CY49" s="228">
        <v>2</v>
      </c>
      <c r="CZ49" s="229">
        <v>8.0000000000000004E-4</v>
      </c>
      <c r="DA49" s="228">
        <v>40.880000000000003</v>
      </c>
      <c r="DB49" s="228">
        <v>39.94</v>
      </c>
      <c r="DC49" s="228">
        <v>0.94</v>
      </c>
      <c r="DD49" s="228">
        <v>0.94</v>
      </c>
      <c r="DE49" s="228">
        <v>45.45</v>
      </c>
      <c r="DF49" s="228">
        <v>45.56</v>
      </c>
      <c r="DG49" s="228">
        <v>-4.57</v>
      </c>
      <c r="DH49" s="228">
        <v>-0.11</v>
      </c>
      <c r="DI49" s="228">
        <v>40.700000000000003</v>
      </c>
      <c r="DJ49" s="228">
        <v>39.94</v>
      </c>
      <c r="DK49" s="228">
        <v>0.76</v>
      </c>
      <c r="DL49" s="228">
        <v>0.76</v>
      </c>
      <c r="DM49" s="228">
        <v>41.37</v>
      </c>
      <c r="DN49" s="228">
        <v>39.96</v>
      </c>
      <c r="DO49" s="228">
        <v>1.41</v>
      </c>
      <c r="DP49" s="228">
        <v>1.41</v>
      </c>
      <c r="DQ49" s="228">
        <v>0.75</v>
      </c>
      <c r="DR49" s="228">
        <v>0.74</v>
      </c>
      <c r="DS49" s="228">
        <v>0.01</v>
      </c>
      <c r="DT49" s="229">
        <v>1.35E-2</v>
      </c>
      <c r="DU49" s="228">
        <v>700</v>
      </c>
      <c r="DV49" s="228">
        <v>620</v>
      </c>
      <c r="DW49" s="228">
        <v>0.35</v>
      </c>
      <c r="DX49" s="228">
        <v>0.34</v>
      </c>
      <c r="DY49" s="228">
        <v>0.01</v>
      </c>
      <c r="DZ49" s="229">
        <v>2.9399999999999999E-2</v>
      </c>
      <c r="EA49" s="229">
        <v>4.2599999999999999E-2</v>
      </c>
      <c r="EB49" s="230">
        <v>801550</v>
      </c>
      <c r="EC49" s="229">
        <v>5.3E-3</v>
      </c>
      <c r="ED49" s="229">
        <v>4.2599999999999999E-2</v>
      </c>
      <c r="EE49" s="228">
        <v>3.14</v>
      </c>
      <c r="EF49" s="229">
        <v>4.5999999999999999E-3</v>
      </c>
      <c r="EG49" s="230">
        <v>2896916</v>
      </c>
      <c r="EH49" s="230">
        <v>1544563</v>
      </c>
      <c r="EI49" s="229">
        <v>0.87560000000000004</v>
      </c>
      <c r="EJ49" s="229">
        <v>0.66359999999999997</v>
      </c>
      <c r="EK49" s="228">
        <v>468.48</v>
      </c>
      <c r="EL49" s="228">
        <v>155.78</v>
      </c>
      <c r="EM49" s="228">
        <v>276.19</v>
      </c>
      <c r="EN49" s="228">
        <v>0</v>
      </c>
      <c r="EO49" s="228">
        <v>900.44</v>
      </c>
      <c r="EP49" s="228">
        <v>850.94</v>
      </c>
      <c r="EQ49" s="228">
        <v>49.5</v>
      </c>
      <c r="ER49" s="229">
        <v>5.8200000000000002E-2</v>
      </c>
      <c r="ES49" s="228">
        <v>365.92</v>
      </c>
      <c r="ET49" s="228">
        <v>253.78</v>
      </c>
      <c r="EU49" s="231">
        <v>1247.5999999999999</v>
      </c>
      <c r="EV49" s="231">
        <v>128243866</v>
      </c>
      <c r="EW49" s="231">
        <v>1867.29</v>
      </c>
      <c r="EX49" s="231">
        <v>1862.76</v>
      </c>
      <c r="EY49" s="228">
        <v>4.53</v>
      </c>
      <c r="EZ49" s="229">
        <v>2.3999999999999998E-3</v>
      </c>
      <c r="FA49" s="229">
        <v>0.21310000000000001</v>
      </c>
      <c r="FB49" s="227" t="s">
        <v>555</v>
      </c>
      <c r="FC49">
        <f t="shared" si="0"/>
        <v>55</v>
      </c>
    </row>
    <row r="50" spans="1:159" ht="17.25" thickBot="1" x14ac:dyDescent="0.3">
      <c r="A50" s="226">
        <v>45860</v>
      </c>
      <c r="B50" s="227" t="s">
        <v>498</v>
      </c>
      <c r="C50" s="227" t="s">
        <v>532</v>
      </c>
      <c r="D50" s="228">
        <v>950</v>
      </c>
      <c r="E50" s="228">
        <v>9</v>
      </c>
      <c r="F50" s="228">
        <v>551.95000000000005</v>
      </c>
      <c r="G50" s="228">
        <v>554.45000000000005</v>
      </c>
      <c r="H50" s="228">
        <v>-2.5</v>
      </c>
      <c r="I50" s="229">
        <v>-4.4999999999999997E-3</v>
      </c>
      <c r="J50" s="228">
        <v>550.20000000000005</v>
      </c>
      <c r="K50" s="228">
        <v>551.70000000000005</v>
      </c>
      <c r="L50" s="228">
        <v>-1.5</v>
      </c>
      <c r="M50" s="229">
        <v>-2.7000000000000001E-3</v>
      </c>
      <c r="N50" s="228">
        <v>551.95000000000005</v>
      </c>
      <c r="O50" s="228">
        <v>554.45000000000005</v>
      </c>
      <c r="P50" s="228">
        <v>-2.5</v>
      </c>
      <c r="Q50" s="229">
        <v>-4.4999999999999997E-3</v>
      </c>
      <c r="R50" s="228">
        <v>0</v>
      </c>
      <c r="S50" s="228">
        <v>0</v>
      </c>
      <c r="T50" s="228">
        <v>0</v>
      </c>
      <c r="U50" s="229">
        <v>0</v>
      </c>
      <c r="V50" s="228">
        <v>0</v>
      </c>
      <c r="W50" s="228">
        <v>0</v>
      </c>
      <c r="X50" s="228">
        <v>0</v>
      </c>
      <c r="Y50" s="229">
        <v>0</v>
      </c>
      <c r="Z50" s="228">
        <v>1.75</v>
      </c>
      <c r="AA50" s="228">
        <v>2.75</v>
      </c>
      <c r="AB50" s="228">
        <v>-1</v>
      </c>
      <c r="AC50" s="229">
        <v>3.2000000000000002E-3</v>
      </c>
      <c r="AD50" s="228">
        <v>1.75</v>
      </c>
      <c r="AE50" s="228">
        <v>2.75</v>
      </c>
      <c r="AF50" s="228">
        <v>-1</v>
      </c>
      <c r="AG50" s="229">
        <v>3.2000000000000002E-3</v>
      </c>
      <c r="AH50" s="228">
        <v>0</v>
      </c>
      <c r="AI50" s="228">
        <v>0</v>
      </c>
      <c r="AJ50" s="228">
        <v>0</v>
      </c>
      <c r="AK50" s="229">
        <v>0</v>
      </c>
      <c r="AL50" s="228">
        <v>0</v>
      </c>
      <c r="AM50" s="228">
        <v>0</v>
      </c>
      <c r="AN50" s="228">
        <v>0</v>
      </c>
      <c r="AO50" s="229">
        <v>0</v>
      </c>
      <c r="AP50" s="228">
        <v>553.09</v>
      </c>
      <c r="AQ50" s="228">
        <v>0</v>
      </c>
      <c r="AR50" s="228">
        <v>0</v>
      </c>
      <c r="AS50" s="228">
        <v>66</v>
      </c>
      <c r="AT50" s="228">
        <v>84</v>
      </c>
      <c r="AU50" s="228">
        <v>-19</v>
      </c>
      <c r="AV50" s="229">
        <v>-0.22159999999999999</v>
      </c>
      <c r="AW50" s="228">
        <v>66</v>
      </c>
      <c r="AX50" s="228">
        <v>84</v>
      </c>
      <c r="AY50" s="228">
        <v>-19</v>
      </c>
      <c r="AZ50" s="229">
        <v>-0.22159999999999999</v>
      </c>
      <c r="BA50" s="228">
        <v>0</v>
      </c>
      <c r="BB50" s="228">
        <v>0</v>
      </c>
      <c r="BC50" s="228">
        <v>0</v>
      </c>
      <c r="BD50" s="229">
        <v>0</v>
      </c>
      <c r="BE50" s="228">
        <v>0</v>
      </c>
      <c r="BF50" s="228">
        <v>0</v>
      </c>
      <c r="BG50" s="228">
        <v>0</v>
      </c>
      <c r="BH50" s="229">
        <v>0</v>
      </c>
      <c r="BI50" s="228">
        <v>130</v>
      </c>
      <c r="BJ50" s="228">
        <v>165</v>
      </c>
      <c r="BK50" s="228">
        <v>-35</v>
      </c>
      <c r="BL50" s="229">
        <v>-0.21210000000000001</v>
      </c>
      <c r="BM50" s="228">
        <v>35</v>
      </c>
      <c r="BN50" s="228">
        <v>63</v>
      </c>
      <c r="BO50" s="228">
        <v>-28</v>
      </c>
      <c r="BP50" s="229">
        <v>-0.43969999999999998</v>
      </c>
      <c r="BQ50" s="228">
        <v>231</v>
      </c>
      <c r="BR50" s="228">
        <v>312</v>
      </c>
      <c r="BS50" s="228">
        <v>-81</v>
      </c>
      <c r="BT50" s="229">
        <v>-0.2606</v>
      </c>
      <c r="BU50" s="230">
        <v>772961</v>
      </c>
      <c r="BV50" s="230">
        <v>932094</v>
      </c>
      <c r="BW50" s="230">
        <v>-159133</v>
      </c>
      <c r="BX50" s="229">
        <v>-0.17069999999999999</v>
      </c>
      <c r="BY50" s="228">
        <v>570</v>
      </c>
      <c r="BZ50" s="228">
        <v>585</v>
      </c>
      <c r="CA50" s="228">
        <v>-15</v>
      </c>
      <c r="CB50" s="229">
        <v>-2.5700000000000001E-2</v>
      </c>
      <c r="CC50" s="228">
        <v>570</v>
      </c>
      <c r="CD50" s="228">
        <v>585</v>
      </c>
      <c r="CE50" s="228">
        <v>-15</v>
      </c>
      <c r="CF50" s="229">
        <v>-2.5700000000000001E-2</v>
      </c>
      <c r="CG50" s="228">
        <v>0</v>
      </c>
      <c r="CH50" s="228">
        <v>0</v>
      </c>
      <c r="CI50" s="228">
        <v>0</v>
      </c>
      <c r="CJ50" s="229">
        <v>0</v>
      </c>
      <c r="CK50" s="228">
        <v>0</v>
      </c>
      <c r="CL50" s="228">
        <v>0</v>
      </c>
      <c r="CM50" s="228">
        <v>0</v>
      </c>
      <c r="CN50" s="229">
        <v>0</v>
      </c>
      <c r="CO50" s="228">
        <v>330</v>
      </c>
      <c r="CP50" s="228">
        <v>329</v>
      </c>
      <c r="CQ50" s="228">
        <v>0</v>
      </c>
      <c r="CR50" s="229">
        <v>1.2999999999999999E-3</v>
      </c>
      <c r="CS50" s="228">
        <v>156</v>
      </c>
      <c r="CT50" s="228">
        <v>162</v>
      </c>
      <c r="CU50" s="228">
        <v>-6</v>
      </c>
      <c r="CV50" s="229">
        <v>-3.78E-2</v>
      </c>
      <c r="CW50" s="230">
        <v>1056</v>
      </c>
      <c r="CX50" s="230">
        <v>1077</v>
      </c>
      <c r="CY50" s="228">
        <v>-21</v>
      </c>
      <c r="CZ50" s="229">
        <v>-1.9300000000000001E-2</v>
      </c>
      <c r="DA50" s="228">
        <v>31.13</v>
      </c>
      <c r="DB50" s="228">
        <v>30.26</v>
      </c>
      <c r="DC50" s="228">
        <v>0.87</v>
      </c>
      <c r="DD50" s="228">
        <v>0.87</v>
      </c>
      <c r="DE50" s="228">
        <v>46.43</v>
      </c>
      <c r="DF50" s="228">
        <v>46.54</v>
      </c>
      <c r="DG50" s="228">
        <v>-15.3</v>
      </c>
      <c r="DH50" s="228">
        <v>-0.11</v>
      </c>
      <c r="DI50" s="228">
        <v>31.73</v>
      </c>
      <c r="DJ50" s="228">
        <v>30.78</v>
      </c>
      <c r="DK50" s="228">
        <v>0.95</v>
      </c>
      <c r="DL50" s="228">
        <v>0.95</v>
      </c>
      <c r="DM50" s="228">
        <v>28.96</v>
      </c>
      <c r="DN50" s="228">
        <v>28.91</v>
      </c>
      <c r="DO50" s="228">
        <v>0.05</v>
      </c>
      <c r="DP50" s="228">
        <v>0.05</v>
      </c>
      <c r="DQ50" s="228">
        <v>0.47</v>
      </c>
      <c r="DR50" s="228">
        <v>0.49</v>
      </c>
      <c r="DS50" s="228">
        <v>-0.02</v>
      </c>
      <c r="DT50" s="229">
        <v>-4.0800000000000003E-2</v>
      </c>
      <c r="DU50" s="228">
        <v>600</v>
      </c>
      <c r="DV50" s="228">
        <v>530</v>
      </c>
      <c r="DW50" s="228">
        <v>0.27</v>
      </c>
      <c r="DX50" s="228">
        <v>0.38</v>
      </c>
      <c r="DY50" s="228">
        <v>-0.11</v>
      </c>
      <c r="DZ50" s="229">
        <v>-0.28949999999999998</v>
      </c>
      <c r="EA50" s="229">
        <v>0</v>
      </c>
      <c r="EB50" s="228">
        <v>0</v>
      </c>
      <c r="EC50" s="229">
        <v>0</v>
      </c>
      <c r="ED50" s="229">
        <v>0</v>
      </c>
      <c r="EE50" s="228">
        <v>0</v>
      </c>
      <c r="EF50" s="229">
        <v>0</v>
      </c>
      <c r="EG50" s="230">
        <v>407663</v>
      </c>
      <c r="EH50" s="230">
        <v>480184</v>
      </c>
      <c r="EI50" s="229">
        <v>-0.151</v>
      </c>
      <c r="EJ50" s="229">
        <v>0.52739999999999998</v>
      </c>
      <c r="EK50" s="228">
        <v>135.87</v>
      </c>
      <c r="EL50" s="228">
        <v>35.33</v>
      </c>
      <c r="EM50" s="228">
        <v>65.89</v>
      </c>
      <c r="EN50" s="228">
        <v>0</v>
      </c>
      <c r="EO50" s="228">
        <v>237.08</v>
      </c>
      <c r="EP50" s="228">
        <v>319.42</v>
      </c>
      <c r="EQ50" s="228">
        <v>-82.34</v>
      </c>
      <c r="ER50" s="229">
        <v>-0.25779999999999997</v>
      </c>
      <c r="ES50" s="228">
        <v>347.62</v>
      </c>
      <c r="ET50" s="228">
        <v>154.38</v>
      </c>
      <c r="EU50" s="228">
        <v>570.13</v>
      </c>
      <c r="EV50" s="231">
        <v>31728204</v>
      </c>
      <c r="EW50" s="231">
        <v>1072.1300000000001</v>
      </c>
      <c r="EX50" s="231">
        <v>1095.94</v>
      </c>
      <c r="EY50" s="228">
        <v>-23.81</v>
      </c>
      <c r="EZ50" s="229">
        <v>-2.1700000000000001E-2</v>
      </c>
      <c r="FA50" s="229">
        <v>0.60299999999999998</v>
      </c>
      <c r="FB50" s="227" t="s">
        <v>568</v>
      </c>
      <c r="FC50">
        <f t="shared" si="0"/>
        <v>0</v>
      </c>
    </row>
    <row r="51" spans="1:159" ht="17.25" thickBot="1" x14ac:dyDescent="0.3">
      <c r="A51" s="226">
        <v>45860</v>
      </c>
      <c r="B51" s="227" t="s">
        <v>175</v>
      </c>
      <c r="C51" s="227" t="s">
        <v>198</v>
      </c>
      <c r="D51" s="228">
        <v>625</v>
      </c>
      <c r="E51" s="228">
        <v>9</v>
      </c>
      <c r="F51" s="231">
        <v>1565</v>
      </c>
      <c r="G51" s="231">
        <v>1576</v>
      </c>
      <c r="H51" s="228">
        <v>-11</v>
      </c>
      <c r="I51" s="229">
        <v>-7.0000000000000001E-3</v>
      </c>
      <c r="J51" s="231">
        <v>1565.4</v>
      </c>
      <c r="K51" s="231">
        <v>1573.8</v>
      </c>
      <c r="L51" s="228">
        <v>-8.4</v>
      </c>
      <c r="M51" s="229">
        <v>-5.3E-3</v>
      </c>
      <c r="N51" s="231">
        <v>1565</v>
      </c>
      <c r="O51" s="231">
        <v>1576</v>
      </c>
      <c r="P51" s="228">
        <v>-11</v>
      </c>
      <c r="Q51" s="229">
        <v>-7.0000000000000001E-3</v>
      </c>
      <c r="R51" s="231">
        <v>1567.8</v>
      </c>
      <c r="S51" s="231">
        <v>1579.5</v>
      </c>
      <c r="T51" s="228">
        <v>-11.7</v>
      </c>
      <c r="U51" s="229">
        <v>-7.4000000000000003E-3</v>
      </c>
      <c r="V51" s="228">
        <v>0</v>
      </c>
      <c r="W51" s="228">
        <v>0</v>
      </c>
      <c r="X51" s="228">
        <v>0</v>
      </c>
      <c r="Y51" s="229">
        <v>0</v>
      </c>
      <c r="Z51" s="228">
        <v>-0.4</v>
      </c>
      <c r="AA51" s="228">
        <v>2.2000000000000002</v>
      </c>
      <c r="AB51" s="228">
        <v>-2.6</v>
      </c>
      <c r="AC51" s="229">
        <v>-2.9999999999999997E-4</v>
      </c>
      <c r="AD51" s="228">
        <v>-0.4</v>
      </c>
      <c r="AE51" s="228">
        <v>2.2000000000000002</v>
      </c>
      <c r="AF51" s="228">
        <v>-2.6</v>
      </c>
      <c r="AG51" s="229">
        <v>-2.9999999999999997E-4</v>
      </c>
      <c r="AH51" s="228">
        <v>2.4</v>
      </c>
      <c r="AI51" s="228">
        <v>5.7</v>
      </c>
      <c r="AJ51" s="228">
        <v>-3.3</v>
      </c>
      <c r="AK51" s="229">
        <v>1.5E-3</v>
      </c>
      <c r="AL51" s="228">
        <v>0</v>
      </c>
      <c r="AM51" s="228">
        <v>0</v>
      </c>
      <c r="AN51" s="228">
        <v>0</v>
      </c>
      <c r="AO51" s="229">
        <v>0</v>
      </c>
      <c r="AP51" s="231">
        <v>1565.29</v>
      </c>
      <c r="AQ51" s="231">
        <v>1568.87</v>
      </c>
      <c r="AR51" s="228">
        <v>0</v>
      </c>
      <c r="AS51" s="228">
        <v>206</v>
      </c>
      <c r="AT51" s="228">
        <v>652</v>
      </c>
      <c r="AU51" s="228">
        <v>-446</v>
      </c>
      <c r="AV51" s="229">
        <v>-0.68430000000000002</v>
      </c>
      <c r="AW51" s="228">
        <v>171</v>
      </c>
      <c r="AX51" s="228">
        <v>484</v>
      </c>
      <c r="AY51" s="228">
        <v>-313</v>
      </c>
      <c r="AZ51" s="229">
        <v>-0.64610000000000001</v>
      </c>
      <c r="BA51" s="228">
        <v>34</v>
      </c>
      <c r="BB51" s="228">
        <v>165</v>
      </c>
      <c r="BC51" s="228">
        <v>-131</v>
      </c>
      <c r="BD51" s="229">
        <v>-0.79569999999999996</v>
      </c>
      <c r="BE51" s="228">
        <v>0</v>
      </c>
      <c r="BF51" s="228">
        <v>0</v>
      </c>
      <c r="BG51" s="228">
        <v>0</v>
      </c>
      <c r="BH51" s="229">
        <v>0</v>
      </c>
      <c r="BI51" s="228">
        <v>352</v>
      </c>
      <c r="BJ51" s="228">
        <v>882</v>
      </c>
      <c r="BK51" s="228">
        <v>-531</v>
      </c>
      <c r="BL51" s="229">
        <v>-0.60140000000000005</v>
      </c>
      <c r="BM51" s="228">
        <v>175</v>
      </c>
      <c r="BN51" s="228">
        <v>468</v>
      </c>
      <c r="BO51" s="228">
        <v>-293</v>
      </c>
      <c r="BP51" s="229">
        <v>-0.626</v>
      </c>
      <c r="BQ51" s="228">
        <v>732</v>
      </c>
      <c r="BR51" s="230">
        <v>2002</v>
      </c>
      <c r="BS51" s="230">
        <v>-1270</v>
      </c>
      <c r="BT51" s="229">
        <v>-0.6341</v>
      </c>
      <c r="BU51" s="230">
        <v>749704</v>
      </c>
      <c r="BV51" s="230">
        <v>1682728</v>
      </c>
      <c r="BW51" s="230">
        <v>-933024</v>
      </c>
      <c r="BX51" s="229">
        <v>-0.55449999999999999</v>
      </c>
      <c r="BY51" s="230">
        <v>1936</v>
      </c>
      <c r="BZ51" s="230">
        <v>1922</v>
      </c>
      <c r="CA51" s="228">
        <v>14</v>
      </c>
      <c r="CB51" s="229">
        <v>7.4000000000000003E-3</v>
      </c>
      <c r="CC51" s="230">
        <v>1787</v>
      </c>
      <c r="CD51" s="230">
        <v>1785</v>
      </c>
      <c r="CE51" s="228">
        <v>2</v>
      </c>
      <c r="CF51" s="229">
        <v>1.2999999999999999E-3</v>
      </c>
      <c r="CG51" s="228">
        <v>138</v>
      </c>
      <c r="CH51" s="228">
        <v>127</v>
      </c>
      <c r="CI51" s="228">
        <v>11</v>
      </c>
      <c r="CJ51" s="229">
        <v>8.7599999999999997E-2</v>
      </c>
      <c r="CK51" s="228">
        <v>0</v>
      </c>
      <c r="CL51" s="228">
        <v>0</v>
      </c>
      <c r="CM51" s="228">
        <v>0</v>
      </c>
      <c r="CN51" s="229">
        <v>0</v>
      </c>
      <c r="CO51" s="228">
        <v>618</v>
      </c>
      <c r="CP51" s="228">
        <v>611</v>
      </c>
      <c r="CQ51" s="228">
        <v>8</v>
      </c>
      <c r="CR51" s="229">
        <v>1.23E-2</v>
      </c>
      <c r="CS51" s="228">
        <v>470</v>
      </c>
      <c r="CT51" s="228">
        <v>465</v>
      </c>
      <c r="CU51" s="228">
        <v>6</v>
      </c>
      <c r="CV51" s="229">
        <v>1.2E-2</v>
      </c>
      <c r="CW51" s="230">
        <v>3024</v>
      </c>
      <c r="CX51" s="230">
        <v>2997</v>
      </c>
      <c r="CY51" s="228">
        <v>27</v>
      </c>
      <c r="CZ51" s="229">
        <v>9.1000000000000004E-3</v>
      </c>
      <c r="DA51" s="228">
        <v>29.28</v>
      </c>
      <c r="DB51" s="228">
        <v>30.22</v>
      </c>
      <c r="DC51" s="228">
        <v>-0.94</v>
      </c>
      <c r="DD51" s="228">
        <v>-0.94</v>
      </c>
      <c r="DE51" s="228">
        <v>40.43</v>
      </c>
      <c r="DF51" s="228">
        <v>40.53</v>
      </c>
      <c r="DG51" s="228">
        <v>-11.15</v>
      </c>
      <c r="DH51" s="228">
        <v>-0.1</v>
      </c>
      <c r="DI51" s="228">
        <v>29.46</v>
      </c>
      <c r="DJ51" s="228">
        <v>30.1</v>
      </c>
      <c r="DK51" s="228">
        <v>-0.64</v>
      </c>
      <c r="DL51" s="228">
        <v>-0.64</v>
      </c>
      <c r="DM51" s="228">
        <v>28.92</v>
      </c>
      <c r="DN51" s="228">
        <v>30.44</v>
      </c>
      <c r="DO51" s="228">
        <v>-1.52</v>
      </c>
      <c r="DP51" s="228">
        <v>-1.52</v>
      </c>
      <c r="DQ51" s="228">
        <v>0.76</v>
      </c>
      <c r="DR51" s="228">
        <v>0.76</v>
      </c>
      <c r="DS51" s="228">
        <v>0</v>
      </c>
      <c r="DT51" s="229">
        <v>0</v>
      </c>
      <c r="DU51" s="231">
        <v>1600</v>
      </c>
      <c r="DV51" s="231">
        <v>1500</v>
      </c>
      <c r="DW51" s="228">
        <v>0.5</v>
      </c>
      <c r="DX51" s="228">
        <v>0.53</v>
      </c>
      <c r="DY51" s="228">
        <v>-0.03</v>
      </c>
      <c r="DZ51" s="229">
        <v>-5.6599999999999998E-2</v>
      </c>
      <c r="EA51" s="229">
        <v>7.1499999999999994E-2</v>
      </c>
      <c r="EB51" s="230">
        <v>813125</v>
      </c>
      <c r="EC51" s="229">
        <v>1.8E-3</v>
      </c>
      <c r="ED51" s="229">
        <v>7.1499999999999994E-2</v>
      </c>
      <c r="EE51" s="228">
        <v>3.58</v>
      </c>
      <c r="EF51" s="229">
        <v>2.3E-3</v>
      </c>
      <c r="EG51" s="230">
        <v>430775</v>
      </c>
      <c r="EH51" s="230">
        <v>1130190</v>
      </c>
      <c r="EI51" s="229">
        <v>-0.61880000000000002</v>
      </c>
      <c r="EJ51" s="229">
        <v>0.5746</v>
      </c>
      <c r="EK51" s="228">
        <v>364.65</v>
      </c>
      <c r="EL51" s="228">
        <v>172.47</v>
      </c>
      <c r="EM51" s="228">
        <v>205.92</v>
      </c>
      <c r="EN51" s="228">
        <v>0</v>
      </c>
      <c r="EO51" s="228">
        <v>743.04</v>
      </c>
      <c r="EP51" s="231">
        <v>2017.74</v>
      </c>
      <c r="EQ51" s="231">
        <v>-1274.7</v>
      </c>
      <c r="ER51" s="229">
        <v>-0.63170000000000004</v>
      </c>
      <c r="ES51" s="228">
        <v>647.30999999999995</v>
      </c>
      <c r="ET51" s="228">
        <v>453.82</v>
      </c>
      <c r="EU51" s="231">
        <v>1936.49</v>
      </c>
      <c r="EV51" s="231">
        <v>84229462</v>
      </c>
      <c r="EW51" s="231">
        <v>3037.62</v>
      </c>
      <c r="EX51" s="231">
        <v>3023.15</v>
      </c>
      <c r="EY51" s="228">
        <v>14.47</v>
      </c>
      <c r="EZ51" s="229">
        <v>4.7999999999999996E-3</v>
      </c>
      <c r="FA51" s="229">
        <v>0.22939999999999999</v>
      </c>
      <c r="FB51" s="227" t="s">
        <v>567</v>
      </c>
      <c r="FC51">
        <f t="shared" si="0"/>
        <v>149</v>
      </c>
    </row>
    <row r="52" spans="1:159" ht="17.25" thickBot="1" x14ac:dyDescent="0.3">
      <c r="A52" s="226">
        <v>45860</v>
      </c>
      <c r="B52" s="227" t="s">
        <v>170</v>
      </c>
      <c r="C52" s="227" t="s">
        <v>199</v>
      </c>
      <c r="D52" s="228">
        <v>375</v>
      </c>
      <c r="E52" s="228">
        <v>9</v>
      </c>
      <c r="F52" s="231">
        <v>1465.5</v>
      </c>
      <c r="G52" s="231">
        <v>1475.2</v>
      </c>
      <c r="H52" s="228">
        <v>-9.6999999999999993</v>
      </c>
      <c r="I52" s="229">
        <v>-6.6E-3</v>
      </c>
      <c r="J52" s="231">
        <v>1464.4</v>
      </c>
      <c r="K52" s="231">
        <v>1473.9</v>
      </c>
      <c r="L52" s="228">
        <v>-9.5</v>
      </c>
      <c r="M52" s="229">
        <v>-6.4000000000000003E-3</v>
      </c>
      <c r="N52" s="231">
        <v>1465.5</v>
      </c>
      <c r="O52" s="231">
        <v>1475.2</v>
      </c>
      <c r="P52" s="228">
        <v>-9.6999999999999993</v>
      </c>
      <c r="Q52" s="229">
        <v>-6.6E-3</v>
      </c>
      <c r="R52" s="231">
        <v>1473.3</v>
      </c>
      <c r="S52" s="231">
        <v>1482.7</v>
      </c>
      <c r="T52" s="228">
        <v>-9.4</v>
      </c>
      <c r="U52" s="229">
        <v>-6.3E-3</v>
      </c>
      <c r="V52" s="228">
        <v>0</v>
      </c>
      <c r="W52" s="228">
        <v>0</v>
      </c>
      <c r="X52" s="228">
        <v>0</v>
      </c>
      <c r="Y52" s="229">
        <v>0</v>
      </c>
      <c r="Z52" s="228">
        <v>1.1000000000000001</v>
      </c>
      <c r="AA52" s="228">
        <v>1.3</v>
      </c>
      <c r="AB52" s="228">
        <v>-0.2</v>
      </c>
      <c r="AC52" s="229">
        <v>8.0000000000000004E-4</v>
      </c>
      <c r="AD52" s="228">
        <v>1.1000000000000001</v>
      </c>
      <c r="AE52" s="228">
        <v>1.3</v>
      </c>
      <c r="AF52" s="228">
        <v>-0.2</v>
      </c>
      <c r="AG52" s="229">
        <v>8.0000000000000004E-4</v>
      </c>
      <c r="AH52" s="228">
        <v>8.9</v>
      </c>
      <c r="AI52" s="228">
        <v>8.8000000000000007</v>
      </c>
      <c r="AJ52" s="228">
        <v>0.1</v>
      </c>
      <c r="AK52" s="229">
        <v>6.1000000000000004E-3</v>
      </c>
      <c r="AL52" s="228">
        <v>0</v>
      </c>
      <c r="AM52" s="228">
        <v>0</v>
      </c>
      <c r="AN52" s="228">
        <v>0</v>
      </c>
      <c r="AO52" s="229">
        <v>0</v>
      </c>
      <c r="AP52" s="231">
        <v>1464.29</v>
      </c>
      <c r="AQ52" s="231">
        <v>1471.45</v>
      </c>
      <c r="AR52" s="228">
        <v>0</v>
      </c>
      <c r="AS52" s="228">
        <v>241</v>
      </c>
      <c r="AT52" s="228">
        <v>168</v>
      </c>
      <c r="AU52" s="228">
        <v>72</v>
      </c>
      <c r="AV52" s="229">
        <v>0.42899999999999999</v>
      </c>
      <c r="AW52" s="228">
        <v>209</v>
      </c>
      <c r="AX52" s="228">
        <v>152</v>
      </c>
      <c r="AY52" s="228">
        <v>57</v>
      </c>
      <c r="AZ52" s="229">
        <v>0.37819999999999998</v>
      </c>
      <c r="BA52" s="228">
        <v>29</v>
      </c>
      <c r="BB52" s="228">
        <v>16</v>
      </c>
      <c r="BC52" s="228">
        <v>13</v>
      </c>
      <c r="BD52" s="229">
        <v>0.82699999999999996</v>
      </c>
      <c r="BE52" s="228">
        <v>0</v>
      </c>
      <c r="BF52" s="228">
        <v>0</v>
      </c>
      <c r="BG52" s="228">
        <v>0</v>
      </c>
      <c r="BH52" s="229">
        <v>0</v>
      </c>
      <c r="BI52" s="228">
        <v>451</v>
      </c>
      <c r="BJ52" s="228">
        <v>254</v>
      </c>
      <c r="BK52" s="228">
        <v>196</v>
      </c>
      <c r="BL52" s="229">
        <v>0.77170000000000005</v>
      </c>
      <c r="BM52" s="228">
        <v>322</v>
      </c>
      <c r="BN52" s="228">
        <v>158</v>
      </c>
      <c r="BO52" s="228">
        <v>164</v>
      </c>
      <c r="BP52" s="229">
        <v>1.0350999999999999</v>
      </c>
      <c r="BQ52" s="230">
        <v>1014</v>
      </c>
      <c r="BR52" s="228">
        <v>581</v>
      </c>
      <c r="BS52" s="228">
        <v>432</v>
      </c>
      <c r="BT52" s="229">
        <v>0.74409999999999998</v>
      </c>
      <c r="BU52" s="230">
        <v>2054241</v>
      </c>
      <c r="BV52" s="230">
        <v>1239108</v>
      </c>
      <c r="BW52" s="230">
        <v>815133</v>
      </c>
      <c r="BX52" s="229">
        <v>0.65780000000000005</v>
      </c>
      <c r="BY52" s="230">
        <v>1758</v>
      </c>
      <c r="BZ52" s="230">
        <v>1814</v>
      </c>
      <c r="CA52" s="228">
        <v>-55</v>
      </c>
      <c r="CB52" s="229">
        <v>-3.0599999999999999E-2</v>
      </c>
      <c r="CC52" s="230">
        <v>1640</v>
      </c>
      <c r="CD52" s="230">
        <v>1709</v>
      </c>
      <c r="CE52" s="228">
        <v>-68</v>
      </c>
      <c r="CF52" s="229">
        <v>-4.0099999999999997E-2</v>
      </c>
      <c r="CG52" s="228">
        <v>90</v>
      </c>
      <c r="CH52" s="228">
        <v>77</v>
      </c>
      <c r="CI52" s="228">
        <v>12</v>
      </c>
      <c r="CJ52" s="229">
        <v>0.16059999999999999</v>
      </c>
      <c r="CK52" s="228">
        <v>0</v>
      </c>
      <c r="CL52" s="228">
        <v>0</v>
      </c>
      <c r="CM52" s="228">
        <v>0</v>
      </c>
      <c r="CN52" s="229">
        <v>0</v>
      </c>
      <c r="CO52" s="228">
        <v>815</v>
      </c>
      <c r="CP52" s="228">
        <v>820</v>
      </c>
      <c r="CQ52" s="228">
        <v>-4</v>
      </c>
      <c r="CR52" s="229">
        <v>-5.1000000000000004E-3</v>
      </c>
      <c r="CS52" s="228">
        <v>411</v>
      </c>
      <c r="CT52" s="228">
        <v>412</v>
      </c>
      <c r="CU52" s="228">
        <v>-1</v>
      </c>
      <c r="CV52" s="229">
        <v>-2.0999999999999999E-3</v>
      </c>
      <c r="CW52" s="230">
        <v>2985</v>
      </c>
      <c r="CX52" s="230">
        <v>3046</v>
      </c>
      <c r="CY52" s="228">
        <v>-61</v>
      </c>
      <c r="CZ52" s="229">
        <v>-1.9900000000000001E-2</v>
      </c>
      <c r="DA52" s="228">
        <v>26.72</v>
      </c>
      <c r="DB52" s="228">
        <v>26.2</v>
      </c>
      <c r="DC52" s="228">
        <v>0.52</v>
      </c>
      <c r="DD52" s="228">
        <v>0.52</v>
      </c>
      <c r="DE52" s="228">
        <v>27.16</v>
      </c>
      <c r="DF52" s="228">
        <v>27.21</v>
      </c>
      <c r="DG52" s="228">
        <v>-0.44</v>
      </c>
      <c r="DH52" s="228">
        <v>-0.05</v>
      </c>
      <c r="DI52" s="228">
        <v>26.99</v>
      </c>
      <c r="DJ52" s="228">
        <v>26.46</v>
      </c>
      <c r="DK52" s="228">
        <v>0.53</v>
      </c>
      <c r="DL52" s="228">
        <v>0.53</v>
      </c>
      <c r="DM52" s="228">
        <v>26.35</v>
      </c>
      <c r="DN52" s="228">
        <v>25.79</v>
      </c>
      <c r="DO52" s="228">
        <v>0.56000000000000005</v>
      </c>
      <c r="DP52" s="228">
        <v>0.56000000000000005</v>
      </c>
      <c r="DQ52" s="228">
        <v>0.5</v>
      </c>
      <c r="DR52" s="228">
        <v>0.5</v>
      </c>
      <c r="DS52" s="228">
        <v>0</v>
      </c>
      <c r="DT52" s="229">
        <v>0</v>
      </c>
      <c r="DU52" s="231">
        <v>1600</v>
      </c>
      <c r="DV52" s="231">
        <v>1340</v>
      </c>
      <c r="DW52" s="228">
        <v>0.71</v>
      </c>
      <c r="DX52" s="228">
        <v>0.62</v>
      </c>
      <c r="DY52" s="228">
        <v>0.09</v>
      </c>
      <c r="DZ52" s="229">
        <v>0.1452</v>
      </c>
      <c r="EA52" s="229">
        <v>5.0999999999999997E-2</v>
      </c>
      <c r="EB52" s="230">
        <v>527625</v>
      </c>
      <c r="EC52" s="229">
        <v>5.3E-3</v>
      </c>
      <c r="ED52" s="229">
        <v>5.0999999999999997E-2</v>
      </c>
      <c r="EE52" s="228">
        <v>7.16</v>
      </c>
      <c r="EF52" s="229">
        <v>4.8999999999999998E-3</v>
      </c>
      <c r="EG52" s="230">
        <v>1379977</v>
      </c>
      <c r="EH52" s="230">
        <v>860521</v>
      </c>
      <c r="EI52" s="229">
        <v>0.60370000000000001</v>
      </c>
      <c r="EJ52" s="229">
        <v>0.67179999999999995</v>
      </c>
      <c r="EK52" s="228">
        <v>469.22</v>
      </c>
      <c r="EL52" s="228">
        <v>319.62</v>
      </c>
      <c r="EM52" s="228">
        <v>240.67</v>
      </c>
      <c r="EN52" s="228">
        <v>0</v>
      </c>
      <c r="EO52" s="231">
        <v>1029.51</v>
      </c>
      <c r="EP52" s="228">
        <v>593.15</v>
      </c>
      <c r="EQ52" s="228">
        <v>436.36</v>
      </c>
      <c r="ER52" s="229">
        <v>0.73570000000000002</v>
      </c>
      <c r="ES52" s="228">
        <v>883.96</v>
      </c>
      <c r="ET52" s="228">
        <v>397.53</v>
      </c>
      <c r="EU52" s="231">
        <v>1759.06</v>
      </c>
      <c r="EV52" s="231">
        <v>114117893</v>
      </c>
      <c r="EW52" s="231">
        <v>3040.55</v>
      </c>
      <c r="EX52" s="231">
        <v>3113.97</v>
      </c>
      <c r="EY52" s="228">
        <v>-73.42</v>
      </c>
      <c r="EZ52" s="229">
        <v>-2.3599999999999999E-2</v>
      </c>
      <c r="FA52" s="229">
        <v>0.17849999999999999</v>
      </c>
      <c r="FB52" s="227" t="s">
        <v>568</v>
      </c>
      <c r="FC52">
        <f t="shared" si="0"/>
        <v>118</v>
      </c>
    </row>
    <row r="53" spans="1:159" ht="17.25" thickBot="1" x14ac:dyDescent="0.3">
      <c r="A53" s="226">
        <v>45860</v>
      </c>
      <c r="B53" s="227" t="s">
        <v>227</v>
      </c>
      <c r="C53" s="227" t="s">
        <v>200</v>
      </c>
      <c r="D53" s="228">
        <v>1350</v>
      </c>
      <c r="E53" s="228">
        <v>9</v>
      </c>
      <c r="F53" s="228">
        <v>390.1</v>
      </c>
      <c r="G53" s="228">
        <v>387.45</v>
      </c>
      <c r="H53" s="228">
        <v>2.65</v>
      </c>
      <c r="I53" s="229">
        <v>6.7999999999999996E-3</v>
      </c>
      <c r="J53" s="228">
        <v>389.1</v>
      </c>
      <c r="K53" s="228">
        <v>386.8</v>
      </c>
      <c r="L53" s="228">
        <v>2.2999999999999998</v>
      </c>
      <c r="M53" s="229">
        <v>5.8999999999999999E-3</v>
      </c>
      <c r="N53" s="228">
        <v>390.1</v>
      </c>
      <c r="O53" s="228">
        <v>387.45</v>
      </c>
      <c r="P53" s="228">
        <v>2.65</v>
      </c>
      <c r="Q53" s="229">
        <v>6.7999999999999996E-3</v>
      </c>
      <c r="R53" s="228">
        <v>384.7</v>
      </c>
      <c r="S53" s="228">
        <v>382</v>
      </c>
      <c r="T53" s="228">
        <v>2.7</v>
      </c>
      <c r="U53" s="229">
        <v>7.1000000000000004E-3</v>
      </c>
      <c r="V53" s="228">
        <v>0</v>
      </c>
      <c r="W53" s="228">
        <v>0</v>
      </c>
      <c r="X53" s="228">
        <v>0</v>
      </c>
      <c r="Y53" s="229">
        <v>0</v>
      </c>
      <c r="Z53" s="228">
        <v>1</v>
      </c>
      <c r="AA53" s="228">
        <v>0.65</v>
      </c>
      <c r="AB53" s="228">
        <v>0.35</v>
      </c>
      <c r="AC53" s="229">
        <v>2.5999999999999999E-3</v>
      </c>
      <c r="AD53" s="228">
        <v>1</v>
      </c>
      <c r="AE53" s="228">
        <v>0.65</v>
      </c>
      <c r="AF53" s="228">
        <v>0.35</v>
      </c>
      <c r="AG53" s="229">
        <v>2.5999999999999999E-3</v>
      </c>
      <c r="AH53" s="228">
        <v>-4.4000000000000004</v>
      </c>
      <c r="AI53" s="228">
        <v>-4.8</v>
      </c>
      <c r="AJ53" s="228">
        <v>0.4</v>
      </c>
      <c r="AK53" s="229">
        <v>-1.1299999999999999E-2</v>
      </c>
      <c r="AL53" s="228">
        <v>0</v>
      </c>
      <c r="AM53" s="228">
        <v>0</v>
      </c>
      <c r="AN53" s="228">
        <v>0</v>
      </c>
      <c r="AO53" s="229">
        <v>0</v>
      </c>
      <c r="AP53" s="228">
        <v>389.64</v>
      </c>
      <c r="AQ53" s="228">
        <v>384.02</v>
      </c>
      <c r="AR53" s="228">
        <v>0</v>
      </c>
      <c r="AS53" s="228">
        <v>403</v>
      </c>
      <c r="AT53" s="228">
        <v>354</v>
      </c>
      <c r="AU53" s="228">
        <v>49</v>
      </c>
      <c r="AV53" s="229">
        <v>0.1384</v>
      </c>
      <c r="AW53" s="228">
        <v>286</v>
      </c>
      <c r="AX53" s="228">
        <v>260</v>
      </c>
      <c r="AY53" s="228">
        <v>26</v>
      </c>
      <c r="AZ53" s="229">
        <v>0.1007</v>
      </c>
      <c r="BA53" s="228">
        <v>110</v>
      </c>
      <c r="BB53" s="228">
        <v>91</v>
      </c>
      <c r="BC53" s="228">
        <v>19</v>
      </c>
      <c r="BD53" s="229">
        <v>0.2079</v>
      </c>
      <c r="BE53" s="228">
        <v>0</v>
      </c>
      <c r="BF53" s="228">
        <v>0</v>
      </c>
      <c r="BG53" s="228">
        <v>0</v>
      </c>
      <c r="BH53" s="229">
        <v>0</v>
      </c>
      <c r="BI53" s="230">
        <v>1338</v>
      </c>
      <c r="BJ53" s="228">
        <v>772</v>
      </c>
      <c r="BK53" s="228">
        <v>567</v>
      </c>
      <c r="BL53" s="229">
        <v>0.73460000000000003</v>
      </c>
      <c r="BM53" s="228">
        <v>705</v>
      </c>
      <c r="BN53" s="228">
        <v>491</v>
      </c>
      <c r="BO53" s="228">
        <v>214</v>
      </c>
      <c r="BP53" s="229">
        <v>0.43640000000000001</v>
      </c>
      <c r="BQ53" s="230">
        <v>2447</v>
      </c>
      <c r="BR53" s="230">
        <v>1617</v>
      </c>
      <c r="BS53" s="228">
        <v>830</v>
      </c>
      <c r="BT53" s="229">
        <v>0.51349999999999996</v>
      </c>
      <c r="BU53" s="230">
        <v>5213011</v>
      </c>
      <c r="BV53" s="230">
        <v>4496234</v>
      </c>
      <c r="BW53" s="230">
        <v>716777</v>
      </c>
      <c r="BX53" s="229">
        <v>0.15939999999999999</v>
      </c>
      <c r="BY53" s="230">
        <v>3395</v>
      </c>
      <c r="BZ53" s="230">
        <v>3535</v>
      </c>
      <c r="CA53" s="228">
        <v>-140</v>
      </c>
      <c r="CB53" s="229">
        <v>-3.95E-2</v>
      </c>
      <c r="CC53" s="230">
        <v>1804</v>
      </c>
      <c r="CD53" s="230">
        <v>1940</v>
      </c>
      <c r="CE53" s="228">
        <v>-135</v>
      </c>
      <c r="CF53" s="229">
        <v>-6.9800000000000001E-2</v>
      </c>
      <c r="CG53" s="230">
        <v>1564</v>
      </c>
      <c r="CH53" s="230">
        <v>1567</v>
      </c>
      <c r="CI53" s="228">
        <v>-3</v>
      </c>
      <c r="CJ53" s="229">
        <v>-2E-3</v>
      </c>
      <c r="CK53" s="228">
        <v>0</v>
      </c>
      <c r="CL53" s="228">
        <v>0</v>
      </c>
      <c r="CM53" s="228">
        <v>0</v>
      </c>
      <c r="CN53" s="229">
        <v>0</v>
      </c>
      <c r="CO53" s="230">
        <v>1510</v>
      </c>
      <c r="CP53" s="230">
        <v>1589</v>
      </c>
      <c r="CQ53" s="228">
        <v>-79</v>
      </c>
      <c r="CR53" s="229">
        <v>-4.9700000000000001E-2</v>
      </c>
      <c r="CS53" s="230">
        <v>1135</v>
      </c>
      <c r="CT53" s="230">
        <v>1136</v>
      </c>
      <c r="CU53" s="228">
        <v>-1</v>
      </c>
      <c r="CV53" s="229">
        <v>-6.9999999999999999E-4</v>
      </c>
      <c r="CW53" s="230">
        <v>6040</v>
      </c>
      <c r="CX53" s="230">
        <v>6260</v>
      </c>
      <c r="CY53" s="228">
        <v>-220</v>
      </c>
      <c r="CZ53" s="229">
        <v>-3.5099999999999999E-2</v>
      </c>
      <c r="DA53" s="228">
        <v>18.920000000000002</v>
      </c>
      <c r="DB53" s="228">
        <v>20.29</v>
      </c>
      <c r="DC53" s="228">
        <v>-1.37</v>
      </c>
      <c r="DD53" s="228">
        <v>-1.37</v>
      </c>
      <c r="DE53" s="228">
        <v>31.95</v>
      </c>
      <c r="DF53" s="228">
        <v>32.020000000000003</v>
      </c>
      <c r="DG53" s="228">
        <v>-13.03</v>
      </c>
      <c r="DH53" s="228">
        <v>-7.0000000000000007E-2</v>
      </c>
      <c r="DI53" s="228">
        <v>18.38</v>
      </c>
      <c r="DJ53" s="228">
        <v>19.190000000000001</v>
      </c>
      <c r="DK53" s="228">
        <v>-0.81</v>
      </c>
      <c r="DL53" s="228">
        <v>-0.81</v>
      </c>
      <c r="DM53" s="228">
        <v>19.93</v>
      </c>
      <c r="DN53" s="228">
        <v>22.04</v>
      </c>
      <c r="DO53" s="228">
        <v>-2.11</v>
      </c>
      <c r="DP53" s="228">
        <v>-2.11</v>
      </c>
      <c r="DQ53" s="228">
        <v>0.75</v>
      </c>
      <c r="DR53" s="228">
        <v>0.72</v>
      </c>
      <c r="DS53" s="228">
        <v>0.03</v>
      </c>
      <c r="DT53" s="229">
        <v>4.1700000000000001E-2</v>
      </c>
      <c r="DU53" s="228">
        <v>400</v>
      </c>
      <c r="DV53" s="228">
        <v>400</v>
      </c>
      <c r="DW53" s="228">
        <v>0.53</v>
      </c>
      <c r="DX53" s="228">
        <v>0.64</v>
      </c>
      <c r="DY53" s="228">
        <v>-0.11</v>
      </c>
      <c r="DZ53" s="229">
        <v>-0.1719</v>
      </c>
      <c r="EA53" s="229">
        <v>0.46060000000000001</v>
      </c>
      <c r="EB53" s="230">
        <v>40167900</v>
      </c>
      <c r="EC53" s="229">
        <v>-1.38E-2</v>
      </c>
      <c r="ED53" s="229">
        <v>0.46060000000000001</v>
      </c>
      <c r="EE53" s="228">
        <v>-5.62</v>
      </c>
      <c r="EF53" s="229">
        <v>-1.44E-2</v>
      </c>
      <c r="EG53" s="230">
        <v>3341828</v>
      </c>
      <c r="EH53" s="230">
        <v>2706339</v>
      </c>
      <c r="EI53" s="229">
        <v>0.23480000000000001</v>
      </c>
      <c r="EJ53" s="229">
        <v>0.6411</v>
      </c>
      <c r="EK53" s="231">
        <v>1371.62</v>
      </c>
      <c r="EL53" s="228">
        <v>713.51</v>
      </c>
      <c r="EM53" s="228">
        <v>400.7</v>
      </c>
      <c r="EN53" s="228">
        <v>0</v>
      </c>
      <c r="EO53" s="231">
        <v>2485.8200000000002</v>
      </c>
      <c r="EP53" s="231">
        <v>1657.4</v>
      </c>
      <c r="EQ53" s="228">
        <v>828.42</v>
      </c>
      <c r="ER53" s="229">
        <v>0.49980000000000002</v>
      </c>
      <c r="ES53" s="231">
        <v>1565.35</v>
      </c>
      <c r="ET53" s="231">
        <v>1131.26</v>
      </c>
      <c r="EU53" s="231">
        <v>3373.14</v>
      </c>
      <c r="EV53" s="231">
        <v>454398477</v>
      </c>
      <c r="EW53" s="231">
        <v>6069.75</v>
      </c>
      <c r="EX53" s="231">
        <v>6265.14</v>
      </c>
      <c r="EY53" s="228">
        <v>-195.39</v>
      </c>
      <c r="EZ53" s="229">
        <v>-3.1199999999999999E-2</v>
      </c>
      <c r="FA53" s="229">
        <v>0.34079999999999999</v>
      </c>
      <c r="FB53" s="227" t="s">
        <v>556</v>
      </c>
      <c r="FC53">
        <f t="shared" si="0"/>
        <v>1591</v>
      </c>
    </row>
    <row r="54" spans="1:159" ht="17.25" thickBot="1" x14ac:dyDescent="0.3">
      <c r="A54" s="226">
        <v>45860</v>
      </c>
      <c r="B54" s="227" t="s">
        <v>221</v>
      </c>
      <c r="C54" s="227" t="s">
        <v>470</v>
      </c>
      <c r="D54" s="228">
        <v>375</v>
      </c>
      <c r="E54" s="228">
        <v>9</v>
      </c>
      <c r="F54" s="231">
        <v>1859</v>
      </c>
      <c r="G54" s="231">
        <v>1877.5</v>
      </c>
      <c r="H54" s="228">
        <v>-18.5</v>
      </c>
      <c r="I54" s="229">
        <v>-9.9000000000000008E-3</v>
      </c>
      <c r="J54" s="231">
        <v>1858.4</v>
      </c>
      <c r="K54" s="231">
        <v>1874.3</v>
      </c>
      <c r="L54" s="228">
        <v>-15.9</v>
      </c>
      <c r="M54" s="229">
        <v>-8.5000000000000006E-3</v>
      </c>
      <c r="N54" s="231">
        <v>1859</v>
      </c>
      <c r="O54" s="231">
        <v>1877.5</v>
      </c>
      <c r="P54" s="228">
        <v>-18.5</v>
      </c>
      <c r="Q54" s="229">
        <v>-9.9000000000000008E-3</v>
      </c>
      <c r="R54" s="231">
        <v>1866.6</v>
      </c>
      <c r="S54" s="231">
        <v>1881.2</v>
      </c>
      <c r="T54" s="228">
        <v>-14.6</v>
      </c>
      <c r="U54" s="229">
        <v>-7.7999999999999996E-3</v>
      </c>
      <c r="V54" s="228">
        <v>0</v>
      </c>
      <c r="W54" s="228">
        <v>0</v>
      </c>
      <c r="X54" s="228">
        <v>0</v>
      </c>
      <c r="Y54" s="229">
        <v>0</v>
      </c>
      <c r="Z54" s="228">
        <v>0.6</v>
      </c>
      <c r="AA54" s="228">
        <v>3.2</v>
      </c>
      <c r="AB54" s="228">
        <v>-2.6</v>
      </c>
      <c r="AC54" s="229">
        <v>2.9999999999999997E-4</v>
      </c>
      <c r="AD54" s="228">
        <v>0.6</v>
      </c>
      <c r="AE54" s="228">
        <v>3.2</v>
      </c>
      <c r="AF54" s="228">
        <v>-2.6</v>
      </c>
      <c r="AG54" s="229">
        <v>2.9999999999999997E-4</v>
      </c>
      <c r="AH54" s="228">
        <v>8.1999999999999993</v>
      </c>
      <c r="AI54" s="228">
        <v>6.9</v>
      </c>
      <c r="AJ54" s="228">
        <v>1.3</v>
      </c>
      <c r="AK54" s="229">
        <v>4.4000000000000003E-3</v>
      </c>
      <c r="AL54" s="228">
        <v>0</v>
      </c>
      <c r="AM54" s="228">
        <v>0</v>
      </c>
      <c r="AN54" s="228">
        <v>0</v>
      </c>
      <c r="AO54" s="229">
        <v>0</v>
      </c>
      <c r="AP54" s="231">
        <v>1861.3</v>
      </c>
      <c r="AQ54" s="231">
        <v>1869.22</v>
      </c>
      <c r="AR54" s="228">
        <v>0</v>
      </c>
      <c r="AS54" s="228">
        <v>422</v>
      </c>
      <c r="AT54" s="228">
        <v>320</v>
      </c>
      <c r="AU54" s="228">
        <v>102</v>
      </c>
      <c r="AV54" s="229">
        <v>0.31830000000000003</v>
      </c>
      <c r="AW54" s="228">
        <v>354</v>
      </c>
      <c r="AX54" s="228">
        <v>278</v>
      </c>
      <c r="AY54" s="228">
        <v>76</v>
      </c>
      <c r="AZ54" s="229">
        <v>0.27479999999999999</v>
      </c>
      <c r="BA54" s="228">
        <v>65</v>
      </c>
      <c r="BB54" s="228">
        <v>41</v>
      </c>
      <c r="BC54" s="228">
        <v>24</v>
      </c>
      <c r="BD54" s="229">
        <v>0.59040000000000004</v>
      </c>
      <c r="BE54" s="228">
        <v>0</v>
      </c>
      <c r="BF54" s="228">
        <v>0</v>
      </c>
      <c r="BG54" s="228">
        <v>0</v>
      </c>
      <c r="BH54" s="229">
        <v>0</v>
      </c>
      <c r="BI54" s="228">
        <v>806</v>
      </c>
      <c r="BJ54" s="228">
        <v>630</v>
      </c>
      <c r="BK54" s="228">
        <v>176</v>
      </c>
      <c r="BL54" s="229">
        <v>0.27860000000000001</v>
      </c>
      <c r="BM54" s="228">
        <v>290</v>
      </c>
      <c r="BN54" s="228">
        <v>236</v>
      </c>
      <c r="BO54" s="228">
        <v>54</v>
      </c>
      <c r="BP54" s="229">
        <v>0.22789999999999999</v>
      </c>
      <c r="BQ54" s="230">
        <v>1518</v>
      </c>
      <c r="BR54" s="230">
        <v>1186</v>
      </c>
      <c r="BS54" s="228">
        <v>331</v>
      </c>
      <c r="BT54" s="229">
        <v>0.2792</v>
      </c>
      <c r="BU54" s="230">
        <v>1030405</v>
      </c>
      <c r="BV54" s="230">
        <v>786813</v>
      </c>
      <c r="BW54" s="230">
        <v>243592</v>
      </c>
      <c r="BX54" s="229">
        <v>0.30959999999999999</v>
      </c>
      <c r="BY54" s="230">
        <v>2429</v>
      </c>
      <c r="BZ54" s="230">
        <v>2480</v>
      </c>
      <c r="CA54" s="228">
        <v>-51</v>
      </c>
      <c r="CB54" s="229">
        <v>-2.06E-2</v>
      </c>
      <c r="CC54" s="230">
        <v>2325</v>
      </c>
      <c r="CD54" s="230">
        <v>2402</v>
      </c>
      <c r="CE54" s="228">
        <v>-77</v>
      </c>
      <c r="CF54" s="229">
        <v>-3.2000000000000001E-2</v>
      </c>
      <c r="CG54" s="228">
        <v>95</v>
      </c>
      <c r="CH54" s="228">
        <v>70</v>
      </c>
      <c r="CI54" s="228">
        <v>25</v>
      </c>
      <c r="CJ54" s="229">
        <v>0.3579</v>
      </c>
      <c r="CK54" s="228">
        <v>0</v>
      </c>
      <c r="CL54" s="228">
        <v>0</v>
      </c>
      <c r="CM54" s="228">
        <v>0</v>
      </c>
      <c r="CN54" s="229">
        <v>0</v>
      </c>
      <c r="CO54" s="230">
        <v>1130</v>
      </c>
      <c r="CP54" s="230">
        <v>1061</v>
      </c>
      <c r="CQ54" s="228">
        <v>69</v>
      </c>
      <c r="CR54" s="229">
        <v>6.5100000000000005E-2</v>
      </c>
      <c r="CS54" s="228">
        <v>560</v>
      </c>
      <c r="CT54" s="228">
        <v>545</v>
      </c>
      <c r="CU54" s="228">
        <v>15</v>
      </c>
      <c r="CV54" s="229">
        <v>2.8000000000000001E-2</v>
      </c>
      <c r="CW54" s="230">
        <v>4119</v>
      </c>
      <c r="CX54" s="230">
        <v>4086</v>
      </c>
      <c r="CY54" s="228">
        <v>33</v>
      </c>
      <c r="CZ54" s="229">
        <v>8.0999999999999996E-3</v>
      </c>
      <c r="DA54" s="228">
        <v>46.43</v>
      </c>
      <c r="DB54" s="228">
        <v>42.19</v>
      </c>
      <c r="DC54" s="228">
        <v>4.24</v>
      </c>
      <c r="DD54" s="228">
        <v>4.24</v>
      </c>
      <c r="DE54" s="228">
        <v>42.3</v>
      </c>
      <c r="DF54" s="228">
        <v>42.39</v>
      </c>
      <c r="DG54" s="228">
        <v>4.13</v>
      </c>
      <c r="DH54" s="228">
        <v>-0.09</v>
      </c>
      <c r="DI54" s="228">
        <v>46.67</v>
      </c>
      <c r="DJ54" s="228">
        <v>42.16</v>
      </c>
      <c r="DK54" s="228">
        <v>4.51</v>
      </c>
      <c r="DL54" s="228">
        <v>4.51</v>
      </c>
      <c r="DM54" s="228">
        <v>45.76</v>
      </c>
      <c r="DN54" s="228">
        <v>42.3</v>
      </c>
      <c r="DO54" s="228">
        <v>3.46</v>
      </c>
      <c r="DP54" s="228">
        <v>3.46</v>
      </c>
      <c r="DQ54" s="228">
        <v>0.5</v>
      </c>
      <c r="DR54" s="228">
        <v>0.51</v>
      </c>
      <c r="DS54" s="228">
        <v>-0.01</v>
      </c>
      <c r="DT54" s="229">
        <v>-1.9599999999999999E-2</v>
      </c>
      <c r="DU54" s="231">
        <v>1900</v>
      </c>
      <c r="DV54" s="231">
        <v>1800</v>
      </c>
      <c r="DW54" s="228">
        <v>0.36</v>
      </c>
      <c r="DX54" s="228">
        <v>0.38</v>
      </c>
      <c r="DY54" s="228">
        <v>-0.02</v>
      </c>
      <c r="DZ54" s="229">
        <v>-5.2600000000000001E-2</v>
      </c>
      <c r="EA54" s="229">
        <v>3.9100000000000003E-2</v>
      </c>
      <c r="EB54" s="230">
        <v>376125</v>
      </c>
      <c r="EC54" s="229">
        <v>4.1000000000000003E-3</v>
      </c>
      <c r="ED54" s="229">
        <v>3.9100000000000003E-2</v>
      </c>
      <c r="EE54" s="228">
        <v>7.92</v>
      </c>
      <c r="EF54" s="229">
        <v>4.3E-3</v>
      </c>
      <c r="EG54" s="230">
        <v>604940</v>
      </c>
      <c r="EH54" s="230">
        <v>384981</v>
      </c>
      <c r="EI54" s="229">
        <v>0.57140000000000002</v>
      </c>
      <c r="EJ54" s="229">
        <v>0.58709999999999996</v>
      </c>
      <c r="EK54" s="228">
        <v>851.95</v>
      </c>
      <c r="EL54" s="228">
        <v>288.51</v>
      </c>
      <c r="EM54" s="228">
        <v>422.35</v>
      </c>
      <c r="EN54" s="228">
        <v>0</v>
      </c>
      <c r="EO54" s="231">
        <v>1562.81</v>
      </c>
      <c r="EP54" s="231">
        <v>1224.45</v>
      </c>
      <c r="EQ54" s="228">
        <v>338.36</v>
      </c>
      <c r="ER54" s="229">
        <v>0.27629999999999999</v>
      </c>
      <c r="ES54" s="231">
        <v>1189.3900000000001</v>
      </c>
      <c r="ET54" s="228">
        <v>545.83000000000004</v>
      </c>
      <c r="EU54" s="231">
        <v>2429.35</v>
      </c>
      <c r="EV54" s="231">
        <v>66878856</v>
      </c>
      <c r="EW54" s="231">
        <v>4164.57</v>
      </c>
      <c r="EX54" s="231">
        <v>4154.6899999999996</v>
      </c>
      <c r="EY54" s="228">
        <v>9.8800000000000008</v>
      </c>
      <c r="EZ54" s="229">
        <v>2.3999999999999998E-3</v>
      </c>
      <c r="FA54" s="229">
        <v>0.33129999999999998</v>
      </c>
      <c r="FB54" s="227" t="s">
        <v>568</v>
      </c>
      <c r="FC54">
        <f t="shared" si="0"/>
        <v>104</v>
      </c>
    </row>
    <row r="55" spans="1:159" ht="17.25" thickBot="1" x14ac:dyDescent="0.3">
      <c r="A55" s="226">
        <v>45860</v>
      </c>
      <c r="B55" s="227" t="s">
        <v>168</v>
      </c>
      <c r="C55" s="227" t="s">
        <v>201</v>
      </c>
      <c r="D55" s="228">
        <v>225</v>
      </c>
      <c r="E55" s="228">
        <v>9</v>
      </c>
      <c r="F55" s="231">
        <v>2375.6</v>
      </c>
      <c r="G55" s="231">
        <v>2390.9</v>
      </c>
      <c r="H55" s="228">
        <v>-15.3</v>
      </c>
      <c r="I55" s="229">
        <v>-6.4000000000000003E-3</v>
      </c>
      <c r="J55" s="231">
        <v>2379.5</v>
      </c>
      <c r="K55" s="231">
        <v>2392</v>
      </c>
      <c r="L55" s="228">
        <v>-12.5</v>
      </c>
      <c r="M55" s="229">
        <v>-5.1999999999999998E-3</v>
      </c>
      <c r="N55" s="231">
        <v>2375.6</v>
      </c>
      <c r="O55" s="231">
        <v>2390.9</v>
      </c>
      <c r="P55" s="228">
        <v>-15.3</v>
      </c>
      <c r="Q55" s="229">
        <v>-6.4000000000000003E-3</v>
      </c>
      <c r="R55" s="231">
        <v>2381.6999999999998</v>
      </c>
      <c r="S55" s="231">
        <v>2398.9</v>
      </c>
      <c r="T55" s="228">
        <v>-17.2</v>
      </c>
      <c r="U55" s="229">
        <v>-7.1999999999999998E-3</v>
      </c>
      <c r="V55" s="228">
        <v>0</v>
      </c>
      <c r="W55" s="228">
        <v>0</v>
      </c>
      <c r="X55" s="228">
        <v>0</v>
      </c>
      <c r="Y55" s="229">
        <v>0</v>
      </c>
      <c r="Z55" s="228">
        <v>-3.9</v>
      </c>
      <c r="AA55" s="228">
        <v>-1.1000000000000001</v>
      </c>
      <c r="AB55" s="228">
        <v>-2.8</v>
      </c>
      <c r="AC55" s="229">
        <v>-1.6000000000000001E-3</v>
      </c>
      <c r="AD55" s="228">
        <v>-3.9</v>
      </c>
      <c r="AE55" s="228">
        <v>-1.1000000000000001</v>
      </c>
      <c r="AF55" s="228">
        <v>-2.8</v>
      </c>
      <c r="AG55" s="229">
        <v>-1.6000000000000001E-3</v>
      </c>
      <c r="AH55" s="228">
        <v>2.2000000000000002</v>
      </c>
      <c r="AI55" s="228">
        <v>6.9</v>
      </c>
      <c r="AJ55" s="228">
        <v>-4.7</v>
      </c>
      <c r="AK55" s="229">
        <v>8.9999999999999998E-4</v>
      </c>
      <c r="AL55" s="228">
        <v>0</v>
      </c>
      <c r="AM55" s="228">
        <v>0</v>
      </c>
      <c r="AN55" s="228">
        <v>0</v>
      </c>
      <c r="AO55" s="229">
        <v>0</v>
      </c>
      <c r="AP55" s="231">
        <v>2377.08</v>
      </c>
      <c r="AQ55" s="231">
        <v>2382.23</v>
      </c>
      <c r="AR55" s="228">
        <v>0</v>
      </c>
      <c r="AS55" s="228">
        <v>937</v>
      </c>
      <c r="AT55" s="228">
        <v>241</v>
      </c>
      <c r="AU55" s="228">
        <v>696</v>
      </c>
      <c r="AV55" s="229">
        <v>2.8906000000000001</v>
      </c>
      <c r="AW55" s="228">
        <v>834</v>
      </c>
      <c r="AX55" s="228">
        <v>213</v>
      </c>
      <c r="AY55" s="228">
        <v>621</v>
      </c>
      <c r="AZ55" s="229">
        <v>2.9154</v>
      </c>
      <c r="BA55" s="228">
        <v>98</v>
      </c>
      <c r="BB55" s="228">
        <v>27</v>
      </c>
      <c r="BC55" s="228">
        <v>71</v>
      </c>
      <c r="BD55" s="229">
        <v>2.6324000000000001</v>
      </c>
      <c r="BE55" s="228">
        <v>0</v>
      </c>
      <c r="BF55" s="228">
        <v>0</v>
      </c>
      <c r="BG55" s="228">
        <v>0</v>
      </c>
      <c r="BH55" s="229">
        <v>0</v>
      </c>
      <c r="BI55" s="230">
        <v>1929</v>
      </c>
      <c r="BJ55" s="228">
        <v>297</v>
      </c>
      <c r="BK55" s="230">
        <v>1633</v>
      </c>
      <c r="BL55" s="229">
        <v>5.5023</v>
      </c>
      <c r="BM55" s="230">
        <v>1232</v>
      </c>
      <c r="BN55" s="228">
        <v>156</v>
      </c>
      <c r="BO55" s="230">
        <v>1076</v>
      </c>
      <c r="BP55" s="229">
        <v>6.8867000000000003</v>
      </c>
      <c r="BQ55" s="230">
        <v>4098</v>
      </c>
      <c r="BR55" s="228">
        <v>694</v>
      </c>
      <c r="BS55" s="230">
        <v>3404</v>
      </c>
      <c r="BT55" s="229">
        <v>4.9074</v>
      </c>
      <c r="BU55" s="230">
        <v>1172875</v>
      </c>
      <c r="BV55" s="230">
        <v>344357</v>
      </c>
      <c r="BW55" s="230">
        <v>828518</v>
      </c>
      <c r="BX55" s="229">
        <v>2.4060000000000001</v>
      </c>
      <c r="BY55" s="230">
        <v>1347</v>
      </c>
      <c r="BZ55" s="230">
        <v>1250</v>
      </c>
      <c r="CA55" s="228">
        <v>97</v>
      </c>
      <c r="CB55" s="229">
        <v>7.7799999999999994E-2</v>
      </c>
      <c r="CC55" s="230">
        <v>1186</v>
      </c>
      <c r="CD55" s="230">
        <v>1121</v>
      </c>
      <c r="CE55" s="228">
        <v>65</v>
      </c>
      <c r="CF55" s="229">
        <v>5.7700000000000001E-2</v>
      </c>
      <c r="CG55" s="228">
        <v>145</v>
      </c>
      <c r="CH55" s="228">
        <v>114</v>
      </c>
      <c r="CI55" s="228">
        <v>31</v>
      </c>
      <c r="CJ55" s="229">
        <v>0.27110000000000001</v>
      </c>
      <c r="CK55" s="228">
        <v>0</v>
      </c>
      <c r="CL55" s="228">
        <v>0</v>
      </c>
      <c r="CM55" s="228">
        <v>0</v>
      </c>
      <c r="CN55" s="229">
        <v>0</v>
      </c>
      <c r="CO55" s="228">
        <v>455</v>
      </c>
      <c r="CP55" s="228">
        <v>361</v>
      </c>
      <c r="CQ55" s="228">
        <v>94</v>
      </c>
      <c r="CR55" s="229">
        <v>0.25950000000000001</v>
      </c>
      <c r="CS55" s="228">
        <v>381</v>
      </c>
      <c r="CT55" s="228">
        <v>375</v>
      </c>
      <c r="CU55" s="228">
        <v>6</v>
      </c>
      <c r="CV55" s="229">
        <v>1.55E-2</v>
      </c>
      <c r="CW55" s="230">
        <v>2183</v>
      </c>
      <c r="CX55" s="230">
        <v>1986</v>
      </c>
      <c r="CY55" s="228">
        <v>197</v>
      </c>
      <c r="CZ55" s="229">
        <v>9.9099999999999994E-2</v>
      </c>
      <c r="DA55" s="228">
        <v>24.48</v>
      </c>
      <c r="DB55" s="228">
        <v>31.11</v>
      </c>
      <c r="DC55" s="228">
        <v>-6.63</v>
      </c>
      <c r="DD55" s="228">
        <v>-6.63</v>
      </c>
      <c r="DE55" s="228">
        <v>28.73</v>
      </c>
      <c r="DF55" s="228">
        <v>28.79</v>
      </c>
      <c r="DG55" s="228">
        <v>-4.25</v>
      </c>
      <c r="DH55" s="228">
        <v>-0.06</v>
      </c>
      <c r="DI55" s="228">
        <v>24.81</v>
      </c>
      <c r="DJ55" s="228">
        <v>31</v>
      </c>
      <c r="DK55" s="228">
        <v>-6.19</v>
      </c>
      <c r="DL55" s="228">
        <v>-6.19</v>
      </c>
      <c r="DM55" s="228">
        <v>23.96</v>
      </c>
      <c r="DN55" s="228">
        <v>31.31</v>
      </c>
      <c r="DO55" s="228">
        <v>-7.35</v>
      </c>
      <c r="DP55" s="228">
        <v>-7.35</v>
      </c>
      <c r="DQ55" s="228">
        <v>0.84</v>
      </c>
      <c r="DR55" s="228">
        <v>1.04</v>
      </c>
      <c r="DS55" s="228">
        <v>-0.2</v>
      </c>
      <c r="DT55" s="229">
        <v>-0.1923</v>
      </c>
      <c r="DU55" s="231">
        <v>2500</v>
      </c>
      <c r="DV55" s="231">
        <v>2400</v>
      </c>
      <c r="DW55" s="228">
        <v>0.64</v>
      </c>
      <c r="DX55" s="228">
        <v>0.53</v>
      </c>
      <c r="DY55" s="228">
        <v>0.11</v>
      </c>
      <c r="DZ55" s="229">
        <v>0.20749999999999999</v>
      </c>
      <c r="EA55" s="229">
        <v>0.1075</v>
      </c>
      <c r="EB55" s="230">
        <v>479700</v>
      </c>
      <c r="EC55" s="229">
        <v>2.5999999999999999E-3</v>
      </c>
      <c r="ED55" s="229">
        <v>0.1075</v>
      </c>
      <c r="EE55" s="228">
        <v>5.15</v>
      </c>
      <c r="EF55" s="229">
        <v>2.2000000000000001E-3</v>
      </c>
      <c r="EG55" s="230">
        <v>519219</v>
      </c>
      <c r="EH55" s="230">
        <v>214128</v>
      </c>
      <c r="EI55" s="229">
        <v>1.4248000000000001</v>
      </c>
      <c r="EJ55" s="229">
        <v>0.44269999999999998</v>
      </c>
      <c r="EK55" s="231">
        <v>1998.46</v>
      </c>
      <c r="EL55" s="231">
        <v>1236.8599999999999</v>
      </c>
      <c r="EM55" s="228">
        <v>937.67</v>
      </c>
      <c r="EN55" s="228">
        <v>0</v>
      </c>
      <c r="EO55" s="231">
        <v>4172.99</v>
      </c>
      <c r="EP55" s="228">
        <v>710.88</v>
      </c>
      <c r="EQ55" s="231">
        <v>3462.1</v>
      </c>
      <c r="ER55" s="229">
        <v>4.8700999999999999</v>
      </c>
      <c r="ES55" s="228">
        <v>474.05</v>
      </c>
      <c r="ET55" s="228">
        <v>376.21</v>
      </c>
      <c r="EU55" s="231">
        <v>1347.41</v>
      </c>
      <c r="EV55" s="231">
        <v>26654592</v>
      </c>
      <c r="EW55" s="231">
        <v>2197.67</v>
      </c>
      <c r="EX55" s="231">
        <v>2010.86</v>
      </c>
      <c r="EY55" s="228">
        <v>186.81</v>
      </c>
      <c r="EZ55" s="229">
        <v>9.2899999999999996E-2</v>
      </c>
      <c r="FA55" s="229">
        <v>0.34470000000000001</v>
      </c>
      <c r="FB55" s="227" t="s">
        <v>567</v>
      </c>
      <c r="FC55">
        <f t="shared" si="0"/>
        <v>161</v>
      </c>
    </row>
    <row r="56" spans="1:159" ht="17.25" thickBot="1" x14ac:dyDescent="0.3">
      <c r="A56" s="226">
        <v>45860</v>
      </c>
      <c r="B56" s="227" t="s">
        <v>215</v>
      </c>
      <c r="C56" s="227" t="s">
        <v>202</v>
      </c>
      <c r="D56" s="228">
        <v>1250</v>
      </c>
      <c r="E56" s="228">
        <v>9</v>
      </c>
      <c r="F56" s="228">
        <v>607.9</v>
      </c>
      <c r="G56" s="228">
        <v>615.15</v>
      </c>
      <c r="H56" s="228">
        <v>-7.25</v>
      </c>
      <c r="I56" s="229">
        <v>-1.18E-2</v>
      </c>
      <c r="J56" s="228">
        <v>607.5</v>
      </c>
      <c r="K56" s="228">
        <v>613.45000000000005</v>
      </c>
      <c r="L56" s="228">
        <v>-5.95</v>
      </c>
      <c r="M56" s="229">
        <v>-9.7000000000000003E-3</v>
      </c>
      <c r="N56" s="228">
        <v>607.9</v>
      </c>
      <c r="O56" s="228">
        <v>615.15</v>
      </c>
      <c r="P56" s="228">
        <v>-7.25</v>
      </c>
      <c r="Q56" s="229">
        <v>-1.18E-2</v>
      </c>
      <c r="R56" s="228">
        <v>609.6</v>
      </c>
      <c r="S56" s="228">
        <v>617.95000000000005</v>
      </c>
      <c r="T56" s="228">
        <v>-8.35</v>
      </c>
      <c r="U56" s="229">
        <v>-1.35E-2</v>
      </c>
      <c r="V56" s="228">
        <v>0</v>
      </c>
      <c r="W56" s="228">
        <v>0</v>
      </c>
      <c r="X56" s="228">
        <v>0</v>
      </c>
      <c r="Y56" s="229">
        <v>0</v>
      </c>
      <c r="Z56" s="228">
        <v>0.4</v>
      </c>
      <c r="AA56" s="228">
        <v>1.7</v>
      </c>
      <c r="AB56" s="228">
        <v>-1.3</v>
      </c>
      <c r="AC56" s="229">
        <v>6.9999999999999999E-4</v>
      </c>
      <c r="AD56" s="228">
        <v>0.4</v>
      </c>
      <c r="AE56" s="228">
        <v>1.7</v>
      </c>
      <c r="AF56" s="228">
        <v>-1.3</v>
      </c>
      <c r="AG56" s="229">
        <v>6.9999999999999999E-4</v>
      </c>
      <c r="AH56" s="228">
        <v>2.1</v>
      </c>
      <c r="AI56" s="228">
        <v>4.5</v>
      </c>
      <c r="AJ56" s="228">
        <v>-2.4</v>
      </c>
      <c r="AK56" s="229">
        <v>3.5000000000000001E-3</v>
      </c>
      <c r="AL56" s="228">
        <v>0</v>
      </c>
      <c r="AM56" s="228">
        <v>0</v>
      </c>
      <c r="AN56" s="228">
        <v>0</v>
      </c>
      <c r="AO56" s="229">
        <v>0</v>
      </c>
      <c r="AP56" s="228">
        <v>610.95000000000005</v>
      </c>
      <c r="AQ56" s="228">
        <v>613.79</v>
      </c>
      <c r="AR56" s="228">
        <v>0</v>
      </c>
      <c r="AS56" s="228">
        <v>231</v>
      </c>
      <c r="AT56" s="228">
        <v>115</v>
      </c>
      <c r="AU56" s="228">
        <v>116</v>
      </c>
      <c r="AV56" s="229">
        <v>1.0093000000000001</v>
      </c>
      <c r="AW56" s="228">
        <v>143</v>
      </c>
      <c r="AX56" s="228">
        <v>86</v>
      </c>
      <c r="AY56" s="228">
        <v>57</v>
      </c>
      <c r="AZ56" s="229">
        <v>0.66049999999999998</v>
      </c>
      <c r="BA56" s="228">
        <v>80</v>
      </c>
      <c r="BB56" s="228">
        <v>22</v>
      </c>
      <c r="BC56" s="228">
        <v>58</v>
      </c>
      <c r="BD56" s="229">
        <v>2.5777000000000001</v>
      </c>
      <c r="BE56" s="228">
        <v>0</v>
      </c>
      <c r="BF56" s="228">
        <v>0</v>
      </c>
      <c r="BG56" s="228">
        <v>0</v>
      </c>
      <c r="BH56" s="229">
        <v>0</v>
      </c>
      <c r="BI56" s="228">
        <v>259</v>
      </c>
      <c r="BJ56" s="228">
        <v>221</v>
      </c>
      <c r="BK56" s="228">
        <v>37</v>
      </c>
      <c r="BL56" s="229">
        <v>0.16830000000000001</v>
      </c>
      <c r="BM56" s="228">
        <v>97</v>
      </c>
      <c r="BN56" s="228">
        <v>88</v>
      </c>
      <c r="BO56" s="228">
        <v>9</v>
      </c>
      <c r="BP56" s="229">
        <v>9.6199999999999994E-2</v>
      </c>
      <c r="BQ56" s="228">
        <v>586</v>
      </c>
      <c r="BR56" s="228">
        <v>425</v>
      </c>
      <c r="BS56" s="228">
        <v>162</v>
      </c>
      <c r="BT56" s="229">
        <v>0.38080000000000003</v>
      </c>
      <c r="BU56" s="230">
        <v>651194</v>
      </c>
      <c r="BV56" s="230">
        <v>543391</v>
      </c>
      <c r="BW56" s="230">
        <v>107803</v>
      </c>
      <c r="BX56" s="229">
        <v>0.19839999999999999</v>
      </c>
      <c r="BY56" s="230">
        <v>1160</v>
      </c>
      <c r="BZ56" s="230">
        <v>1127</v>
      </c>
      <c r="CA56" s="228">
        <v>33</v>
      </c>
      <c r="CB56" s="229">
        <v>2.9399999999999999E-2</v>
      </c>
      <c r="CC56" s="228">
        <v>963</v>
      </c>
      <c r="CD56" s="228">
        <v>990</v>
      </c>
      <c r="CE56" s="228">
        <v>-27</v>
      </c>
      <c r="CF56" s="229">
        <v>-2.76E-2</v>
      </c>
      <c r="CG56" s="228">
        <v>177</v>
      </c>
      <c r="CH56" s="228">
        <v>120</v>
      </c>
      <c r="CI56" s="228">
        <v>58</v>
      </c>
      <c r="CJ56" s="229">
        <v>0.48089999999999999</v>
      </c>
      <c r="CK56" s="228">
        <v>0</v>
      </c>
      <c r="CL56" s="228">
        <v>0</v>
      </c>
      <c r="CM56" s="228">
        <v>0</v>
      </c>
      <c r="CN56" s="229">
        <v>0</v>
      </c>
      <c r="CO56" s="228">
        <v>501</v>
      </c>
      <c r="CP56" s="228">
        <v>501</v>
      </c>
      <c r="CQ56" s="228">
        <v>0</v>
      </c>
      <c r="CR56" s="229">
        <v>-8.0000000000000004E-4</v>
      </c>
      <c r="CS56" s="228">
        <v>294</v>
      </c>
      <c r="CT56" s="228">
        <v>295</v>
      </c>
      <c r="CU56" s="228">
        <v>0</v>
      </c>
      <c r="CV56" s="229">
        <v>-8.0000000000000004E-4</v>
      </c>
      <c r="CW56" s="230">
        <v>1956</v>
      </c>
      <c r="CX56" s="230">
        <v>1923</v>
      </c>
      <c r="CY56" s="228">
        <v>33</v>
      </c>
      <c r="CZ56" s="229">
        <v>1.6899999999999998E-2</v>
      </c>
      <c r="DA56" s="228">
        <v>25.25</v>
      </c>
      <c r="DB56" s="228">
        <v>24.6</v>
      </c>
      <c r="DC56" s="228">
        <v>0.65</v>
      </c>
      <c r="DD56" s="228">
        <v>0.65</v>
      </c>
      <c r="DE56" s="228">
        <v>39.56</v>
      </c>
      <c r="DF56" s="228">
        <v>39.630000000000003</v>
      </c>
      <c r="DG56" s="228">
        <v>-14.31</v>
      </c>
      <c r="DH56" s="228">
        <v>-7.0000000000000007E-2</v>
      </c>
      <c r="DI56" s="228">
        <v>25.18</v>
      </c>
      <c r="DJ56" s="228">
        <v>24.38</v>
      </c>
      <c r="DK56" s="228">
        <v>0.8</v>
      </c>
      <c r="DL56" s="228">
        <v>0.8</v>
      </c>
      <c r="DM56" s="228">
        <v>25.42</v>
      </c>
      <c r="DN56" s="228">
        <v>25.15</v>
      </c>
      <c r="DO56" s="228">
        <v>0.27</v>
      </c>
      <c r="DP56" s="228">
        <v>0.27</v>
      </c>
      <c r="DQ56" s="228">
        <v>0.59</v>
      </c>
      <c r="DR56" s="228">
        <v>0.59</v>
      </c>
      <c r="DS56" s="228">
        <v>0</v>
      </c>
      <c r="DT56" s="229">
        <v>0</v>
      </c>
      <c r="DU56" s="228">
        <v>640</v>
      </c>
      <c r="DV56" s="228">
        <v>600</v>
      </c>
      <c r="DW56" s="228">
        <v>0.38</v>
      </c>
      <c r="DX56" s="228">
        <v>0.4</v>
      </c>
      <c r="DY56" s="228">
        <v>-0.02</v>
      </c>
      <c r="DZ56" s="229">
        <v>-0.05</v>
      </c>
      <c r="EA56" s="229">
        <v>0.1527</v>
      </c>
      <c r="EB56" s="230">
        <v>1967500</v>
      </c>
      <c r="EC56" s="229">
        <v>2.8E-3</v>
      </c>
      <c r="ED56" s="229">
        <v>0.1527</v>
      </c>
      <c r="EE56" s="228">
        <v>2.84</v>
      </c>
      <c r="EF56" s="229">
        <v>4.5999999999999999E-3</v>
      </c>
      <c r="EG56" s="230">
        <v>311872</v>
      </c>
      <c r="EH56" s="230">
        <v>253246</v>
      </c>
      <c r="EI56" s="229">
        <v>0.23150000000000001</v>
      </c>
      <c r="EJ56" s="229">
        <v>0.47889999999999999</v>
      </c>
      <c r="EK56" s="228">
        <v>268.33</v>
      </c>
      <c r="EL56" s="228">
        <v>97.18</v>
      </c>
      <c r="EM56" s="228">
        <v>232.46</v>
      </c>
      <c r="EN56" s="228">
        <v>0</v>
      </c>
      <c r="EO56" s="228">
        <v>597.97</v>
      </c>
      <c r="EP56" s="228">
        <v>434.96</v>
      </c>
      <c r="EQ56" s="228">
        <v>163.01</v>
      </c>
      <c r="ER56" s="229">
        <v>0.37480000000000002</v>
      </c>
      <c r="ES56" s="228">
        <v>524.84</v>
      </c>
      <c r="ET56" s="228">
        <v>289.56</v>
      </c>
      <c r="EU56" s="231">
        <v>1160.94</v>
      </c>
      <c r="EV56" s="231">
        <v>68852343</v>
      </c>
      <c r="EW56" s="231">
        <v>1975.34</v>
      </c>
      <c r="EX56" s="231">
        <v>1956.6</v>
      </c>
      <c r="EY56" s="228">
        <v>18.739999999999998</v>
      </c>
      <c r="EZ56" s="229">
        <v>9.5999999999999992E-3</v>
      </c>
      <c r="FA56" s="229">
        <v>0.4672</v>
      </c>
      <c r="FB56" s="227" t="s">
        <v>567</v>
      </c>
      <c r="FC56">
        <f t="shared" si="0"/>
        <v>197</v>
      </c>
    </row>
    <row r="57" spans="1:159" ht="17.25" thickBot="1" x14ac:dyDescent="0.3">
      <c r="A57" s="226">
        <v>45860</v>
      </c>
      <c r="B57" s="227" t="s">
        <v>184</v>
      </c>
      <c r="C57" s="227" t="s">
        <v>523</v>
      </c>
      <c r="D57" s="228">
        <v>1800</v>
      </c>
      <c r="E57" s="228">
        <v>9</v>
      </c>
      <c r="F57" s="228">
        <v>334.05</v>
      </c>
      <c r="G57" s="228">
        <v>338.9</v>
      </c>
      <c r="H57" s="228">
        <v>-4.8499999999999996</v>
      </c>
      <c r="I57" s="229">
        <v>-1.43E-2</v>
      </c>
      <c r="J57" s="228">
        <v>335.95</v>
      </c>
      <c r="K57" s="228">
        <v>341.15</v>
      </c>
      <c r="L57" s="228">
        <v>-5.2</v>
      </c>
      <c r="M57" s="229">
        <v>-1.52E-2</v>
      </c>
      <c r="N57" s="228">
        <v>334.05</v>
      </c>
      <c r="O57" s="228">
        <v>338.9</v>
      </c>
      <c r="P57" s="228">
        <v>-4.8499999999999996</v>
      </c>
      <c r="Q57" s="229">
        <v>-1.43E-2</v>
      </c>
      <c r="R57" s="228">
        <v>335.65</v>
      </c>
      <c r="S57" s="228">
        <v>340.35</v>
      </c>
      <c r="T57" s="228">
        <v>-4.7</v>
      </c>
      <c r="U57" s="229">
        <v>-1.38E-2</v>
      </c>
      <c r="V57" s="228">
        <v>0</v>
      </c>
      <c r="W57" s="228">
        <v>0</v>
      </c>
      <c r="X57" s="228">
        <v>0</v>
      </c>
      <c r="Y57" s="229">
        <v>0</v>
      </c>
      <c r="Z57" s="228">
        <v>-1.9</v>
      </c>
      <c r="AA57" s="228">
        <v>-2.25</v>
      </c>
      <c r="AB57" s="228">
        <v>0.35</v>
      </c>
      <c r="AC57" s="229">
        <v>-5.7000000000000002E-3</v>
      </c>
      <c r="AD57" s="228">
        <v>-1.9</v>
      </c>
      <c r="AE57" s="228">
        <v>-2.25</v>
      </c>
      <c r="AF57" s="228">
        <v>0.35</v>
      </c>
      <c r="AG57" s="229">
        <v>-5.7000000000000002E-3</v>
      </c>
      <c r="AH57" s="228">
        <v>-0.3</v>
      </c>
      <c r="AI57" s="228">
        <v>-0.8</v>
      </c>
      <c r="AJ57" s="228">
        <v>0.5</v>
      </c>
      <c r="AK57" s="229">
        <v>-8.9999999999999998E-4</v>
      </c>
      <c r="AL57" s="228">
        <v>0</v>
      </c>
      <c r="AM57" s="228">
        <v>0</v>
      </c>
      <c r="AN57" s="228">
        <v>0</v>
      </c>
      <c r="AO57" s="229">
        <v>0</v>
      </c>
      <c r="AP57" s="228">
        <v>332.78</v>
      </c>
      <c r="AQ57" s="228">
        <v>334.55</v>
      </c>
      <c r="AR57" s="228">
        <v>0</v>
      </c>
      <c r="AS57" s="228">
        <v>251</v>
      </c>
      <c r="AT57" s="228">
        <v>104</v>
      </c>
      <c r="AU57" s="228">
        <v>147</v>
      </c>
      <c r="AV57" s="229">
        <v>1.4175</v>
      </c>
      <c r="AW57" s="228">
        <v>200</v>
      </c>
      <c r="AX57" s="228">
        <v>74</v>
      </c>
      <c r="AY57" s="228">
        <v>126</v>
      </c>
      <c r="AZ57" s="229">
        <v>1.7057</v>
      </c>
      <c r="BA57" s="228">
        <v>47</v>
      </c>
      <c r="BB57" s="228">
        <v>29</v>
      </c>
      <c r="BC57" s="228">
        <v>19</v>
      </c>
      <c r="BD57" s="229">
        <v>0.65339999999999998</v>
      </c>
      <c r="BE57" s="228">
        <v>0</v>
      </c>
      <c r="BF57" s="228">
        <v>0</v>
      </c>
      <c r="BG57" s="228">
        <v>0</v>
      </c>
      <c r="BH57" s="229">
        <v>0</v>
      </c>
      <c r="BI57" s="228">
        <v>313</v>
      </c>
      <c r="BJ57" s="228">
        <v>128</v>
      </c>
      <c r="BK57" s="228">
        <v>184</v>
      </c>
      <c r="BL57" s="229">
        <v>1.4372</v>
      </c>
      <c r="BM57" s="228">
        <v>147</v>
      </c>
      <c r="BN57" s="228">
        <v>55</v>
      </c>
      <c r="BO57" s="228">
        <v>91</v>
      </c>
      <c r="BP57" s="229">
        <v>1.6517999999999999</v>
      </c>
      <c r="BQ57" s="228">
        <v>710</v>
      </c>
      <c r="BR57" s="228">
        <v>287</v>
      </c>
      <c r="BS57" s="228">
        <v>423</v>
      </c>
      <c r="BT57" s="229">
        <v>1.4713000000000001</v>
      </c>
      <c r="BU57" s="230">
        <v>3720867</v>
      </c>
      <c r="BV57" s="230">
        <v>1324356</v>
      </c>
      <c r="BW57" s="230">
        <v>2396511</v>
      </c>
      <c r="BX57" s="229">
        <v>1.8096000000000001</v>
      </c>
      <c r="BY57" s="230">
        <v>1261</v>
      </c>
      <c r="BZ57" s="230">
        <v>1250</v>
      </c>
      <c r="CA57" s="228">
        <v>11</v>
      </c>
      <c r="CB57" s="229">
        <v>8.8999999999999999E-3</v>
      </c>
      <c r="CC57" s="230">
        <v>1187</v>
      </c>
      <c r="CD57" s="230">
        <v>1196</v>
      </c>
      <c r="CE57" s="228">
        <v>-9</v>
      </c>
      <c r="CF57" s="229">
        <v>-7.7999999999999996E-3</v>
      </c>
      <c r="CG57" s="228">
        <v>67</v>
      </c>
      <c r="CH57" s="228">
        <v>48</v>
      </c>
      <c r="CI57" s="228">
        <v>19</v>
      </c>
      <c r="CJ57" s="229">
        <v>0.40429999999999999</v>
      </c>
      <c r="CK57" s="228">
        <v>0</v>
      </c>
      <c r="CL57" s="228">
        <v>0</v>
      </c>
      <c r="CM57" s="228">
        <v>0</v>
      </c>
      <c r="CN57" s="229">
        <v>0</v>
      </c>
      <c r="CO57" s="228">
        <v>252</v>
      </c>
      <c r="CP57" s="228">
        <v>243</v>
      </c>
      <c r="CQ57" s="228">
        <v>9</v>
      </c>
      <c r="CR57" s="229">
        <v>3.61E-2</v>
      </c>
      <c r="CS57" s="228">
        <v>158</v>
      </c>
      <c r="CT57" s="228">
        <v>148</v>
      </c>
      <c r="CU57" s="228">
        <v>10</v>
      </c>
      <c r="CV57" s="229">
        <v>6.4100000000000004E-2</v>
      </c>
      <c r="CW57" s="230">
        <v>1670</v>
      </c>
      <c r="CX57" s="230">
        <v>1641</v>
      </c>
      <c r="CY57" s="228">
        <v>29</v>
      </c>
      <c r="CZ57" s="229">
        <v>1.7899999999999999E-2</v>
      </c>
      <c r="DA57" s="228">
        <v>30.67</v>
      </c>
      <c r="DB57" s="228">
        <v>30.93</v>
      </c>
      <c r="DC57" s="228">
        <v>-0.26</v>
      </c>
      <c r="DD57" s="228">
        <v>-0.26</v>
      </c>
      <c r="DE57" s="228">
        <v>35.57</v>
      </c>
      <c r="DF57" s="228">
        <v>35.6</v>
      </c>
      <c r="DG57" s="228">
        <v>-4.9000000000000004</v>
      </c>
      <c r="DH57" s="228">
        <v>-0.03</v>
      </c>
      <c r="DI57" s="228">
        <v>31.39</v>
      </c>
      <c r="DJ57" s="228">
        <v>31.71</v>
      </c>
      <c r="DK57" s="228">
        <v>-0.32</v>
      </c>
      <c r="DL57" s="228">
        <v>-0.32</v>
      </c>
      <c r="DM57" s="228">
        <v>29.14</v>
      </c>
      <c r="DN57" s="228">
        <v>29.13</v>
      </c>
      <c r="DO57" s="228">
        <v>0.01</v>
      </c>
      <c r="DP57" s="228">
        <v>0.01</v>
      </c>
      <c r="DQ57" s="228">
        <v>0.63</v>
      </c>
      <c r="DR57" s="228">
        <v>0.61</v>
      </c>
      <c r="DS57" s="228">
        <v>0.02</v>
      </c>
      <c r="DT57" s="229">
        <v>3.2800000000000003E-2</v>
      </c>
      <c r="DU57" s="228">
        <v>360</v>
      </c>
      <c r="DV57" s="228">
        <v>330</v>
      </c>
      <c r="DW57" s="228">
        <v>0.47</v>
      </c>
      <c r="DX57" s="228">
        <v>0.43</v>
      </c>
      <c r="DY57" s="228">
        <v>0.04</v>
      </c>
      <c r="DZ57" s="229">
        <v>9.2999999999999999E-2</v>
      </c>
      <c r="EA57" s="229">
        <v>5.3499999999999999E-2</v>
      </c>
      <c r="EB57" s="230">
        <v>1438200</v>
      </c>
      <c r="EC57" s="229">
        <v>4.7999999999999996E-3</v>
      </c>
      <c r="ED57" s="229">
        <v>5.3499999999999999E-2</v>
      </c>
      <c r="EE57" s="228">
        <v>1.77</v>
      </c>
      <c r="EF57" s="229">
        <v>5.3E-3</v>
      </c>
      <c r="EG57" s="230">
        <v>1748074</v>
      </c>
      <c r="EH57" s="230">
        <v>765443</v>
      </c>
      <c r="EI57" s="229">
        <v>1.2837000000000001</v>
      </c>
      <c r="EJ57" s="229">
        <v>0.4698</v>
      </c>
      <c r="EK57" s="228">
        <v>326.52</v>
      </c>
      <c r="EL57" s="228">
        <v>148.29</v>
      </c>
      <c r="EM57" s="228">
        <v>250.37</v>
      </c>
      <c r="EN57" s="228">
        <v>0</v>
      </c>
      <c r="EO57" s="228">
        <v>725.18</v>
      </c>
      <c r="EP57" s="228">
        <v>298.76</v>
      </c>
      <c r="EQ57" s="228">
        <v>426.42</v>
      </c>
      <c r="ER57" s="229">
        <v>1.4273</v>
      </c>
      <c r="ES57" s="228">
        <v>271</v>
      </c>
      <c r="ET57" s="228">
        <v>157.46</v>
      </c>
      <c r="EU57" s="231">
        <v>1261.48</v>
      </c>
      <c r="EV57" s="231">
        <v>128761832</v>
      </c>
      <c r="EW57" s="231">
        <v>1689.94</v>
      </c>
      <c r="EX57" s="231">
        <v>1680.37</v>
      </c>
      <c r="EY57" s="228">
        <v>9.57</v>
      </c>
      <c r="EZ57" s="229">
        <v>5.7000000000000002E-3</v>
      </c>
      <c r="FA57" s="229">
        <v>0.38840000000000002</v>
      </c>
      <c r="FB57" s="227" t="s">
        <v>567</v>
      </c>
      <c r="FC57">
        <f t="shared" si="0"/>
        <v>74</v>
      </c>
    </row>
    <row r="58" spans="1:159" ht="17.25" thickBot="1" x14ac:dyDescent="0.3">
      <c r="A58" s="226">
        <v>45860</v>
      </c>
      <c r="B58" s="227" t="s">
        <v>184</v>
      </c>
      <c r="C58" s="227" t="s">
        <v>203</v>
      </c>
      <c r="D58" s="228">
        <v>200</v>
      </c>
      <c r="E58" s="228">
        <v>9</v>
      </c>
      <c r="F58" s="231">
        <v>3589.2</v>
      </c>
      <c r="G58" s="231">
        <v>3621.6</v>
      </c>
      <c r="H58" s="228">
        <v>-32.4</v>
      </c>
      <c r="I58" s="229">
        <v>-8.8999999999999999E-3</v>
      </c>
      <c r="J58" s="231">
        <v>3587.4</v>
      </c>
      <c r="K58" s="231">
        <v>3617.9</v>
      </c>
      <c r="L58" s="228">
        <v>-30.5</v>
      </c>
      <c r="M58" s="229">
        <v>-8.3999999999999995E-3</v>
      </c>
      <c r="N58" s="231">
        <v>3589.2</v>
      </c>
      <c r="O58" s="231">
        <v>3621.6</v>
      </c>
      <c r="P58" s="228">
        <v>-32.4</v>
      </c>
      <c r="Q58" s="229">
        <v>-8.8999999999999999E-3</v>
      </c>
      <c r="R58" s="231">
        <v>3608.2</v>
      </c>
      <c r="S58" s="231">
        <v>3639.5</v>
      </c>
      <c r="T58" s="228">
        <v>-31.3</v>
      </c>
      <c r="U58" s="229">
        <v>-8.6E-3</v>
      </c>
      <c r="V58" s="228">
        <v>0</v>
      </c>
      <c r="W58" s="228">
        <v>0</v>
      </c>
      <c r="X58" s="228">
        <v>0</v>
      </c>
      <c r="Y58" s="229">
        <v>0</v>
      </c>
      <c r="Z58" s="228">
        <v>1.8</v>
      </c>
      <c r="AA58" s="228">
        <v>3.7</v>
      </c>
      <c r="AB58" s="228">
        <v>-1.9</v>
      </c>
      <c r="AC58" s="229">
        <v>5.0000000000000001E-4</v>
      </c>
      <c r="AD58" s="228">
        <v>1.8</v>
      </c>
      <c r="AE58" s="228">
        <v>3.7</v>
      </c>
      <c r="AF58" s="228">
        <v>-1.9</v>
      </c>
      <c r="AG58" s="229">
        <v>5.0000000000000001E-4</v>
      </c>
      <c r="AH58" s="228">
        <v>20.8</v>
      </c>
      <c r="AI58" s="228">
        <v>21.6</v>
      </c>
      <c r="AJ58" s="228">
        <v>-0.8</v>
      </c>
      <c r="AK58" s="229">
        <v>5.7999999999999996E-3</v>
      </c>
      <c r="AL58" s="228">
        <v>0</v>
      </c>
      <c r="AM58" s="228">
        <v>0</v>
      </c>
      <c r="AN58" s="228">
        <v>0</v>
      </c>
      <c r="AO58" s="229">
        <v>0</v>
      </c>
      <c r="AP58" s="231">
        <v>3591.48</v>
      </c>
      <c r="AQ58" s="231">
        <v>3605.84</v>
      </c>
      <c r="AR58" s="228">
        <v>0</v>
      </c>
      <c r="AS58" s="228">
        <v>169</v>
      </c>
      <c r="AT58" s="228">
        <v>248</v>
      </c>
      <c r="AU58" s="228">
        <v>-79</v>
      </c>
      <c r="AV58" s="229">
        <v>-0.31919999999999998</v>
      </c>
      <c r="AW58" s="228">
        <v>153</v>
      </c>
      <c r="AX58" s="228">
        <v>228</v>
      </c>
      <c r="AY58" s="228">
        <v>-76</v>
      </c>
      <c r="AZ58" s="229">
        <v>-0.33069999999999999</v>
      </c>
      <c r="BA58" s="228">
        <v>16</v>
      </c>
      <c r="BB58" s="228">
        <v>19</v>
      </c>
      <c r="BC58" s="228">
        <v>-4</v>
      </c>
      <c r="BD58" s="229">
        <v>-0.18149999999999999</v>
      </c>
      <c r="BE58" s="228">
        <v>0</v>
      </c>
      <c r="BF58" s="228">
        <v>0</v>
      </c>
      <c r="BG58" s="228">
        <v>0</v>
      </c>
      <c r="BH58" s="229">
        <v>0</v>
      </c>
      <c r="BI58" s="228">
        <v>370</v>
      </c>
      <c r="BJ58" s="228">
        <v>907</v>
      </c>
      <c r="BK58" s="228">
        <v>-538</v>
      </c>
      <c r="BL58" s="229">
        <v>-0.5927</v>
      </c>
      <c r="BM58" s="228">
        <v>211</v>
      </c>
      <c r="BN58" s="228">
        <v>306</v>
      </c>
      <c r="BO58" s="228">
        <v>-95</v>
      </c>
      <c r="BP58" s="229">
        <v>-0.31159999999999999</v>
      </c>
      <c r="BQ58" s="228">
        <v>749</v>
      </c>
      <c r="BR58" s="230">
        <v>1462</v>
      </c>
      <c r="BS58" s="228">
        <v>-712</v>
      </c>
      <c r="BT58" s="229">
        <v>-0.4874</v>
      </c>
      <c r="BU58" s="230">
        <v>357829</v>
      </c>
      <c r="BV58" s="230">
        <v>435240</v>
      </c>
      <c r="BW58" s="230">
        <v>-77411</v>
      </c>
      <c r="BX58" s="229">
        <v>-0.1779</v>
      </c>
      <c r="BY58" s="230">
        <v>1188</v>
      </c>
      <c r="BZ58" s="230">
        <v>1214</v>
      </c>
      <c r="CA58" s="228">
        <v>-26</v>
      </c>
      <c r="CB58" s="229">
        <v>-2.1700000000000001E-2</v>
      </c>
      <c r="CC58" s="230">
        <v>1161</v>
      </c>
      <c r="CD58" s="230">
        <v>1191</v>
      </c>
      <c r="CE58" s="228">
        <v>-30</v>
      </c>
      <c r="CF58" s="229">
        <v>-2.4799999999999999E-2</v>
      </c>
      <c r="CG58" s="228">
        <v>24</v>
      </c>
      <c r="CH58" s="228">
        <v>21</v>
      </c>
      <c r="CI58" s="228">
        <v>3</v>
      </c>
      <c r="CJ58" s="229">
        <v>0.15809999999999999</v>
      </c>
      <c r="CK58" s="228">
        <v>0</v>
      </c>
      <c r="CL58" s="228">
        <v>0</v>
      </c>
      <c r="CM58" s="228">
        <v>0</v>
      </c>
      <c r="CN58" s="229">
        <v>0</v>
      </c>
      <c r="CO58" s="228">
        <v>271</v>
      </c>
      <c r="CP58" s="228">
        <v>294</v>
      </c>
      <c r="CQ58" s="228">
        <v>-22</v>
      </c>
      <c r="CR58" s="229">
        <v>-7.5999999999999998E-2</v>
      </c>
      <c r="CS58" s="228">
        <v>247</v>
      </c>
      <c r="CT58" s="228">
        <v>255</v>
      </c>
      <c r="CU58" s="228">
        <v>-7</v>
      </c>
      <c r="CV58" s="229">
        <v>-2.9000000000000001E-2</v>
      </c>
      <c r="CW58" s="230">
        <v>1706</v>
      </c>
      <c r="CX58" s="230">
        <v>1762</v>
      </c>
      <c r="CY58" s="228">
        <v>-56</v>
      </c>
      <c r="CZ58" s="229">
        <v>-3.1800000000000002E-2</v>
      </c>
      <c r="DA58" s="228">
        <v>26.25</v>
      </c>
      <c r="DB58" s="228">
        <v>28.04</v>
      </c>
      <c r="DC58" s="228">
        <v>-1.79</v>
      </c>
      <c r="DD58" s="228">
        <v>-1.79</v>
      </c>
      <c r="DE58" s="228">
        <v>38.83</v>
      </c>
      <c r="DF58" s="228">
        <v>38.909999999999997</v>
      </c>
      <c r="DG58" s="228">
        <v>-12.58</v>
      </c>
      <c r="DH58" s="228">
        <v>-0.08</v>
      </c>
      <c r="DI58" s="228">
        <v>26.31</v>
      </c>
      <c r="DJ58" s="228">
        <v>27.82</v>
      </c>
      <c r="DK58" s="228">
        <v>-1.51</v>
      </c>
      <c r="DL58" s="228">
        <v>-1.51</v>
      </c>
      <c r="DM58" s="228">
        <v>26.16</v>
      </c>
      <c r="DN58" s="228">
        <v>28.68</v>
      </c>
      <c r="DO58" s="228">
        <v>-2.52</v>
      </c>
      <c r="DP58" s="228">
        <v>-2.52</v>
      </c>
      <c r="DQ58" s="228">
        <v>0.91</v>
      </c>
      <c r="DR58" s="228">
        <v>0.87</v>
      </c>
      <c r="DS58" s="228">
        <v>0.04</v>
      </c>
      <c r="DT58" s="229">
        <v>4.5999999999999999E-2</v>
      </c>
      <c r="DU58" s="231">
        <v>3600</v>
      </c>
      <c r="DV58" s="231">
        <v>3300</v>
      </c>
      <c r="DW58" s="228">
        <v>0.56999999999999995</v>
      </c>
      <c r="DX58" s="228">
        <v>0.34</v>
      </c>
      <c r="DY58" s="228">
        <v>0.23</v>
      </c>
      <c r="DZ58" s="229">
        <v>0.67649999999999999</v>
      </c>
      <c r="EA58" s="229">
        <v>2.0400000000000001E-2</v>
      </c>
      <c r="EB58" s="230">
        <v>58200</v>
      </c>
      <c r="EC58" s="229">
        <v>5.3E-3</v>
      </c>
      <c r="ED58" s="229">
        <v>2.0400000000000001E-2</v>
      </c>
      <c r="EE58" s="228">
        <v>14.36</v>
      </c>
      <c r="EF58" s="229">
        <v>4.0000000000000001E-3</v>
      </c>
      <c r="EG58" s="230">
        <v>218011</v>
      </c>
      <c r="EH58" s="230">
        <v>246036</v>
      </c>
      <c r="EI58" s="229">
        <v>-0.1139</v>
      </c>
      <c r="EJ58" s="229">
        <v>0.60929999999999995</v>
      </c>
      <c r="EK58" s="228">
        <v>381.28</v>
      </c>
      <c r="EL58" s="228">
        <v>207.67</v>
      </c>
      <c r="EM58" s="228">
        <v>169.23</v>
      </c>
      <c r="EN58" s="228">
        <v>0</v>
      </c>
      <c r="EO58" s="228">
        <v>758.18</v>
      </c>
      <c r="EP58" s="231">
        <v>1481.27</v>
      </c>
      <c r="EQ58" s="228">
        <v>-723.09</v>
      </c>
      <c r="ER58" s="229">
        <v>-0.48820000000000002</v>
      </c>
      <c r="ES58" s="228">
        <v>270.87</v>
      </c>
      <c r="ET58" s="228">
        <v>227.7</v>
      </c>
      <c r="EU58" s="231">
        <v>1187.75</v>
      </c>
      <c r="EV58" s="231">
        <v>27165600</v>
      </c>
      <c r="EW58" s="231">
        <v>1686.32</v>
      </c>
      <c r="EX58" s="231">
        <v>1753.42</v>
      </c>
      <c r="EY58" s="228">
        <v>-67.099999999999994</v>
      </c>
      <c r="EZ58" s="229">
        <v>-3.8300000000000001E-2</v>
      </c>
      <c r="FA58" s="229">
        <v>0.17499999999999999</v>
      </c>
      <c r="FB58" s="227" t="s">
        <v>568</v>
      </c>
      <c r="FC58">
        <f t="shared" si="0"/>
        <v>27</v>
      </c>
    </row>
    <row r="59" spans="1:159" ht="17.25" thickBot="1" x14ac:dyDescent="0.3">
      <c r="A59" s="226">
        <v>45860</v>
      </c>
      <c r="B59" s="227" t="s">
        <v>221</v>
      </c>
      <c r="C59" s="227" t="s">
        <v>573</v>
      </c>
      <c r="D59" s="228">
        <v>425</v>
      </c>
      <c r="E59" s="228">
        <v>9</v>
      </c>
      <c r="F59" s="231">
        <v>1273.8</v>
      </c>
      <c r="G59" s="231">
        <v>1285.2</v>
      </c>
      <c r="H59" s="228">
        <v>-11.4</v>
      </c>
      <c r="I59" s="229">
        <v>-8.8999999999999999E-3</v>
      </c>
      <c r="J59" s="231">
        <v>1271.2</v>
      </c>
      <c r="K59" s="231">
        <v>1283.0999999999999</v>
      </c>
      <c r="L59" s="228">
        <v>-11.9</v>
      </c>
      <c r="M59" s="229">
        <v>-9.2999999999999992E-3</v>
      </c>
      <c r="N59" s="231">
        <v>1273.8</v>
      </c>
      <c r="O59" s="231">
        <v>1285.2</v>
      </c>
      <c r="P59" s="228">
        <v>-11.4</v>
      </c>
      <c r="Q59" s="229">
        <v>-8.8999999999999999E-3</v>
      </c>
      <c r="R59" s="231">
        <v>1280</v>
      </c>
      <c r="S59" s="231">
        <v>1292.7</v>
      </c>
      <c r="T59" s="228">
        <v>-12.7</v>
      </c>
      <c r="U59" s="229">
        <v>-9.7999999999999997E-3</v>
      </c>
      <c r="V59" s="228">
        <v>0</v>
      </c>
      <c r="W59" s="228">
        <v>0</v>
      </c>
      <c r="X59" s="228">
        <v>0</v>
      </c>
      <c r="Y59" s="229">
        <v>0</v>
      </c>
      <c r="Z59" s="228">
        <v>2.6</v>
      </c>
      <c r="AA59" s="228">
        <v>2.1</v>
      </c>
      <c r="AB59" s="228">
        <v>0.5</v>
      </c>
      <c r="AC59" s="229">
        <v>2E-3</v>
      </c>
      <c r="AD59" s="228">
        <v>2.6</v>
      </c>
      <c r="AE59" s="228">
        <v>2.1</v>
      </c>
      <c r="AF59" s="228">
        <v>0.5</v>
      </c>
      <c r="AG59" s="229">
        <v>2E-3</v>
      </c>
      <c r="AH59" s="228">
        <v>8.8000000000000007</v>
      </c>
      <c r="AI59" s="228">
        <v>9.6</v>
      </c>
      <c r="AJ59" s="228">
        <v>-0.8</v>
      </c>
      <c r="AK59" s="229">
        <v>6.8999999999999999E-3</v>
      </c>
      <c r="AL59" s="228">
        <v>0</v>
      </c>
      <c r="AM59" s="228">
        <v>0</v>
      </c>
      <c r="AN59" s="228">
        <v>0</v>
      </c>
      <c r="AO59" s="229">
        <v>0</v>
      </c>
      <c r="AP59" s="231">
        <v>1277.9000000000001</v>
      </c>
      <c r="AQ59" s="231">
        <v>1285.28</v>
      </c>
      <c r="AR59" s="228">
        <v>0</v>
      </c>
      <c r="AS59" s="228">
        <v>38</v>
      </c>
      <c r="AT59" s="228">
        <v>36</v>
      </c>
      <c r="AU59" s="228">
        <v>2</v>
      </c>
      <c r="AV59" s="229">
        <v>5.8599999999999999E-2</v>
      </c>
      <c r="AW59" s="228">
        <v>31</v>
      </c>
      <c r="AX59" s="228">
        <v>26</v>
      </c>
      <c r="AY59" s="228">
        <v>5</v>
      </c>
      <c r="AZ59" s="229">
        <v>0.1759</v>
      </c>
      <c r="BA59" s="228">
        <v>7</v>
      </c>
      <c r="BB59" s="228">
        <v>9</v>
      </c>
      <c r="BC59" s="228">
        <v>-3</v>
      </c>
      <c r="BD59" s="229">
        <v>-0.2989</v>
      </c>
      <c r="BE59" s="228">
        <v>0</v>
      </c>
      <c r="BF59" s="228">
        <v>0</v>
      </c>
      <c r="BG59" s="228">
        <v>0</v>
      </c>
      <c r="BH59" s="229">
        <v>0</v>
      </c>
      <c r="BI59" s="228">
        <v>61</v>
      </c>
      <c r="BJ59" s="228">
        <v>89</v>
      </c>
      <c r="BK59" s="228">
        <v>-27</v>
      </c>
      <c r="BL59" s="229">
        <v>-0.30559999999999998</v>
      </c>
      <c r="BM59" s="228">
        <v>39</v>
      </c>
      <c r="BN59" s="228">
        <v>44</v>
      </c>
      <c r="BO59" s="228">
        <v>-5</v>
      </c>
      <c r="BP59" s="229">
        <v>-0.11210000000000001</v>
      </c>
      <c r="BQ59" s="228">
        <v>139</v>
      </c>
      <c r="BR59" s="228">
        <v>169</v>
      </c>
      <c r="BS59" s="228">
        <v>-30</v>
      </c>
      <c r="BT59" s="229">
        <v>-0.17710000000000001</v>
      </c>
      <c r="BU59" s="230">
        <v>166883</v>
      </c>
      <c r="BV59" s="230">
        <v>177228</v>
      </c>
      <c r="BW59" s="230">
        <v>-10345</v>
      </c>
      <c r="BX59" s="229">
        <v>-5.8400000000000001E-2</v>
      </c>
      <c r="BY59" s="228">
        <v>350</v>
      </c>
      <c r="BZ59" s="228">
        <v>351</v>
      </c>
      <c r="CA59" s="228">
        <v>-1</v>
      </c>
      <c r="CB59" s="229">
        <v>-1.5E-3</v>
      </c>
      <c r="CC59" s="228">
        <v>321</v>
      </c>
      <c r="CD59" s="228">
        <v>324</v>
      </c>
      <c r="CE59" s="228">
        <v>-3</v>
      </c>
      <c r="CF59" s="229">
        <v>-8.6999999999999994E-3</v>
      </c>
      <c r="CG59" s="228">
        <v>26</v>
      </c>
      <c r="CH59" s="228">
        <v>24</v>
      </c>
      <c r="CI59" s="228">
        <v>2</v>
      </c>
      <c r="CJ59" s="229">
        <v>8.3299999999999999E-2</v>
      </c>
      <c r="CK59" s="228">
        <v>0</v>
      </c>
      <c r="CL59" s="228">
        <v>0</v>
      </c>
      <c r="CM59" s="228">
        <v>0</v>
      </c>
      <c r="CN59" s="229">
        <v>0</v>
      </c>
      <c r="CO59" s="228">
        <v>192</v>
      </c>
      <c r="CP59" s="228">
        <v>192</v>
      </c>
      <c r="CQ59" s="228">
        <v>0</v>
      </c>
      <c r="CR59" s="229">
        <v>1.4E-3</v>
      </c>
      <c r="CS59" s="228">
        <v>144</v>
      </c>
      <c r="CT59" s="228">
        <v>137</v>
      </c>
      <c r="CU59" s="228">
        <v>6</v>
      </c>
      <c r="CV59" s="229">
        <v>4.4900000000000002E-2</v>
      </c>
      <c r="CW59" s="228">
        <v>686</v>
      </c>
      <c r="CX59" s="228">
        <v>680</v>
      </c>
      <c r="CY59" s="228">
        <v>6</v>
      </c>
      <c r="CZ59" s="229">
        <v>8.6999999999999994E-3</v>
      </c>
      <c r="DA59" s="228">
        <v>48.67</v>
      </c>
      <c r="DB59" s="228">
        <v>46.54</v>
      </c>
      <c r="DC59" s="228">
        <v>2.13</v>
      </c>
      <c r="DD59" s="228">
        <v>2.13</v>
      </c>
      <c r="DE59" s="228">
        <v>47.85</v>
      </c>
      <c r="DF59" s="228">
        <v>47.96</v>
      </c>
      <c r="DG59" s="228">
        <v>0.82</v>
      </c>
      <c r="DH59" s="228">
        <v>-0.11</v>
      </c>
      <c r="DI59" s="228">
        <v>46.73</v>
      </c>
      <c r="DJ59" s="228">
        <v>45.26</v>
      </c>
      <c r="DK59" s="228">
        <v>1.47</v>
      </c>
      <c r="DL59" s="228">
        <v>1.47</v>
      </c>
      <c r="DM59" s="228">
        <v>51.69</v>
      </c>
      <c r="DN59" s="228">
        <v>49.09</v>
      </c>
      <c r="DO59" s="228">
        <v>2.6</v>
      </c>
      <c r="DP59" s="228">
        <v>2.6</v>
      </c>
      <c r="DQ59" s="228">
        <v>0.75</v>
      </c>
      <c r="DR59" s="228">
        <v>0.72</v>
      </c>
      <c r="DS59" s="228">
        <v>0.03</v>
      </c>
      <c r="DT59" s="229">
        <v>4.1700000000000001E-2</v>
      </c>
      <c r="DU59" s="231">
        <v>1300</v>
      </c>
      <c r="DV59" s="231">
        <v>1200</v>
      </c>
      <c r="DW59" s="228">
        <v>0.64</v>
      </c>
      <c r="DX59" s="228">
        <v>0.5</v>
      </c>
      <c r="DY59" s="228">
        <v>0.14000000000000001</v>
      </c>
      <c r="DZ59" s="229">
        <v>0.28000000000000003</v>
      </c>
      <c r="EA59" s="229">
        <v>7.4399999999999994E-2</v>
      </c>
      <c r="EB59" s="230">
        <v>188700</v>
      </c>
      <c r="EC59" s="229">
        <v>4.8999999999999998E-3</v>
      </c>
      <c r="ED59" s="229">
        <v>7.4399999999999994E-2</v>
      </c>
      <c r="EE59" s="228">
        <v>7.38</v>
      </c>
      <c r="EF59" s="229">
        <v>5.7999999999999996E-3</v>
      </c>
      <c r="EG59" s="230">
        <v>79124</v>
      </c>
      <c r="EH59" s="230">
        <v>75836</v>
      </c>
      <c r="EI59" s="229">
        <v>4.3400000000000001E-2</v>
      </c>
      <c r="EJ59" s="229">
        <v>0.47410000000000002</v>
      </c>
      <c r="EK59" s="228">
        <v>66.05</v>
      </c>
      <c r="EL59" s="228">
        <v>37.51</v>
      </c>
      <c r="EM59" s="228">
        <v>38.33</v>
      </c>
      <c r="EN59" s="228">
        <v>0</v>
      </c>
      <c r="EO59" s="228">
        <v>141.9</v>
      </c>
      <c r="EP59" s="228">
        <v>172.96</v>
      </c>
      <c r="EQ59" s="228">
        <v>-31.06</v>
      </c>
      <c r="ER59" s="229">
        <v>-0.17960000000000001</v>
      </c>
      <c r="ES59" s="228">
        <v>204.66</v>
      </c>
      <c r="ET59" s="228">
        <v>138.15</v>
      </c>
      <c r="EU59" s="228">
        <v>350.36</v>
      </c>
      <c r="EV59" s="231">
        <v>16859165</v>
      </c>
      <c r="EW59" s="228">
        <v>693.17</v>
      </c>
      <c r="EX59" s="228">
        <v>690.7</v>
      </c>
      <c r="EY59" s="228">
        <v>2.4700000000000002</v>
      </c>
      <c r="EZ59" s="229">
        <v>3.5999999999999999E-3</v>
      </c>
      <c r="FA59" s="229">
        <v>0.31950000000000001</v>
      </c>
      <c r="FB59" s="227" t="s">
        <v>568</v>
      </c>
      <c r="FC59">
        <f t="shared" si="0"/>
        <v>29</v>
      </c>
    </row>
    <row r="60" spans="1:159" ht="17.25" thickBot="1" x14ac:dyDescent="0.3">
      <c r="A60" s="226">
        <v>45860</v>
      </c>
      <c r="B60" s="227" t="s">
        <v>168</v>
      </c>
      <c r="C60" s="227" t="s">
        <v>204</v>
      </c>
      <c r="D60" s="228">
        <v>1250</v>
      </c>
      <c r="E60" s="228">
        <v>9</v>
      </c>
      <c r="F60" s="228">
        <v>515.29999999999995</v>
      </c>
      <c r="G60" s="228">
        <v>516.1</v>
      </c>
      <c r="H60" s="228">
        <v>-0.8</v>
      </c>
      <c r="I60" s="229">
        <v>-1.6000000000000001E-3</v>
      </c>
      <c r="J60" s="228">
        <v>515.04999999999995</v>
      </c>
      <c r="K60" s="228">
        <v>514.54999999999995</v>
      </c>
      <c r="L60" s="228">
        <v>0.5</v>
      </c>
      <c r="M60" s="229">
        <v>1E-3</v>
      </c>
      <c r="N60" s="228">
        <v>515.29999999999995</v>
      </c>
      <c r="O60" s="228">
        <v>516.1</v>
      </c>
      <c r="P60" s="228">
        <v>-0.8</v>
      </c>
      <c r="Q60" s="229">
        <v>-1.6000000000000001E-3</v>
      </c>
      <c r="R60" s="228">
        <v>518.04999999999995</v>
      </c>
      <c r="S60" s="228">
        <v>518.65</v>
      </c>
      <c r="T60" s="228">
        <v>-0.6</v>
      </c>
      <c r="U60" s="229">
        <v>-1.1999999999999999E-3</v>
      </c>
      <c r="V60" s="228">
        <v>0</v>
      </c>
      <c r="W60" s="228">
        <v>0</v>
      </c>
      <c r="X60" s="228">
        <v>0</v>
      </c>
      <c r="Y60" s="229">
        <v>0</v>
      </c>
      <c r="Z60" s="228">
        <v>0.25</v>
      </c>
      <c r="AA60" s="228">
        <v>1.55</v>
      </c>
      <c r="AB60" s="228">
        <v>-1.3</v>
      </c>
      <c r="AC60" s="229">
        <v>5.0000000000000001E-4</v>
      </c>
      <c r="AD60" s="228">
        <v>0.25</v>
      </c>
      <c r="AE60" s="228">
        <v>1.55</v>
      </c>
      <c r="AF60" s="228">
        <v>-1.3</v>
      </c>
      <c r="AG60" s="229">
        <v>5.0000000000000001E-4</v>
      </c>
      <c r="AH60" s="228">
        <v>3</v>
      </c>
      <c r="AI60" s="228">
        <v>4.0999999999999996</v>
      </c>
      <c r="AJ60" s="228">
        <v>-1.1000000000000001</v>
      </c>
      <c r="AK60" s="229">
        <v>5.7999999999999996E-3</v>
      </c>
      <c r="AL60" s="228">
        <v>0</v>
      </c>
      <c r="AM60" s="228">
        <v>0</v>
      </c>
      <c r="AN60" s="228">
        <v>0</v>
      </c>
      <c r="AO60" s="229">
        <v>0</v>
      </c>
      <c r="AP60" s="228">
        <v>514.38</v>
      </c>
      <c r="AQ60" s="228">
        <v>516.85</v>
      </c>
      <c r="AR60" s="228">
        <v>0</v>
      </c>
      <c r="AS60" s="228">
        <v>86</v>
      </c>
      <c r="AT60" s="228">
        <v>116</v>
      </c>
      <c r="AU60" s="228">
        <v>-30</v>
      </c>
      <c r="AV60" s="229">
        <v>-0.25580000000000003</v>
      </c>
      <c r="AW60" s="228">
        <v>76</v>
      </c>
      <c r="AX60" s="228">
        <v>102</v>
      </c>
      <c r="AY60" s="228">
        <v>-26</v>
      </c>
      <c r="AZ60" s="229">
        <v>-0.25740000000000002</v>
      </c>
      <c r="BA60" s="228">
        <v>9</v>
      </c>
      <c r="BB60" s="228">
        <v>12</v>
      </c>
      <c r="BC60" s="228">
        <v>-3</v>
      </c>
      <c r="BD60" s="229">
        <v>-0.21390000000000001</v>
      </c>
      <c r="BE60" s="228">
        <v>0</v>
      </c>
      <c r="BF60" s="228">
        <v>0</v>
      </c>
      <c r="BG60" s="228">
        <v>0</v>
      </c>
      <c r="BH60" s="229">
        <v>0</v>
      </c>
      <c r="BI60" s="228">
        <v>346</v>
      </c>
      <c r="BJ60" s="228">
        <v>336</v>
      </c>
      <c r="BK60" s="228">
        <v>10</v>
      </c>
      <c r="BL60" s="229">
        <v>2.87E-2</v>
      </c>
      <c r="BM60" s="228">
        <v>149</v>
      </c>
      <c r="BN60" s="228">
        <v>261</v>
      </c>
      <c r="BO60" s="228">
        <v>-112</v>
      </c>
      <c r="BP60" s="229">
        <v>-0.42849999999999999</v>
      </c>
      <c r="BQ60" s="228">
        <v>582</v>
      </c>
      <c r="BR60" s="228">
        <v>713</v>
      </c>
      <c r="BS60" s="228">
        <v>-132</v>
      </c>
      <c r="BT60" s="229">
        <v>-0.18479999999999999</v>
      </c>
      <c r="BU60" s="230">
        <v>1520571</v>
      </c>
      <c r="BV60" s="230">
        <v>1249227</v>
      </c>
      <c r="BW60" s="230">
        <v>271344</v>
      </c>
      <c r="BX60" s="229">
        <v>0.2172</v>
      </c>
      <c r="BY60" s="228">
        <v>956</v>
      </c>
      <c r="BZ60" s="228">
        <v>953</v>
      </c>
      <c r="CA60" s="228">
        <v>3</v>
      </c>
      <c r="CB60" s="229">
        <v>2.5999999999999999E-3</v>
      </c>
      <c r="CC60" s="228">
        <v>909</v>
      </c>
      <c r="CD60" s="228">
        <v>910</v>
      </c>
      <c r="CE60" s="228">
        <v>-1</v>
      </c>
      <c r="CF60" s="229">
        <v>-6.9999999999999999E-4</v>
      </c>
      <c r="CG60" s="228">
        <v>41</v>
      </c>
      <c r="CH60" s="228">
        <v>38</v>
      </c>
      <c r="CI60" s="228">
        <v>3</v>
      </c>
      <c r="CJ60" s="229">
        <v>7.2900000000000006E-2</v>
      </c>
      <c r="CK60" s="228">
        <v>0</v>
      </c>
      <c r="CL60" s="228">
        <v>0</v>
      </c>
      <c r="CM60" s="228">
        <v>0</v>
      </c>
      <c r="CN60" s="229">
        <v>0</v>
      </c>
      <c r="CO60" s="228">
        <v>644</v>
      </c>
      <c r="CP60" s="228">
        <v>667</v>
      </c>
      <c r="CQ60" s="228">
        <v>-23</v>
      </c>
      <c r="CR60" s="229">
        <v>-3.39E-2</v>
      </c>
      <c r="CS60" s="228">
        <v>675</v>
      </c>
      <c r="CT60" s="228">
        <v>684</v>
      </c>
      <c r="CU60" s="228">
        <v>-9</v>
      </c>
      <c r="CV60" s="229">
        <v>-1.3100000000000001E-2</v>
      </c>
      <c r="CW60" s="230">
        <v>2275</v>
      </c>
      <c r="CX60" s="230">
        <v>2304</v>
      </c>
      <c r="CY60" s="228">
        <v>-29</v>
      </c>
      <c r="CZ60" s="229">
        <v>-1.26E-2</v>
      </c>
      <c r="DA60" s="228">
        <v>17.97</v>
      </c>
      <c r="DB60" s="228">
        <v>19.75</v>
      </c>
      <c r="DC60" s="228">
        <v>-1.78</v>
      </c>
      <c r="DD60" s="228">
        <v>-1.78</v>
      </c>
      <c r="DE60" s="228">
        <v>25.27</v>
      </c>
      <c r="DF60" s="228">
        <v>25.34</v>
      </c>
      <c r="DG60" s="228">
        <v>-7.3</v>
      </c>
      <c r="DH60" s="228">
        <v>-7.0000000000000007E-2</v>
      </c>
      <c r="DI60" s="228">
        <v>18.23</v>
      </c>
      <c r="DJ60" s="228">
        <v>20.12</v>
      </c>
      <c r="DK60" s="228">
        <v>-1.89</v>
      </c>
      <c r="DL60" s="228">
        <v>-1.89</v>
      </c>
      <c r="DM60" s="228">
        <v>17.350000000000001</v>
      </c>
      <c r="DN60" s="228">
        <v>19.260000000000002</v>
      </c>
      <c r="DO60" s="228">
        <v>-1.91</v>
      </c>
      <c r="DP60" s="228">
        <v>-1.91</v>
      </c>
      <c r="DQ60" s="228">
        <v>1.05</v>
      </c>
      <c r="DR60" s="228">
        <v>1.03</v>
      </c>
      <c r="DS60" s="228">
        <v>0.02</v>
      </c>
      <c r="DT60" s="229">
        <v>1.9400000000000001E-2</v>
      </c>
      <c r="DU60" s="228">
        <v>550</v>
      </c>
      <c r="DV60" s="228">
        <v>470</v>
      </c>
      <c r="DW60" s="228">
        <v>0.43</v>
      </c>
      <c r="DX60" s="228">
        <v>0.78</v>
      </c>
      <c r="DY60" s="228">
        <v>-0.35</v>
      </c>
      <c r="DZ60" s="229">
        <v>-0.44869999999999999</v>
      </c>
      <c r="EA60" s="229">
        <v>4.2700000000000002E-2</v>
      </c>
      <c r="EB60" s="230">
        <v>737500</v>
      </c>
      <c r="EC60" s="229">
        <v>5.3E-3</v>
      </c>
      <c r="ED60" s="229">
        <v>4.2700000000000002E-2</v>
      </c>
      <c r="EE60" s="228">
        <v>2.4700000000000002</v>
      </c>
      <c r="EF60" s="229">
        <v>4.7999999999999996E-3</v>
      </c>
      <c r="EG60" s="230">
        <v>1155472</v>
      </c>
      <c r="EH60" s="230">
        <v>845944</v>
      </c>
      <c r="EI60" s="229">
        <v>0.3659</v>
      </c>
      <c r="EJ60" s="229">
        <v>0.75990000000000002</v>
      </c>
      <c r="EK60" s="228">
        <v>358.69</v>
      </c>
      <c r="EL60" s="228">
        <v>146.68</v>
      </c>
      <c r="EM60" s="228">
        <v>86.08</v>
      </c>
      <c r="EN60" s="228">
        <v>0</v>
      </c>
      <c r="EO60" s="228">
        <v>591.46</v>
      </c>
      <c r="EP60" s="228">
        <v>724.35</v>
      </c>
      <c r="EQ60" s="228">
        <v>-132.88999999999999</v>
      </c>
      <c r="ER60" s="229">
        <v>-0.1835</v>
      </c>
      <c r="ES60" s="228">
        <v>664.98</v>
      </c>
      <c r="ET60" s="228">
        <v>630.25</v>
      </c>
      <c r="EU60" s="228">
        <v>956.1</v>
      </c>
      <c r="EV60" s="231">
        <v>119554853</v>
      </c>
      <c r="EW60" s="231">
        <v>2251.33</v>
      </c>
      <c r="EX60" s="231">
        <v>2283.1</v>
      </c>
      <c r="EY60" s="228">
        <v>-31.77</v>
      </c>
      <c r="EZ60" s="229">
        <v>-1.3899999999999999E-2</v>
      </c>
      <c r="FA60" s="229">
        <v>0.36930000000000002</v>
      </c>
      <c r="FB60" s="227" t="s">
        <v>567</v>
      </c>
      <c r="FC60">
        <f t="shared" si="0"/>
        <v>47</v>
      </c>
    </row>
    <row r="61" spans="1:159" ht="17.25" thickBot="1" x14ac:dyDescent="0.3">
      <c r="A61" s="226">
        <v>45860</v>
      </c>
      <c r="B61" s="227" t="s">
        <v>157</v>
      </c>
      <c r="C61" s="227" t="s">
        <v>524</v>
      </c>
      <c r="D61" s="228">
        <v>325</v>
      </c>
      <c r="E61" s="228">
        <v>9</v>
      </c>
      <c r="F61" s="231">
        <v>2322</v>
      </c>
      <c r="G61" s="231">
        <v>2270.8000000000002</v>
      </c>
      <c r="H61" s="228">
        <v>51.2</v>
      </c>
      <c r="I61" s="229">
        <v>2.2499999999999999E-2</v>
      </c>
      <c r="J61" s="231">
        <v>2320.1999999999998</v>
      </c>
      <c r="K61" s="231">
        <v>2262.1999999999998</v>
      </c>
      <c r="L61" s="228">
        <v>58</v>
      </c>
      <c r="M61" s="229">
        <v>2.5600000000000001E-2</v>
      </c>
      <c r="N61" s="231">
        <v>2322</v>
      </c>
      <c r="O61" s="231">
        <v>2270.8000000000002</v>
      </c>
      <c r="P61" s="228">
        <v>51.2</v>
      </c>
      <c r="Q61" s="229">
        <v>2.2499999999999999E-2</v>
      </c>
      <c r="R61" s="231">
        <v>2333.1999999999998</v>
      </c>
      <c r="S61" s="231">
        <v>2279.8000000000002</v>
      </c>
      <c r="T61" s="228">
        <v>53.4</v>
      </c>
      <c r="U61" s="229">
        <v>2.3400000000000001E-2</v>
      </c>
      <c r="V61" s="228">
        <v>0</v>
      </c>
      <c r="W61" s="228">
        <v>0</v>
      </c>
      <c r="X61" s="228">
        <v>0</v>
      </c>
      <c r="Y61" s="229">
        <v>0</v>
      </c>
      <c r="Z61" s="228">
        <v>1.8</v>
      </c>
      <c r="AA61" s="228">
        <v>8.6</v>
      </c>
      <c r="AB61" s="228">
        <v>-6.8</v>
      </c>
      <c r="AC61" s="229">
        <v>8.0000000000000004E-4</v>
      </c>
      <c r="AD61" s="228">
        <v>1.8</v>
      </c>
      <c r="AE61" s="228">
        <v>8.6</v>
      </c>
      <c r="AF61" s="228">
        <v>-6.8</v>
      </c>
      <c r="AG61" s="229">
        <v>8.0000000000000004E-4</v>
      </c>
      <c r="AH61" s="228">
        <v>13</v>
      </c>
      <c r="AI61" s="228">
        <v>17.600000000000001</v>
      </c>
      <c r="AJ61" s="228">
        <v>-4.5999999999999996</v>
      </c>
      <c r="AK61" s="229">
        <v>5.5999999999999999E-3</v>
      </c>
      <c r="AL61" s="228">
        <v>0</v>
      </c>
      <c r="AM61" s="228">
        <v>0</v>
      </c>
      <c r="AN61" s="228">
        <v>0</v>
      </c>
      <c r="AO61" s="229">
        <v>0</v>
      </c>
      <c r="AP61" s="231">
        <v>2330.0300000000002</v>
      </c>
      <c r="AQ61" s="231">
        <v>2344.69</v>
      </c>
      <c r="AR61" s="228">
        <v>0</v>
      </c>
      <c r="AS61" s="228">
        <v>391</v>
      </c>
      <c r="AT61" s="228">
        <v>240</v>
      </c>
      <c r="AU61" s="228">
        <v>151</v>
      </c>
      <c r="AV61" s="229">
        <v>0.62919999999999998</v>
      </c>
      <c r="AW61" s="228">
        <v>302</v>
      </c>
      <c r="AX61" s="228">
        <v>210</v>
      </c>
      <c r="AY61" s="228">
        <v>92</v>
      </c>
      <c r="AZ61" s="229">
        <v>0.43780000000000002</v>
      </c>
      <c r="BA61" s="228">
        <v>86</v>
      </c>
      <c r="BB61" s="228">
        <v>30</v>
      </c>
      <c r="BC61" s="228">
        <v>56</v>
      </c>
      <c r="BD61" s="229">
        <v>1.9105000000000001</v>
      </c>
      <c r="BE61" s="228">
        <v>0</v>
      </c>
      <c r="BF61" s="228">
        <v>0</v>
      </c>
      <c r="BG61" s="228">
        <v>0</v>
      </c>
      <c r="BH61" s="229">
        <v>0</v>
      </c>
      <c r="BI61" s="230">
        <v>1217</v>
      </c>
      <c r="BJ61" s="228">
        <v>662</v>
      </c>
      <c r="BK61" s="228">
        <v>555</v>
      </c>
      <c r="BL61" s="229">
        <v>0.8387</v>
      </c>
      <c r="BM61" s="228">
        <v>492</v>
      </c>
      <c r="BN61" s="228">
        <v>151</v>
      </c>
      <c r="BO61" s="228">
        <v>340</v>
      </c>
      <c r="BP61" s="229">
        <v>2.2475999999999998</v>
      </c>
      <c r="BQ61" s="230">
        <v>2099</v>
      </c>
      <c r="BR61" s="230">
        <v>1053</v>
      </c>
      <c r="BS61" s="230">
        <v>1046</v>
      </c>
      <c r="BT61" s="229">
        <v>0.99370000000000003</v>
      </c>
      <c r="BU61" s="230">
        <v>1046884</v>
      </c>
      <c r="BV61" s="230">
        <v>788809</v>
      </c>
      <c r="BW61" s="230">
        <v>258075</v>
      </c>
      <c r="BX61" s="229">
        <v>0.32719999999999999</v>
      </c>
      <c r="BY61" s="228">
        <v>795</v>
      </c>
      <c r="BZ61" s="228">
        <v>772</v>
      </c>
      <c r="CA61" s="228">
        <v>24</v>
      </c>
      <c r="CB61" s="229">
        <v>3.0599999999999999E-2</v>
      </c>
      <c r="CC61" s="228">
        <v>725</v>
      </c>
      <c r="CD61" s="228">
        <v>746</v>
      </c>
      <c r="CE61" s="228">
        <v>-21</v>
      </c>
      <c r="CF61" s="229">
        <v>-2.86E-2</v>
      </c>
      <c r="CG61" s="228">
        <v>68</v>
      </c>
      <c r="CH61" s="228">
        <v>25</v>
      </c>
      <c r="CI61" s="228">
        <v>43</v>
      </c>
      <c r="CJ61" s="229">
        <v>1.7378</v>
      </c>
      <c r="CK61" s="228">
        <v>0</v>
      </c>
      <c r="CL61" s="228">
        <v>0</v>
      </c>
      <c r="CM61" s="228">
        <v>0</v>
      </c>
      <c r="CN61" s="229">
        <v>0</v>
      </c>
      <c r="CO61" s="228">
        <v>282</v>
      </c>
      <c r="CP61" s="228">
        <v>219</v>
      </c>
      <c r="CQ61" s="228">
        <v>63</v>
      </c>
      <c r="CR61" s="229">
        <v>0.28539999999999999</v>
      </c>
      <c r="CS61" s="228">
        <v>164</v>
      </c>
      <c r="CT61" s="228">
        <v>104</v>
      </c>
      <c r="CU61" s="228">
        <v>60</v>
      </c>
      <c r="CV61" s="229">
        <v>0.57899999999999996</v>
      </c>
      <c r="CW61" s="230">
        <v>1241</v>
      </c>
      <c r="CX61" s="230">
        <v>1095</v>
      </c>
      <c r="CY61" s="228">
        <v>146</v>
      </c>
      <c r="CZ61" s="229">
        <v>0.1336</v>
      </c>
      <c r="DA61" s="228">
        <v>31.42</v>
      </c>
      <c r="DB61" s="228">
        <v>32.43</v>
      </c>
      <c r="DC61" s="228">
        <v>-1.01</v>
      </c>
      <c r="DD61" s="228">
        <v>-1.01</v>
      </c>
      <c r="DE61" s="228">
        <v>32.94</v>
      </c>
      <c r="DF61" s="228">
        <v>32.880000000000003</v>
      </c>
      <c r="DG61" s="228">
        <v>-1.52</v>
      </c>
      <c r="DH61" s="228">
        <v>0.06</v>
      </c>
      <c r="DI61" s="228">
        <v>31.29</v>
      </c>
      <c r="DJ61" s="228">
        <v>32.29</v>
      </c>
      <c r="DK61" s="228">
        <v>-1</v>
      </c>
      <c r="DL61" s="228">
        <v>-1</v>
      </c>
      <c r="DM61" s="228">
        <v>31.73</v>
      </c>
      <c r="DN61" s="228">
        <v>33.020000000000003</v>
      </c>
      <c r="DO61" s="228">
        <v>-1.29</v>
      </c>
      <c r="DP61" s="228">
        <v>-1.29</v>
      </c>
      <c r="DQ61" s="228">
        <v>0.57999999999999996</v>
      </c>
      <c r="DR61" s="228">
        <v>0.47</v>
      </c>
      <c r="DS61" s="228">
        <v>0.11</v>
      </c>
      <c r="DT61" s="229">
        <v>0.23400000000000001</v>
      </c>
      <c r="DU61" s="231">
        <v>2300</v>
      </c>
      <c r="DV61" s="231">
        <v>2200</v>
      </c>
      <c r="DW61" s="228">
        <v>0.4</v>
      </c>
      <c r="DX61" s="228">
        <v>0.23</v>
      </c>
      <c r="DY61" s="228">
        <v>0.17</v>
      </c>
      <c r="DZ61" s="229">
        <v>0.73909999999999998</v>
      </c>
      <c r="EA61" s="229">
        <v>8.5199999999999998E-2</v>
      </c>
      <c r="EB61" s="230">
        <v>106600</v>
      </c>
      <c r="EC61" s="229">
        <v>4.7999999999999996E-3</v>
      </c>
      <c r="ED61" s="229">
        <v>8.5199999999999998E-2</v>
      </c>
      <c r="EE61" s="228">
        <v>14.66</v>
      </c>
      <c r="EF61" s="229">
        <v>6.3E-3</v>
      </c>
      <c r="EG61" s="230">
        <v>477526</v>
      </c>
      <c r="EH61" s="230">
        <v>518042</v>
      </c>
      <c r="EI61" s="229">
        <v>-7.8200000000000006E-2</v>
      </c>
      <c r="EJ61" s="229">
        <v>0.45610000000000001</v>
      </c>
      <c r="EK61" s="231">
        <v>1259.48</v>
      </c>
      <c r="EL61" s="228">
        <v>481.51</v>
      </c>
      <c r="EM61" s="228">
        <v>392.53</v>
      </c>
      <c r="EN61" s="228">
        <v>0</v>
      </c>
      <c r="EO61" s="231">
        <v>2133.5100000000002</v>
      </c>
      <c r="EP61" s="231">
        <v>1051.08</v>
      </c>
      <c r="EQ61" s="231">
        <v>1082.43</v>
      </c>
      <c r="ER61" s="229">
        <v>1.0298</v>
      </c>
      <c r="ES61" s="228">
        <v>282.60000000000002</v>
      </c>
      <c r="ET61" s="228">
        <v>154.41999999999999</v>
      </c>
      <c r="EU61" s="228">
        <v>795.68</v>
      </c>
      <c r="EV61" s="231">
        <v>16566722</v>
      </c>
      <c r="EW61" s="231">
        <v>1232.69</v>
      </c>
      <c r="EX61" s="231">
        <v>1066.0899999999999</v>
      </c>
      <c r="EY61" s="228">
        <v>166.6</v>
      </c>
      <c r="EZ61" s="229">
        <v>0.15629999999999999</v>
      </c>
      <c r="FA61" s="229">
        <v>0.3226</v>
      </c>
      <c r="FB61" s="227" t="s">
        <v>555</v>
      </c>
      <c r="FC61">
        <f t="shared" si="0"/>
        <v>70</v>
      </c>
    </row>
    <row r="62" spans="1:159" ht="17.25" thickBot="1" x14ac:dyDescent="0.3">
      <c r="A62" s="226">
        <v>45860</v>
      </c>
      <c r="B62" s="227" t="s">
        <v>616</v>
      </c>
      <c r="C62" s="227" t="s">
        <v>601</v>
      </c>
      <c r="D62" s="228">
        <v>2075</v>
      </c>
      <c r="E62" s="228">
        <v>9</v>
      </c>
      <c r="F62" s="228">
        <v>434.85</v>
      </c>
      <c r="G62" s="228">
        <v>432.85</v>
      </c>
      <c r="H62" s="228">
        <v>2</v>
      </c>
      <c r="I62" s="229">
        <v>4.5999999999999999E-3</v>
      </c>
      <c r="J62" s="228">
        <v>436.85</v>
      </c>
      <c r="K62" s="228">
        <v>433.1</v>
      </c>
      <c r="L62" s="228">
        <v>3.75</v>
      </c>
      <c r="M62" s="229">
        <v>8.6999999999999994E-3</v>
      </c>
      <c r="N62" s="228">
        <v>434.85</v>
      </c>
      <c r="O62" s="228">
        <v>432.85</v>
      </c>
      <c r="P62" s="228">
        <v>2</v>
      </c>
      <c r="Q62" s="229">
        <v>4.5999999999999999E-3</v>
      </c>
      <c r="R62" s="228">
        <v>435.45</v>
      </c>
      <c r="S62" s="228">
        <v>433.35</v>
      </c>
      <c r="T62" s="228">
        <v>2.1</v>
      </c>
      <c r="U62" s="229">
        <v>4.7999999999999996E-3</v>
      </c>
      <c r="V62" s="228">
        <v>0</v>
      </c>
      <c r="W62" s="228">
        <v>0</v>
      </c>
      <c r="X62" s="228">
        <v>0</v>
      </c>
      <c r="Y62" s="229">
        <v>0</v>
      </c>
      <c r="Z62" s="228">
        <v>-2</v>
      </c>
      <c r="AA62" s="228">
        <v>-0.25</v>
      </c>
      <c r="AB62" s="228">
        <v>-1.75</v>
      </c>
      <c r="AC62" s="229">
        <v>-4.5999999999999999E-3</v>
      </c>
      <c r="AD62" s="228">
        <v>-2</v>
      </c>
      <c r="AE62" s="228">
        <v>-0.25</v>
      </c>
      <c r="AF62" s="228">
        <v>-1.75</v>
      </c>
      <c r="AG62" s="229">
        <v>-4.5999999999999999E-3</v>
      </c>
      <c r="AH62" s="228">
        <v>-1.4</v>
      </c>
      <c r="AI62" s="228">
        <v>0.25</v>
      </c>
      <c r="AJ62" s="228">
        <v>-1.65</v>
      </c>
      <c r="AK62" s="229">
        <v>-3.2000000000000002E-3</v>
      </c>
      <c r="AL62" s="228">
        <v>0</v>
      </c>
      <c r="AM62" s="228">
        <v>0</v>
      </c>
      <c r="AN62" s="228">
        <v>0</v>
      </c>
      <c r="AO62" s="229">
        <v>0</v>
      </c>
      <c r="AP62" s="228">
        <v>435.92</v>
      </c>
      <c r="AQ62" s="228">
        <v>436.19</v>
      </c>
      <c r="AR62" s="228">
        <v>0</v>
      </c>
      <c r="AS62" s="228">
        <v>328</v>
      </c>
      <c r="AT62" s="228">
        <v>111</v>
      </c>
      <c r="AU62" s="228">
        <v>217</v>
      </c>
      <c r="AV62" s="229">
        <v>1.9657</v>
      </c>
      <c r="AW62" s="228">
        <v>259</v>
      </c>
      <c r="AX62" s="228">
        <v>91</v>
      </c>
      <c r="AY62" s="228">
        <v>168</v>
      </c>
      <c r="AZ62" s="229">
        <v>1.8379000000000001</v>
      </c>
      <c r="BA62" s="228">
        <v>66</v>
      </c>
      <c r="BB62" s="228">
        <v>18</v>
      </c>
      <c r="BC62" s="228">
        <v>49</v>
      </c>
      <c r="BD62" s="229">
        <v>2.7744</v>
      </c>
      <c r="BE62" s="228">
        <v>0</v>
      </c>
      <c r="BF62" s="228">
        <v>0</v>
      </c>
      <c r="BG62" s="228">
        <v>0</v>
      </c>
      <c r="BH62" s="229">
        <v>0</v>
      </c>
      <c r="BI62" s="228">
        <v>675</v>
      </c>
      <c r="BJ62" s="228">
        <v>394</v>
      </c>
      <c r="BK62" s="228">
        <v>281</v>
      </c>
      <c r="BL62" s="229">
        <v>0.71409999999999996</v>
      </c>
      <c r="BM62" s="228">
        <v>344</v>
      </c>
      <c r="BN62" s="228">
        <v>163</v>
      </c>
      <c r="BO62" s="228">
        <v>181</v>
      </c>
      <c r="BP62" s="229">
        <v>1.1072</v>
      </c>
      <c r="BQ62" s="230">
        <v>1347</v>
      </c>
      <c r="BR62" s="228">
        <v>668</v>
      </c>
      <c r="BS62" s="228">
        <v>679</v>
      </c>
      <c r="BT62" s="229">
        <v>1.0176000000000001</v>
      </c>
      <c r="BU62" s="230">
        <v>3042539</v>
      </c>
      <c r="BV62" s="230">
        <v>1343922</v>
      </c>
      <c r="BW62" s="230">
        <v>1698617</v>
      </c>
      <c r="BX62" s="229">
        <v>1.2639</v>
      </c>
      <c r="BY62" s="228">
        <v>559</v>
      </c>
      <c r="BZ62" s="228">
        <v>517</v>
      </c>
      <c r="CA62" s="228">
        <v>42</v>
      </c>
      <c r="CB62" s="229">
        <v>8.2299999999999998E-2</v>
      </c>
      <c r="CC62" s="228">
        <v>494</v>
      </c>
      <c r="CD62" s="228">
        <v>466</v>
      </c>
      <c r="CE62" s="228">
        <v>28</v>
      </c>
      <c r="CF62" s="229">
        <v>6.0100000000000001E-2</v>
      </c>
      <c r="CG62" s="228">
        <v>61</v>
      </c>
      <c r="CH62" s="228">
        <v>46</v>
      </c>
      <c r="CI62" s="228">
        <v>15</v>
      </c>
      <c r="CJ62" s="229">
        <v>0.32040000000000002</v>
      </c>
      <c r="CK62" s="228">
        <v>0</v>
      </c>
      <c r="CL62" s="228">
        <v>0</v>
      </c>
      <c r="CM62" s="228">
        <v>0</v>
      </c>
      <c r="CN62" s="229">
        <v>0</v>
      </c>
      <c r="CO62" s="228">
        <v>297</v>
      </c>
      <c r="CP62" s="228">
        <v>312</v>
      </c>
      <c r="CQ62" s="228">
        <v>-15</v>
      </c>
      <c r="CR62" s="229">
        <v>-4.8300000000000003E-2</v>
      </c>
      <c r="CS62" s="228">
        <v>245</v>
      </c>
      <c r="CT62" s="228">
        <v>226</v>
      </c>
      <c r="CU62" s="228">
        <v>19</v>
      </c>
      <c r="CV62" s="229">
        <v>8.48E-2</v>
      </c>
      <c r="CW62" s="230">
        <v>1101</v>
      </c>
      <c r="CX62" s="230">
        <v>1054</v>
      </c>
      <c r="CY62" s="228">
        <v>47</v>
      </c>
      <c r="CZ62" s="229">
        <v>4.4200000000000003E-2</v>
      </c>
      <c r="DA62" s="228">
        <v>31.9</v>
      </c>
      <c r="DB62" s="228">
        <v>30.87</v>
      </c>
      <c r="DC62" s="228">
        <v>1.03</v>
      </c>
      <c r="DD62" s="228">
        <v>1.03</v>
      </c>
      <c r="DE62" s="228">
        <v>41.87</v>
      </c>
      <c r="DF62" s="228">
        <v>41.97</v>
      </c>
      <c r="DG62" s="228">
        <v>-9.9700000000000006</v>
      </c>
      <c r="DH62" s="228">
        <v>-0.1</v>
      </c>
      <c r="DI62" s="228">
        <v>33.64</v>
      </c>
      <c r="DJ62" s="228">
        <v>30.29</v>
      </c>
      <c r="DK62" s="228">
        <v>3.35</v>
      </c>
      <c r="DL62" s="228">
        <v>3.35</v>
      </c>
      <c r="DM62" s="228">
        <v>28.47</v>
      </c>
      <c r="DN62" s="228">
        <v>32.270000000000003</v>
      </c>
      <c r="DO62" s="228">
        <v>-3.8</v>
      </c>
      <c r="DP62" s="228">
        <v>-3.8</v>
      </c>
      <c r="DQ62" s="228">
        <v>0.82</v>
      </c>
      <c r="DR62" s="228">
        <v>0.72</v>
      </c>
      <c r="DS62" s="228">
        <v>0.1</v>
      </c>
      <c r="DT62" s="229">
        <v>0.1389</v>
      </c>
      <c r="DU62" s="228">
        <v>430</v>
      </c>
      <c r="DV62" s="228">
        <v>410</v>
      </c>
      <c r="DW62" s="228">
        <v>0.51</v>
      </c>
      <c r="DX62" s="228">
        <v>0.41</v>
      </c>
      <c r="DY62" s="228">
        <v>0.1</v>
      </c>
      <c r="DZ62" s="229">
        <v>0.24390000000000001</v>
      </c>
      <c r="EA62" s="229">
        <v>0.10970000000000001</v>
      </c>
      <c r="EB62" s="230">
        <v>1068625</v>
      </c>
      <c r="EC62" s="229">
        <v>1.4E-3</v>
      </c>
      <c r="ED62" s="229">
        <v>0.10970000000000001</v>
      </c>
      <c r="EE62" s="228">
        <v>0.27</v>
      </c>
      <c r="EF62" s="229">
        <v>5.9999999999999995E-4</v>
      </c>
      <c r="EG62" s="230">
        <v>1672818</v>
      </c>
      <c r="EH62" s="230">
        <v>677926</v>
      </c>
      <c r="EI62" s="229">
        <v>1.4676</v>
      </c>
      <c r="EJ62" s="229">
        <v>0.54979999999999996</v>
      </c>
      <c r="EK62" s="228">
        <v>695.56</v>
      </c>
      <c r="EL62" s="228">
        <v>341.5</v>
      </c>
      <c r="EM62" s="228">
        <v>328.93</v>
      </c>
      <c r="EN62" s="228">
        <v>0</v>
      </c>
      <c r="EO62" s="231">
        <v>1365.99</v>
      </c>
      <c r="EP62" s="228">
        <v>669.67</v>
      </c>
      <c r="EQ62" s="228">
        <v>696.32</v>
      </c>
      <c r="ER62" s="229">
        <v>1.0398000000000001</v>
      </c>
      <c r="ES62" s="228">
        <v>290.48</v>
      </c>
      <c r="ET62" s="228">
        <v>223.57</v>
      </c>
      <c r="EU62" s="228">
        <v>559.13</v>
      </c>
      <c r="EV62" s="231">
        <v>149116295</v>
      </c>
      <c r="EW62" s="231">
        <v>1073.18</v>
      </c>
      <c r="EX62" s="231">
        <v>1023.21</v>
      </c>
      <c r="EY62" s="228">
        <v>49.97</v>
      </c>
      <c r="EZ62" s="229">
        <v>4.8800000000000003E-2</v>
      </c>
      <c r="FA62" s="229">
        <v>0.16980000000000001</v>
      </c>
      <c r="FB62" s="227" t="s">
        <v>555</v>
      </c>
      <c r="FC62">
        <f t="shared" si="0"/>
        <v>65</v>
      </c>
    </row>
    <row r="63" spans="1:159" ht="17.25" thickBot="1" x14ac:dyDescent="0.3">
      <c r="A63" s="226">
        <v>45860</v>
      </c>
      <c r="B63" s="227" t="s">
        <v>170</v>
      </c>
      <c r="C63" s="227" t="s">
        <v>205</v>
      </c>
      <c r="D63" s="228">
        <v>100</v>
      </c>
      <c r="E63" s="228">
        <v>9</v>
      </c>
      <c r="F63" s="231">
        <v>6601</v>
      </c>
      <c r="G63" s="231">
        <v>6675.5</v>
      </c>
      <c r="H63" s="228">
        <v>-74.5</v>
      </c>
      <c r="I63" s="229">
        <v>-1.12E-2</v>
      </c>
      <c r="J63" s="231">
        <v>6613</v>
      </c>
      <c r="K63" s="231">
        <v>6688</v>
      </c>
      <c r="L63" s="228">
        <v>-75</v>
      </c>
      <c r="M63" s="229">
        <v>-1.12E-2</v>
      </c>
      <c r="N63" s="231">
        <v>6601</v>
      </c>
      <c r="O63" s="231">
        <v>6675.5</v>
      </c>
      <c r="P63" s="228">
        <v>-74.5</v>
      </c>
      <c r="Q63" s="229">
        <v>-1.12E-2</v>
      </c>
      <c r="R63" s="231">
        <v>6633</v>
      </c>
      <c r="S63" s="231">
        <v>6708.5</v>
      </c>
      <c r="T63" s="228">
        <v>-75.5</v>
      </c>
      <c r="U63" s="229">
        <v>-1.1299999999999999E-2</v>
      </c>
      <c r="V63" s="228">
        <v>0</v>
      </c>
      <c r="W63" s="228">
        <v>0</v>
      </c>
      <c r="X63" s="228">
        <v>0</v>
      </c>
      <c r="Y63" s="229">
        <v>0</v>
      </c>
      <c r="Z63" s="228">
        <v>-12</v>
      </c>
      <c r="AA63" s="228">
        <v>-12.5</v>
      </c>
      <c r="AB63" s="228">
        <v>0.5</v>
      </c>
      <c r="AC63" s="229">
        <v>-1.8E-3</v>
      </c>
      <c r="AD63" s="228">
        <v>-12</v>
      </c>
      <c r="AE63" s="228">
        <v>-12.5</v>
      </c>
      <c r="AF63" s="228">
        <v>0.5</v>
      </c>
      <c r="AG63" s="229">
        <v>-1.8E-3</v>
      </c>
      <c r="AH63" s="228">
        <v>20</v>
      </c>
      <c r="AI63" s="228">
        <v>20.5</v>
      </c>
      <c r="AJ63" s="228">
        <v>-0.5</v>
      </c>
      <c r="AK63" s="229">
        <v>3.0000000000000001E-3</v>
      </c>
      <c r="AL63" s="228">
        <v>0</v>
      </c>
      <c r="AM63" s="228">
        <v>0</v>
      </c>
      <c r="AN63" s="228">
        <v>0</v>
      </c>
      <c r="AO63" s="229">
        <v>0</v>
      </c>
      <c r="AP63" s="231">
        <v>6606.98</v>
      </c>
      <c r="AQ63" s="231">
        <v>6636.89</v>
      </c>
      <c r="AR63" s="228">
        <v>0</v>
      </c>
      <c r="AS63" s="228">
        <v>197</v>
      </c>
      <c r="AT63" s="228">
        <v>130</v>
      </c>
      <c r="AU63" s="228">
        <v>67</v>
      </c>
      <c r="AV63" s="229">
        <v>0.51749999999999996</v>
      </c>
      <c r="AW63" s="228">
        <v>135</v>
      </c>
      <c r="AX63" s="228">
        <v>113</v>
      </c>
      <c r="AY63" s="228">
        <v>22</v>
      </c>
      <c r="AZ63" s="229">
        <v>0.1991</v>
      </c>
      <c r="BA63" s="228">
        <v>58</v>
      </c>
      <c r="BB63" s="228">
        <v>16</v>
      </c>
      <c r="BC63" s="228">
        <v>42</v>
      </c>
      <c r="BD63" s="229">
        <v>2.6404999999999998</v>
      </c>
      <c r="BE63" s="228">
        <v>0</v>
      </c>
      <c r="BF63" s="228">
        <v>0</v>
      </c>
      <c r="BG63" s="228">
        <v>0</v>
      </c>
      <c r="BH63" s="229">
        <v>0</v>
      </c>
      <c r="BI63" s="228">
        <v>624</v>
      </c>
      <c r="BJ63" s="228">
        <v>492</v>
      </c>
      <c r="BK63" s="228">
        <v>132</v>
      </c>
      <c r="BL63" s="229">
        <v>0.26910000000000001</v>
      </c>
      <c r="BM63" s="228">
        <v>298</v>
      </c>
      <c r="BN63" s="228">
        <v>249</v>
      </c>
      <c r="BO63" s="228">
        <v>48</v>
      </c>
      <c r="BP63" s="229">
        <v>0.19400000000000001</v>
      </c>
      <c r="BQ63" s="230">
        <v>1119</v>
      </c>
      <c r="BR63" s="228">
        <v>871</v>
      </c>
      <c r="BS63" s="228">
        <v>248</v>
      </c>
      <c r="BT63" s="229">
        <v>0.28460000000000002</v>
      </c>
      <c r="BU63" s="230">
        <v>275078</v>
      </c>
      <c r="BV63" s="230">
        <v>153967</v>
      </c>
      <c r="BW63" s="230">
        <v>121111</v>
      </c>
      <c r="BX63" s="229">
        <v>0.78659999999999997</v>
      </c>
      <c r="BY63" s="230">
        <v>1925</v>
      </c>
      <c r="BZ63" s="230">
        <v>1902</v>
      </c>
      <c r="CA63" s="228">
        <v>23</v>
      </c>
      <c r="CB63" s="229">
        <v>1.21E-2</v>
      </c>
      <c r="CC63" s="230">
        <v>1849</v>
      </c>
      <c r="CD63" s="230">
        <v>1850</v>
      </c>
      <c r="CE63" s="228">
        <v>-1</v>
      </c>
      <c r="CF63" s="229">
        <v>-5.0000000000000001E-4</v>
      </c>
      <c r="CG63" s="228">
        <v>64</v>
      </c>
      <c r="CH63" s="228">
        <v>41</v>
      </c>
      <c r="CI63" s="228">
        <v>23</v>
      </c>
      <c r="CJ63" s="229">
        <v>0.57169999999999999</v>
      </c>
      <c r="CK63" s="228">
        <v>0</v>
      </c>
      <c r="CL63" s="228">
        <v>0</v>
      </c>
      <c r="CM63" s="228">
        <v>0</v>
      </c>
      <c r="CN63" s="229">
        <v>0</v>
      </c>
      <c r="CO63" s="228">
        <v>829</v>
      </c>
      <c r="CP63" s="228">
        <v>824</v>
      </c>
      <c r="CQ63" s="228">
        <v>5</v>
      </c>
      <c r="CR63" s="229">
        <v>6.3E-3</v>
      </c>
      <c r="CS63" s="228">
        <v>451</v>
      </c>
      <c r="CT63" s="228">
        <v>459</v>
      </c>
      <c r="CU63" s="228">
        <v>-8</v>
      </c>
      <c r="CV63" s="229">
        <v>-1.7399999999999999E-2</v>
      </c>
      <c r="CW63" s="230">
        <v>3205</v>
      </c>
      <c r="CX63" s="230">
        <v>3185</v>
      </c>
      <c r="CY63" s="228">
        <v>20</v>
      </c>
      <c r="CZ63" s="229">
        <v>6.3E-3</v>
      </c>
      <c r="DA63" s="228">
        <v>23.88</v>
      </c>
      <c r="DB63" s="228">
        <v>24.12</v>
      </c>
      <c r="DC63" s="228">
        <v>-0.24</v>
      </c>
      <c r="DD63" s="228">
        <v>-0.24</v>
      </c>
      <c r="DE63" s="228">
        <v>32.14</v>
      </c>
      <c r="DF63" s="228">
        <v>32.18</v>
      </c>
      <c r="DG63" s="228">
        <v>-8.26</v>
      </c>
      <c r="DH63" s="228">
        <v>-0.04</v>
      </c>
      <c r="DI63" s="228">
        <v>25.19</v>
      </c>
      <c r="DJ63" s="228">
        <v>24.82</v>
      </c>
      <c r="DK63" s="228">
        <v>0.37</v>
      </c>
      <c r="DL63" s="228">
        <v>0.37</v>
      </c>
      <c r="DM63" s="228">
        <v>21.15</v>
      </c>
      <c r="DN63" s="228">
        <v>22.74</v>
      </c>
      <c r="DO63" s="228">
        <v>-1.59</v>
      </c>
      <c r="DP63" s="228">
        <v>-1.59</v>
      </c>
      <c r="DQ63" s="228">
        <v>0.54</v>
      </c>
      <c r="DR63" s="228">
        <v>0.56000000000000005</v>
      </c>
      <c r="DS63" s="228">
        <v>-0.02</v>
      </c>
      <c r="DT63" s="229">
        <v>-3.5700000000000003E-2</v>
      </c>
      <c r="DU63" s="231">
        <v>7200</v>
      </c>
      <c r="DV63" s="231">
        <v>6300</v>
      </c>
      <c r="DW63" s="228">
        <v>0.48</v>
      </c>
      <c r="DX63" s="228">
        <v>0.51</v>
      </c>
      <c r="DY63" s="228">
        <v>-0.03</v>
      </c>
      <c r="DZ63" s="229">
        <v>-5.8799999999999998E-2</v>
      </c>
      <c r="EA63" s="229">
        <v>3.3500000000000002E-2</v>
      </c>
      <c r="EB63" s="230">
        <v>62100</v>
      </c>
      <c r="EC63" s="229">
        <v>4.7999999999999996E-3</v>
      </c>
      <c r="ED63" s="229">
        <v>3.3500000000000002E-2</v>
      </c>
      <c r="EE63" s="228">
        <v>29.91</v>
      </c>
      <c r="EF63" s="229">
        <v>4.4999999999999997E-3</v>
      </c>
      <c r="EG63" s="230">
        <v>167107</v>
      </c>
      <c r="EH63" s="230">
        <v>85349</v>
      </c>
      <c r="EI63" s="229">
        <v>0.95789999999999997</v>
      </c>
      <c r="EJ63" s="229">
        <v>0.60750000000000004</v>
      </c>
      <c r="EK63" s="228">
        <v>654.36</v>
      </c>
      <c r="EL63" s="228">
        <v>299.55</v>
      </c>
      <c r="EM63" s="228">
        <v>197.72</v>
      </c>
      <c r="EN63" s="228">
        <v>0</v>
      </c>
      <c r="EO63" s="231">
        <v>1151.6300000000001</v>
      </c>
      <c r="EP63" s="228">
        <v>903.58</v>
      </c>
      <c r="EQ63" s="228">
        <v>248.05</v>
      </c>
      <c r="ER63" s="229">
        <v>0.27450000000000002</v>
      </c>
      <c r="ES63" s="228">
        <v>891.19</v>
      </c>
      <c r="ET63" s="228">
        <v>438.39</v>
      </c>
      <c r="EU63" s="231">
        <v>1925.81</v>
      </c>
      <c r="EV63" s="231">
        <v>25542698</v>
      </c>
      <c r="EW63" s="231">
        <v>3255.39</v>
      </c>
      <c r="EX63" s="231">
        <v>3259.5</v>
      </c>
      <c r="EY63" s="228">
        <v>-4.1100000000000003</v>
      </c>
      <c r="EZ63" s="229">
        <v>-1.2999999999999999E-3</v>
      </c>
      <c r="FA63" s="229">
        <v>0.19009999999999999</v>
      </c>
      <c r="FB63" s="227" t="s">
        <v>567</v>
      </c>
      <c r="FC63">
        <f t="shared" si="0"/>
        <v>76</v>
      </c>
    </row>
    <row r="64" spans="1:159" ht="17.25" thickBot="1" x14ac:dyDescent="0.3">
      <c r="A64" s="226">
        <v>45860</v>
      </c>
      <c r="B64" s="227" t="s">
        <v>184</v>
      </c>
      <c r="C64" s="227" t="s">
        <v>512</v>
      </c>
      <c r="D64" s="228">
        <v>50</v>
      </c>
      <c r="E64" s="228">
        <v>9</v>
      </c>
      <c r="F64" s="231">
        <v>16134</v>
      </c>
      <c r="G64" s="231">
        <v>16335</v>
      </c>
      <c r="H64" s="228">
        <v>-201</v>
      </c>
      <c r="I64" s="229">
        <v>-1.23E-2</v>
      </c>
      <c r="J64" s="231">
        <v>16112</v>
      </c>
      <c r="K64" s="231">
        <v>16281</v>
      </c>
      <c r="L64" s="228">
        <v>-169</v>
      </c>
      <c r="M64" s="229">
        <v>-1.04E-2</v>
      </c>
      <c r="N64" s="231">
        <v>16134</v>
      </c>
      <c r="O64" s="231">
        <v>16335</v>
      </c>
      <c r="P64" s="228">
        <v>-201</v>
      </c>
      <c r="Q64" s="229">
        <v>-1.23E-2</v>
      </c>
      <c r="R64" s="231">
        <v>16201</v>
      </c>
      <c r="S64" s="231">
        <v>16412</v>
      </c>
      <c r="T64" s="228">
        <v>-211</v>
      </c>
      <c r="U64" s="229">
        <v>-1.29E-2</v>
      </c>
      <c r="V64" s="228">
        <v>0</v>
      </c>
      <c r="W64" s="228">
        <v>0</v>
      </c>
      <c r="X64" s="228">
        <v>0</v>
      </c>
      <c r="Y64" s="229">
        <v>0</v>
      </c>
      <c r="Z64" s="228">
        <v>22</v>
      </c>
      <c r="AA64" s="228">
        <v>54</v>
      </c>
      <c r="AB64" s="228">
        <v>-32</v>
      </c>
      <c r="AC64" s="229">
        <v>1.4E-3</v>
      </c>
      <c r="AD64" s="228">
        <v>22</v>
      </c>
      <c r="AE64" s="228">
        <v>54</v>
      </c>
      <c r="AF64" s="228">
        <v>-32</v>
      </c>
      <c r="AG64" s="229">
        <v>1.4E-3</v>
      </c>
      <c r="AH64" s="228">
        <v>89</v>
      </c>
      <c r="AI64" s="228">
        <v>131</v>
      </c>
      <c r="AJ64" s="228">
        <v>-42</v>
      </c>
      <c r="AK64" s="229">
        <v>5.4999999999999997E-3</v>
      </c>
      <c r="AL64" s="228">
        <v>0</v>
      </c>
      <c r="AM64" s="228">
        <v>0</v>
      </c>
      <c r="AN64" s="228">
        <v>0</v>
      </c>
      <c r="AO64" s="229">
        <v>0</v>
      </c>
      <c r="AP64" s="231">
        <v>16193.44</v>
      </c>
      <c r="AQ64" s="231">
        <v>16280.59</v>
      </c>
      <c r="AR64" s="228">
        <v>0</v>
      </c>
      <c r="AS64" s="228">
        <v>949</v>
      </c>
      <c r="AT64" s="230">
        <v>1180</v>
      </c>
      <c r="AU64" s="228">
        <v>-231</v>
      </c>
      <c r="AV64" s="229">
        <v>-0.19550000000000001</v>
      </c>
      <c r="AW64" s="228">
        <v>810</v>
      </c>
      <c r="AX64" s="230">
        <v>1019</v>
      </c>
      <c r="AY64" s="228">
        <v>-210</v>
      </c>
      <c r="AZ64" s="229">
        <v>-0.20580000000000001</v>
      </c>
      <c r="BA64" s="228">
        <v>133</v>
      </c>
      <c r="BB64" s="228">
        <v>143</v>
      </c>
      <c r="BC64" s="228">
        <v>-10</v>
      </c>
      <c r="BD64" s="229">
        <v>-6.83E-2</v>
      </c>
      <c r="BE64" s="228">
        <v>0</v>
      </c>
      <c r="BF64" s="228">
        <v>0</v>
      </c>
      <c r="BG64" s="228">
        <v>0</v>
      </c>
      <c r="BH64" s="229">
        <v>0</v>
      </c>
      <c r="BI64" s="230">
        <v>4072</v>
      </c>
      <c r="BJ64" s="230">
        <v>4418</v>
      </c>
      <c r="BK64" s="228">
        <v>-346</v>
      </c>
      <c r="BL64" s="229">
        <v>-7.8299999999999995E-2</v>
      </c>
      <c r="BM64" s="230">
        <v>2759</v>
      </c>
      <c r="BN64" s="230">
        <v>2213</v>
      </c>
      <c r="BO64" s="228">
        <v>546</v>
      </c>
      <c r="BP64" s="229">
        <v>0.24660000000000001</v>
      </c>
      <c r="BQ64" s="230">
        <v>7780</v>
      </c>
      <c r="BR64" s="230">
        <v>7811</v>
      </c>
      <c r="BS64" s="228">
        <v>-31</v>
      </c>
      <c r="BT64" s="229">
        <v>-4.0000000000000001E-3</v>
      </c>
      <c r="BU64" s="230">
        <v>323846</v>
      </c>
      <c r="BV64" s="230">
        <v>558302</v>
      </c>
      <c r="BW64" s="230">
        <v>-234456</v>
      </c>
      <c r="BX64" s="229">
        <v>-0.4199</v>
      </c>
      <c r="BY64" s="230">
        <v>2763</v>
      </c>
      <c r="BZ64" s="230">
        <v>2730</v>
      </c>
      <c r="CA64" s="228">
        <v>33</v>
      </c>
      <c r="CB64" s="229">
        <v>1.2200000000000001E-2</v>
      </c>
      <c r="CC64" s="230">
        <v>2511</v>
      </c>
      <c r="CD64" s="230">
        <v>2522</v>
      </c>
      <c r="CE64" s="228">
        <v>-11</v>
      </c>
      <c r="CF64" s="229">
        <v>-4.4000000000000003E-3</v>
      </c>
      <c r="CG64" s="228">
        <v>222</v>
      </c>
      <c r="CH64" s="228">
        <v>179</v>
      </c>
      <c r="CI64" s="228">
        <v>43</v>
      </c>
      <c r="CJ64" s="229">
        <v>0.23949999999999999</v>
      </c>
      <c r="CK64" s="228">
        <v>0</v>
      </c>
      <c r="CL64" s="228">
        <v>0</v>
      </c>
      <c r="CM64" s="228">
        <v>0</v>
      </c>
      <c r="CN64" s="229">
        <v>0</v>
      </c>
      <c r="CO64" s="230">
        <v>2228</v>
      </c>
      <c r="CP64" s="230">
        <v>1739</v>
      </c>
      <c r="CQ64" s="228">
        <v>489</v>
      </c>
      <c r="CR64" s="229">
        <v>0.28089999999999998</v>
      </c>
      <c r="CS64" s="230">
        <v>1786</v>
      </c>
      <c r="CT64" s="230">
        <v>1534</v>
      </c>
      <c r="CU64" s="228">
        <v>252</v>
      </c>
      <c r="CV64" s="229">
        <v>0.16420000000000001</v>
      </c>
      <c r="CW64" s="230">
        <v>6777</v>
      </c>
      <c r="CX64" s="230">
        <v>6003</v>
      </c>
      <c r="CY64" s="228">
        <v>774</v>
      </c>
      <c r="CZ64" s="229">
        <v>0.12889999999999999</v>
      </c>
      <c r="DA64" s="228">
        <v>50.77</v>
      </c>
      <c r="DB64" s="228">
        <v>47.3</v>
      </c>
      <c r="DC64" s="228">
        <v>3.47</v>
      </c>
      <c r="DD64" s="228">
        <v>3.47</v>
      </c>
      <c r="DE64" s="228">
        <v>48.47</v>
      </c>
      <c r="DF64" s="228">
        <v>48.57</v>
      </c>
      <c r="DG64" s="228">
        <v>2.2999999999999998</v>
      </c>
      <c r="DH64" s="228">
        <v>-0.1</v>
      </c>
      <c r="DI64" s="228">
        <v>50.21</v>
      </c>
      <c r="DJ64" s="228">
        <v>46.59</v>
      </c>
      <c r="DK64" s="228">
        <v>3.62</v>
      </c>
      <c r="DL64" s="228">
        <v>3.62</v>
      </c>
      <c r="DM64" s="228">
        <v>51.61</v>
      </c>
      <c r="DN64" s="228">
        <v>48.73</v>
      </c>
      <c r="DO64" s="228">
        <v>2.88</v>
      </c>
      <c r="DP64" s="228">
        <v>2.88</v>
      </c>
      <c r="DQ64" s="228">
        <v>0.8</v>
      </c>
      <c r="DR64" s="228">
        <v>0.88</v>
      </c>
      <c r="DS64" s="228">
        <v>-0.08</v>
      </c>
      <c r="DT64" s="229">
        <v>-9.0899999999999995E-2</v>
      </c>
      <c r="DU64" s="231">
        <v>17000</v>
      </c>
      <c r="DV64" s="231">
        <v>15000</v>
      </c>
      <c r="DW64" s="228">
        <v>0.68</v>
      </c>
      <c r="DX64" s="228">
        <v>0.5</v>
      </c>
      <c r="DY64" s="228">
        <v>0.18</v>
      </c>
      <c r="DZ64" s="229">
        <v>0.36</v>
      </c>
      <c r="EA64" s="229">
        <v>8.0199999999999994E-2</v>
      </c>
      <c r="EB64" s="230">
        <v>110850</v>
      </c>
      <c r="EC64" s="229">
        <v>4.1999999999999997E-3</v>
      </c>
      <c r="ED64" s="229">
        <v>8.0199999999999994E-2</v>
      </c>
      <c r="EE64" s="228">
        <v>87.15</v>
      </c>
      <c r="EF64" s="229">
        <v>5.4000000000000003E-3</v>
      </c>
      <c r="EG64" s="230">
        <v>133981</v>
      </c>
      <c r="EH64" s="230">
        <v>206050</v>
      </c>
      <c r="EI64" s="229">
        <v>-0.3498</v>
      </c>
      <c r="EJ64" s="229">
        <v>0.41370000000000001</v>
      </c>
      <c r="EK64" s="231">
        <v>4355.18</v>
      </c>
      <c r="EL64" s="231">
        <v>2660.11</v>
      </c>
      <c r="EM64" s="228">
        <v>953.76</v>
      </c>
      <c r="EN64" s="228">
        <v>0</v>
      </c>
      <c r="EO64" s="231">
        <v>7969.06</v>
      </c>
      <c r="EP64" s="231">
        <v>8026.61</v>
      </c>
      <c r="EQ64" s="228">
        <v>-57.56</v>
      </c>
      <c r="ER64" s="229">
        <v>-7.1999999999999998E-3</v>
      </c>
      <c r="ES64" s="231">
        <v>2282.89</v>
      </c>
      <c r="ET64" s="231">
        <v>1628.13</v>
      </c>
      <c r="EU64" s="231">
        <v>2764.16</v>
      </c>
      <c r="EV64" s="231">
        <v>8159946</v>
      </c>
      <c r="EW64" s="231">
        <v>6675.18</v>
      </c>
      <c r="EX64" s="231">
        <v>5923.09</v>
      </c>
      <c r="EY64" s="228">
        <v>752.09</v>
      </c>
      <c r="EZ64" s="229">
        <v>0.127</v>
      </c>
      <c r="FA64" s="229">
        <v>0.51480000000000004</v>
      </c>
      <c r="FB64" s="227" t="s">
        <v>567</v>
      </c>
      <c r="FC64">
        <f t="shared" si="0"/>
        <v>252</v>
      </c>
    </row>
    <row r="65" spans="1:159" ht="17.25" thickBot="1" x14ac:dyDescent="0.3">
      <c r="A65" s="226">
        <v>45860</v>
      </c>
      <c r="B65" s="227" t="s">
        <v>206</v>
      </c>
      <c r="C65" s="227" t="s">
        <v>207</v>
      </c>
      <c r="D65" s="228">
        <v>825</v>
      </c>
      <c r="E65" s="228">
        <v>9</v>
      </c>
      <c r="F65" s="228">
        <v>839.85</v>
      </c>
      <c r="G65" s="228">
        <v>847.7</v>
      </c>
      <c r="H65" s="228">
        <v>-7.85</v>
      </c>
      <c r="I65" s="229">
        <v>-9.2999999999999992E-3</v>
      </c>
      <c r="J65" s="228">
        <v>845.5</v>
      </c>
      <c r="K65" s="228">
        <v>852.6</v>
      </c>
      <c r="L65" s="228">
        <v>-7.1</v>
      </c>
      <c r="M65" s="229">
        <v>-8.3000000000000001E-3</v>
      </c>
      <c r="N65" s="228">
        <v>839.85</v>
      </c>
      <c r="O65" s="228">
        <v>847.7</v>
      </c>
      <c r="P65" s="228">
        <v>-7.85</v>
      </c>
      <c r="Q65" s="229">
        <v>-9.2999999999999992E-3</v>
      </c>
      <c r="R65" s="228">
        <v>843.3</v>
      </c>
      <c r="S65" s="228">
        <v>851.4</v>
      </c>
      <c r="T65" s="228">
        <v>-8.1</v>
      </c>
      <c r="U65" s="229">
        <v>-9.4999999999999998E-3</v>
      </c>
      <c r="V65" s="228">
        <v>0</v>
      </c>
      <c r="W65" s="228">
        <v>0</v>
      </c>
      <c r="X65" s="228">
        <v>0</v>
      </c>
      <c r="Y65" s="229">
        <v>0</v>
      </c>
      <c r="Z65" s="228">
        <v>-5.65</v>
      </c>
      <c r="AA65" s="228">
        <v>-4.9000000000000004</v>
      </c>
      <c r="AB65" s="228">
        <v>-0.75</v>
      </c>
      <c r="AC65" s="229">
        <v>-6.7000000000000002E-3</v>
      </c>
      <c r="AD65" s="228">
        <v>-5.65</v>
      </c>
      <c r="AE65" s="228">
        <v>-4.9000000000000004</v>
      </c>
      <c r="AF65" s="228">
        <v>-0.75</v>
      </c>
      <c r="AG65" s="229">
        <v>-6.7000000000000002E-3</v>
      </c>
      <c r="AH65" s="228">
        <v>-2.2000000000000002</v>
      </c>
      <c r="AI65" s="228">
        <v>-1.2</v>
      </c>
      <c r="AJ65" s="228">
        <v>-1</v>
      </c>
      <c r="AK65" s="229">
        <v>-2.5999999999999999E-3</v>
      </c>
      <c r="AL65" s="228">
        <v>0</v>
      </c>
      <c r="AM65" s="228">
        <v>0</v>
      </c>
      <c r="AN65" s="228">
        <v>0</v>
      </c>
      <c r="AO65" s="229">
        <v>0</v>
      </c>
      <c r="AP65" s="228">
        <v>840.6</v>
      </c>
      <c r="AQ65" s="228">
        <v>844.43</v>
      </c>
      <c r="AR65" s="228">
        <v>0</v>
      </c>
      <c r="AS65" s="228">
        <v>439</v>
      </c>
      <c r="AT65" s="228">
        <v>334</v>
      </c>
      <c r="AU65" s="228">
        <v>105</v>
      </c>
      <c r="AV65" s="229">
        <v>0.31490000000000001</v>
      </c>
      <c r="AW65" s="228">
        <v>360</v>
      </c>
      <c r="AX65" s="228">
        <v>284</v>
      </c>
      <c r="AY65" s="228">
        <v>76</v>
      </c>
      <c r="AZ65" s="229">
        <v>0.26779999999999998</v>
      </c>
      <c r="BA65" s="228">
        <v>76</v>
      </c>
      <c r="BB65" s="228">
        <v>47</v>
      </c>
      <c r="BC65" s="228">
        <v>28</v>
      </c>
      <c r="BD65" s="229">
        <v>0.60119999999999996</v>
      </c>
      <c r="BE65" s="228">
        <v>0</v>
      </c>
      <c r="BF65" s="228">
        <v>0</v>
      </c>
      <c r="BG65" s="228">
        <v>0</v>
      </c>
      <c r="BH65" s="229">
        <v>0</v>
      </c>
      <c r="BI65" s="230">
        <v>1243</v>
      </c>
      <c r="BJ65" s="230">
        <v>1071</v>
      </c>
      <c r="BK65" s="228">
        <v>172</v>
      </c>
      <c r="BL65" s="229">
        <v>0.16089999999999999</v>
      </c>
      <c r="BM65" s="228">
        <v>620</v>
      </c>
      <c r="BN65" s="228">
        <v>479</v>
      </c>
      <c r="BO65" s="228">
        <v>141</v>
      </c>
      <c r="BP65" s="229">
        <v>0.29399999999999998</v>
      </c>
      <c r="BQ65" s="230">
        <v>2302</v>
      </c>
      <c r="BR65" s="230">
        <v>1884</v>
      </c>
      <c r="BS65" s="228">
        <v>418</v>
      </c>
      <c r="BT65" s="229">
        <v>0.222</v>
      </c>
      <c r="BU65" s="230">
        <v>2635750</v>
      </c>
      <c r="BV65" s="230">
        <v>1608796</v>
      </c>
      <c r="BW65" s="230">
        <v>1026954</v>
      </c>
      <c r="BX65" s="229">
        <v>0.63829999999999998</v>
      </c>
      <c r="BY65" s="230">
        <v>3950</v>
      </c>
      <c r="BZ65" s="230">
        <v>3968</v>
      </c>
      <c r="CA65" s="228">
        <v>-18</v>
      </c>
      <c r="CB65" s="229">
        <v>-4.4999999999999997E-3</v>
      </c>
      <c r="CC65" s="230">
        <v>2607</v>
      </c>
      <c r="CD65" s="230">
        <v>2631</v>
      </c>
      <c r="CE65" s="228">
        <v>-24</v>
      </c>
      <c r="CF65" s="229">
        <v>-9.2999999999999992E-3</v>
      </c>
      <c r="CG65" s="230">
        <v>1324</v>
      </c>
      <c r="CH65" s="230">
        <v>1318</v>
      </c>
      <c r="CI65" s="228">
        <v>5</v>
      </c>
      <c r="CJ65" s="229">
        <v>3.8999999999999998E-3</v>
      </c>
      <c r="CK65" s="228">
        <v>0</v>
      </c>
      <c r="CL65" s="228">
        <v>0</v>
      </c>
      <c r="CM65" s="228">
        <v>0</v>
      </c>
      <c r="CN65" s="229">
        <v>0</v>
      </c>
      <c r="CO65" s="230">
        <v>1440</v>
      </c>
      <c r="CP65" s="230">
        <v>1466</v>
      </c>
      <c r="CQ65" s="228">
        <v>-27</v>
      </c>
      <c r="CR65" s="229">
        <v>-1.8200000000000001E-2</v>
      </c>
      <c r="CS65" s="228">
        <v>806</v>
      </c>
      <c r="CT65" s="228">
        <v>816</v>
      </c>
      <c r="CU65" s="228">
        <v>-10</v>
      </c>
      <c r="CV65" s="229">
        <v>-1.2200000000000001E-2</v>
      </c>
      <c r="CW65" s="230">
        <v>6196</v>
      </c>
      <c r="CX65" s="230">
        <v>6250</v>
      </c>
      <c r="CY65" s="228">
        <v>-54</v>
      </c>
      <c r="CZ65" s="229">
        <v>-8.6999999999999994E-3</v>
      </c>
      <c r="DA65" s="228">
        <v>30.46</v>
      </c>
      <c r="DB65" s="228">
        <v>30.82</v>
      </c>
      <c r="DC65" s="228">
        <v>-0.36</v>
      </c>
      <c r="DD65" s="228">
        <v>-0.36</v>
      </c>
      <c r="DE65" s="228">
        <v>39.96</v>
      </c>
      <c r="DF65" s="228">
        <v>40.049999999999997</v>
      </c>
      <c r="DG65" s="228">
        <v>-9.5</v>
      </c>
      <c r="DH65" s="228">
        <v>-0.09</v>
      </c>
      <c r="DI65" s="228">
        <v>30.46</v>
      </c>
      <c r="DJ65" s="228">
        <v>30.85</v>
      </c>
      <c r="DK65" s="228">
        <v>-0.39</v>
      </c>
      <c r="DL65" s="228">
        <v>-0.39</v>
      </c>
      <c r="DM65" s="228">
        <v>30.47</v>
      </c>
      <c r="DN65" s="228">
        <v>30.77</v>
      </c>
      <c r="DO65" s="228">
        <v>-0.3</v>
      </c>
      <c r="DP65" s="228">
        <v>-0.3</v>
      </c>
      <c r="DQ65" s="228">
        <v>0.56000000000000005</v>
      </c>
      <c r="DR65" s="228">
        <v>0.56000000000000005</v>
      </c>
      <c r="DS65" s="228">
        <v>0</v>
      </c>
      <c r="DT65" s="229">
        <v>0</v>
      </c>
      <c r="DU65" s="228">
        <v>850</v>
      </c>
      <c r="DV65" s="228">
        <v>840</v>
      </c>
      <c r="DW65" s="228">
        <v>0.5</v>
      </c>
      <c r="DX65" s="228">
        <v>0.45</v>
      </c>
      <c r="DY65" s="228">
        <v>0.05</v>
      </c>
      <c r="DZ65" s="229">
        <v>0.1111</v>
      </c>
      <c r="EA65" s="229">
        <v>0.33510000000000001</v>
      </c>
      <c r="EB65" s="230">
        <v>15697275</v>
      </c>
      <c r="EC65" s="229">
        <v>4.1000000000000003E-3</v>
      </c>
      <c r="ED65" s="229">
        <v>0.33510000000000001</v>
      </c>
      <c r="EE65" s="228">
        <v>3.83</v>
      </c>
      <c r="EF65" s="229">
        <v>4.5999999999999999E-3</v>
      </c>
      <c r="EG65" s="230">
        <v>1407590</v>
      </c>
      <c r="EH65" s="230">
        <v>874996</v>
      </c>
      <c r="EI65" s="229">
        <v>0.60870000000000002</v>
      </c>
      <c r="EJ65" s="229">
        <v>0.53400000000000003</v>
      </c>
      <c r="EK65" s="231">
        <v>1292.67</v>
      </c>
      <c r="EL65" s="228">
        <v>620.42999999999995</v>
      </c>
      <c r="EM65" s="228">
        <v>439.92</v>
      </c>
      <c r="EN65" s="228">
        <v>0</v>
      </c>
      <c r="EO65" s="231">
        <v>2353.02</v>
      </c>
      <c r="EP65" s="231">
        <v>1926.99</v>
      </c>
      <c r="EQ65" s="228">
        <v>426.03</v>
      </c>
      <c r="ER65" s="229">
        <v>0.22109999999999999</v>
      </c>
      <c r="ES65" s="231">
        <v>1486.08</v>
      </c>
      <c r="ET65" s="228">
        <v>777.23</v>
      </c>
      <c r="EU65" s="231">
        <v>3955.51</v>
      </c>
      <c r="EV65" s="231">
        <v>128335464</v>
      </c>
      <c r="EW65" s="231">
        <v>6218.82</v>
      </c>
      <c r="EX65" s="231">
        <v>6313.05</v>
      </c>
      <c r="EY65" s="228">
        <v>-94.23</v>
      </c>
      <c r="EZ65" s="229">
        <v>-1.49E-2</v>
      </c>
      <c r="FA65" s="229">
        <v>0.57479999999999998</v>
      </c>
      <c r="FB65" s="227" t="s">
        <v>568</v>
      </c>
      <c r="FC65">
        <f t="shared" si="0"/>
        <v>1343</v>
      </c>
    </row>
    <row r="66" spans="1:159" ht="17.25" thickBot="1" x14ac:dyDescent="0.3">
      <c r="A66" s="226">
        <v>45860</v>
      </c>
      <c r="B66" s="227" t="s">
        <v>616</v>
      </c>
      <c r="C66" s="227" t="s">
        <v>584</v>
      </c>
      <c r="D66" s="228">
        <v>150</v>
      </c>
      <c r="E66" s="228">
        <v>9</v>
      </c>
      <c r="F66" s="231">
        <v>4044.2</v>
      </c>
      <c r="G66" s="231">
        <v>4030.5</v>
      </c>
      <c r="H66" s="228">
        <v>13.7</v>
      </c>
      <c r="I66" s="229">
        <v>3.3999999999999998E-3</v>
      </c>
      <c r="J66" s="231">
        <v>4033.3</v>
      </c>
      <c r="K66" s="231">
        <v>4023.7</v>
      </c>
      <c r="L66" s="228">
        <v>9.6</v>
      </c>
      <c r="M66" s="229">
        <v>2.3999999999999998E-3</v>
      </c>
      <c r="N66" s="231">
        <v>4044.2</v>
      </c>
      <c r="O66" s="231">
        <v>4030.5</v>
      </c>
      <c r="P66" s="228">
        <v>13.7</v>
      </c>
      <c r="Q66" s="229">
        <v>3.3999999999999998E-3</v>
      </c>
      <c r="R66" s="231">
        <v>4049.5</v>
      </c>
      <c r="S66" s="231">
        <v>4033.8</v>
      </c>
      <c r="T66" s="228">
        <v>15.7</v>
      </c>
      <c r="U66" s="229">
        <v>3.8999999999999998E-3</v>
      </c>
      <c r="V66" s="228">
        <v>0</v>
      </c>
      <c r="W66" s="228">
        <v>0</v>
      </c>
      <c r="X66" s="228">
        <v>0</v>
      </c>
      <c r="Y66" s="229">
        <v>0</v>
      </c>
      <c r="Z66" s="228">
        <v>10.9</v>
      </c>
      <c r="AA66" s="228">
        <v>6.8</v>
      </c>
      <c r="AB66" s="228">
        <v>4.0999999999999996</v>
      </c>
      <c r="AC66" s="229">
        <v>2.7000000000000001E-3</v>
      </c>
      <c r="AD66" s="228">
        <v>10.9</v>
      </c>
      <c r="AE66" s="228">
        <v>6.8</v>
      </c>
      <c r="AF66" s="228">
        <v>4.0999999999999996</v>
      </c>
      <c r="AG66" s="229">
        <v>2.7000000000000001E-3</v>
      </c>
      <c r="AH66" s="228">
        <v>16.2</v>
      </c>
      <c r="AI66" s="228">
        <v>10.1</v>
      </c>
      <c r="AJ66" s="228">
        <v>6.1</v>
      </c>
      <c r="AK66" s="229">
        <v>4.0000000000000001E-3</v>
      </c>
      <c r="AL66" s="228">
        <v>0</v>
      </c>
      <c r="AM66" s="228">
        <v>0</v>
      </c>
      <c r="AN66" s="228">
        <v>0</v>
      </c>
      <c r="AO66" s="229">
        <v>0</v>
      </c>
      <c r="AP66" s="231">
        <v>4045.88</v>
      </c>
      <c r="AQ66" s="231">
        <v>4048.57</v>
      </c>
      <c r="AR66" s="228">
        <v>0</v>
      </c>
      <c r="AS66" s="228">
        <v>244</v>
      </c>
      <c r="AT66" s="228">
        <v>145</v>
      </c>
      <c r="AU66" s="228">
        <v>99</v>
      </c>
      <c r="AV66" s="229">
        <v>0.68389999999999995</v>
      </c>
      <c r="AW66" s="228">
        <v>198</v>
      </c>
      <c r="AX66" s="228">
        <v>121</v>
      </c>
      <c r="AY66" s="228">
        <v>77</v>
      </c>
      <c r="AZ66" s="229">
        <v>0.63380000000000003</v>
      </c>
      <c r="BA66" s="228">
        <v>43</v>
      </c>
      <c r="BB66" s="228">
        <v>22</v>
      </c>
      <c r="BC66" s="228">
        <v>22</v>
      </c>
      <c r="BD66" s="229">
        <v>1.0056</v>
      </c>
      <c r="BE66" s="228">
        <v>0</v>
      </c>
      <c r="BF66" s="228">
        <v>0</v>
      </c>
      <c r="BG66" s="228">
        <v>0</v>
      </c>
      <c r="BH66" s="229">
        <v>0</v>
      </c>
      <c r="BI66" s="230">
        <v>1107</v>
      </c>
      <c r="BJ66" s="228">
        <v>852</v>
      </c>
      <c r="BK66" s="228">
        <v>255</v>
      </c>
      <c r="BL66" s="229">
        <v>0.29899999999999999</v>
      </c>
      <c r="BM66" s="228">
        <v>348</v>
      </c>
      <c r="BN66" s="228">
        <v>307</v>
      </c>
      <c r="BO66" s="228">
        <v>41</v>
      </c>
      <c r="BP66" s="229">
        <v>0.13289999999999999</v>
      </c>
      <c r="BQ66" s="230">
        <v>1698</v>
      </c>
      <c r="BR66" s="230">
        <v>1304</v>
      </c>
      <c r="BS66" s="228">
        <v>394</v>
      </c>
      <c r="BT66" s="229">
        <v>0.30259999999999998</v>
      </c>
      <c r="BU66" s="230">
        <v>978697</v>
      </c>
      <c r="BV66" s="230">
        <v>428320</v>
      </c>
      <c r="BW66" s="230">
        <v>550377</v>
      </c>
      <c r="BX66" s="229">
        <v>1.2849999999999999</v>
      </c>
      <c r="BY66" s="230">
        <v>2605</v>
      </c>
      <c r="BZ66" s="230">
        <v>2599</v>
      </c>
      <c r="CA66" s="228">
        <v>6</v>
      </c>
      <c r="CB66" s="229">
        <v>2.2000000000000001E-3</v>
      </c>
      <c r="CC66" s="230">
        <v>2284</v>
      </c>
      <c r="CD66" s="230">
        <v>2293</v>
      </c>
      <c r="CE66" s="228">
        <v>-9</v>
      </c>
      <c r="CF66" s="229">
        <v>-4.1000000000000003E-3</v>
      </c>
      <c r="CG66" s="228">
        <v>303</v>
      </c>
      <c r="CH66" s="228">
        <v>289</v>
      </c>
      <c r="CI66" s="228">
        <v>14</v>
      </c>
      <c r="CJ66" s="229">
        <v>4.8599999999999997E-2</v>
      </c>
      <c r="CK66" s="228">
        <v>0</v>
      </c>
      <c r="CL66" s="228">
        <v>0</v>
      </c>
      <c r="CM66" s="228">
        <v>0</v>
      </c>
      <c r="CN66" s="229">
        <v>0</v>
      </c>
      <c r="CO66" s="230">
        <v>1269</v>
      </c>
      <c r="CP66" s="230">
        <v>1296</v>
      </c>
      <c r="CQ66" s="228">
        <v>-26</v>
      </c>
      <c r="CR66" s="229">
        <v>-2.0400000000000001E-2</v>
      </c>
      <c r="CS66" s="228">
        <v>563</v>
      </c>
      <c r="CT66" s="228">
        <v>578</v>
      </c>
      <c r="CU66" s="228">
        <v>-15</v>
      </c>
      <c r="CV66" s="229">
        <v>-2.5999999999999999E-2</v>
      </c>
      <c r="CW66" s="230">
        <v>4437</v>
      </c>
      <c r="CX66" s="230">
        <v>4473</v>
      </c>
      <c r="CY66" s="228">
        <v>-36</v>
      </c>
      <c r="CZ66" s="229">
        <v>-8.0000000000000002E-3</v>
      </c>
      <c r="DA66" s="228">
        <v>28.99</v>
      </c>
      <c r="DB66" s="228">
        <v>30.09</v>
      </c>
      <c r="DC66" s="228">
        <v>-1.1000000000000001</v>
      </c>
      <c r="DD66" s="228">
        <v>-1.1000000000000001</v>
      </c>
      <c r="DE66" s="228">
        <v>33.89</v>
      </c>
      <c r="DF66" s="228">
        <v>33.97</v>
      </c>
      <c r="DG66" s="228">
        <v>-4.9000000000000004</v>
      </c>
      <c r="DH66" s="228">
        <v>-0.08</v>
      </c>
      <c r="DI66" s="228">
        <v>29.27</v>
      </c>
      <c r="DJ66" s="228">
        <v>30.67</v>
      </c>
      <c r="DK66" s="228">
        <v>-1.4</v>
      </c>
      <c r="DL66" s="228">
        <v>-1.4</v>
      </c>
      <c r="DM66" s="228">
        <v>28.09</v>
      </c>
      <c r="DN66" s="228">
        <v>28.48</v>
      </c>
      <c r="DO66" s="228">
        <v>-0.39</v>
      </c>
      <c r="DP66" s="228">
        <v>-0.39</v>
      </c>
      <c r="DQ66" s="228">
        <v>0.44</v>
      </c>
      <c r="DR66" s="228">
        <v>0.45</v>
      </c>
      <c r="DS66" s="228">
        <v>-0.01</v>
      </c>
      <c r="DT66" s="229">
        <v>-2.2200000000000001E-2</v>
      </c>
      <c r="DU66" s="231">
        <v>4500</v>
      </c>
      <c r="DV66" s="231">
        <v>4000</v>
      </c>
      <c r="DW66" s="228">
        <v>0.31</v>
      </c>
      <c r="DX66" s="228">
        <v>0.36</v>
      </c>
      <c r="DY66" s="228">
        <v>-0.05</v>
      </c>
      <c r="DZ66" s="229">
        <v>-0.1389</v>
      </c>
      <c r="EA66" s="229">
        <v>0.11650000000000001</v>
      </c>
      <c r="EB66" s="230">
        <v>715350</v>
      </c>
      <c r="EC66" s="229">
        <v>1.2999999999999999E-3</v>
      </c>
      <c r="ED66" s="229">
        <v>0.11650000000000001</v>
      </c>
      <c r="EE66" s="228">
        <v>2.69</v>
      </c>
      <c r="EF66" s="229">
        <v>6.9999999999999999E-4</v>
      </c>
      <c r="EG66" s="230">
        <v>758457</v>
      </c>
      <c r="EH66" s="230">
        <v>277576</v>
      </c>
      <c r="EI66" s="229">
        <v>1.7323999999999999</v>
      </c>
      <c r="EJ66" s="229">
        <v>0.77500000000000002</v>
      </c>
      <c r="EK66" s="231">
        <v>1166.78</v>
      </c>
      <c r="EL66" s="228">
        <v>336.93</v>
      </c>
      <c r="EM66" s="228">
        <v>243.76</v>
      </c>
      <c r="EN66" s="228">
        <v>0</v>
      </c>
      <c r="EO66" s="231">
        <v>1747.47</v>
      </c>
      <c r="EP66" s="231">
        <v>1346.36</v>
      </c>
      <c r="EQ66" s="228">
        <v>401.1</v>
      </c>
      <c r="ER66" s="229">
        <v>0.2979</v>
      </c>
      <c r="ES66" s="231">
        <v>1376.17</v>
      </c>
      <c r="ET66" s="228">
        <v>553.66</v>
      </c>
      <c r="EU66" s="231">
        <v>2605.16</v>
      </c>
      <c r="EV66" s="231">
        <v>32997182</v>
      </c>
      <c r="EW66" s="231">
        <v>4534.99</v>
      </c>
      <c r="EX66" s="231">
        <v>4565.38</v>
      </c>
      <c r="EY66" s="228">
        <v>-30.39</v>
      </c>
      <c r="EZ66" s="229">
        <v>-6.7000000000000002E-3</v>
      </c>
      <c r="FA66" s="229">
        <v>0.33250000000000002</v>
      </c>
      <c r="FB66" s="227" t="s">
        <v>555</v>
      </c>
      <c r="FC66">
        <f t="shared" si="0"/>
        <v>321</v>
      </c>
    </row>
    <row r="67" spans="1:159" ht="17.25" thickBot="1" x14ac:dyDescent="0.3">
      <c r="A67" s="226">
        <v>45860</v>
      </c>
      <c r="B67" s="227" t="s">
        <v>170</v>
      </c>
      <c r="C67" s="227" t="s">
        <v>208</v>
      </c>
      <c r="D67" s="228">
        <v>625</v>
      </c>
      <c r="E67" s="228">
        <v>9</v>
      </c>
      <c r="F67" s="231">
        <v>1240.9000000000001</v>
      </c>
      <c r="G67" s="231">
        <v>1259.8</v>
      </c>
      <c r="H67" s="228">
        <v>-18.899999999999999</v>
      </c>
      <c r="I67" s="229">
        <v>-1.4999999999999999E-2</v>
      </c>
      <c r="J67" s="231">
        <v>1240</v>
      </c>
      <c r="K67" s="231">
        <v>1259.3</v>
      </c>
      <c r="L67" s="228">
        <v>-19.3</v>
      </c>
      <c r="M67" s="229">
        <v>-1.5299999999999999E-2</v>
      </c>
      <c r="N67" s="231">
        <v>1240.9000000000001</v>
      </c>
      <c r="O67" s="231">
        <v>1259.8</v>
      </c>
      <c r="P67" s="228">
        <v>-18.899999999999999</v>
      </c>
      <c r="Q67" s="229">
        <v>-1.4999999999999999E-2</v>
      </c>
      <c r="R67" s="231">
        <v>1247</v>
      </c>
      <c r="S67" s="231">
        <v>1264.2</v>
      </c>
      <c r="T67" s="228">
        <v>-17.2</v>
      </c>
      <c r="U67" s="229">
        <v>-1.3599999999999999E-2</v>
      </c>
      <c r="V67" s="228">
        <v>0</v>
      </c>
      <c r="W67" s="228">
        <v>0</v>
      </c>
      <c r="X67" s="228">
        <v>0</v>
      </c>
      <c r="Y67" s="229">
        <v>0</v>
      </c>
      <c r="Z67" s="228">
        <v>0.9</v>
      </c>
      <c r="AA67" s="228">
        <v>0.5</v>
      </c>
      <c r="AB67" s="228">
        <v>0.4</v>
      </c>
      <c r="AC67" s="229">
        <v>6.9999999999999999E-4</v>
      </c>
      <c r="AD67" s="228">
        <v>0.9</v>
      </c>
      <c r="AE67" s="228">
        <v>0.5</v>
      </c>
      <c r="AF67" s="228">
        <v>0.4</v>
      </c>
      <c r="AG67" s="229">
        <v>6.9999999999999999E-4</v>
      </c>
      <c r="AH67" s="228">
        <v>7</v>
      </c>
      <c r="AI67" s="228">
        <v>4.9000000000000004</v>
      </c>
      <c r="AJ67" s="228">
        <v>2.1</v>
      </c>
      <c r="AK67" s="229">
        <v>5.5999999999999999E-3</v>
      </c>
      <c r="AL67" s="228">
        <v>0</v>
      </c>
      <c r="AM67" s="228">
        <v>0</v>
      </c>
      <c r="AN67" s="228">
        <v>0</v>
      </c>
      <c r="AO67" s="229">
        <v>0</v>
      </c>
      <c r="AP67" s="231">
        <v>1244.3699999999999</v>
      </c>
      <c r="AQ67" s="231">
        <v>1250.47</v>
      </c>
      <c r="AR67" s="228">
        <v>0</v>
      </c>
      <c r="AS67" s="228">
        <v>433</v>
      </c>
      <c r="AT67" s="228">
        <v>197</v>
      </c>
      <c r="AU67" s="228">
        <v>236</v>
      </c>
      <c r="AV67" s="229">
        <v>1.1969000000000001</v>
      </c>
      <c r="AW67" s="228">
        <v>386</v>
      </c>
      <c r="AX67" s="228">
        <v>163</v>
      </c>
      <c r="AY67" s="228">
        <v>222</v>
      </c>
      <c r="AZ67" s="229">
        <v>1.3597999999999999</v>
      </c>
      <c r="BA67" s="228">
        <v>44</v>
      </c>
      <c r="BB67" s="228">
        <v>33</v>
      </c>
      <c r="BC67" s="228">
        <v>11</v>
      </c>
      <c r="BD67" s="229">
        <v>0.34350000000000003</v>
      </c>
      <c r="BE67" s="228">
        <v>0</v>
      </c>
      <c r="BF67" s="228">
        <v>0</v>
      </c>
      <c r="BG67" s="228">
        <v>0</v>
      </c>
      <c r="BH67" s="229">
        <v>0</v>
      </c>
      <c r="BI67" s="228">
        <v>754</v>
      </c>
      <c r="BJ67" s="228">
        <v>379</v>
      </c>
      <c r="BK67" s="228">
        <v>375</v>
      </c>
      <c r="BL67" s="229">
        <v>0.9879</v>
      </c>
      <c r="BM67" s="228">
        <v>637</v>
      </c>
      <c r="BN67" s="228">
        <v>187</v>
      </c>
      <c r="BO67" s="228">
        <v>450</v>
      </c>
      <c r="BP67" s="229">
        <v>2.3993000000000002</v>
      </c>
      <c r="BQ67" s="230">
        <v>1824</v>
      </c>
      <c r="BR67" s="228">
        <v>764</v>
      </c>
      <c r="BS67" s="230">
        <v>1060</v>
      </c>
      <c r="BT67" s="229">
        <v>1.3883000000000001</v>
      </c>
      <c r="BU67" s="230">
        <v>1369353</v>
      </c>
      <c r="BV67" s="230">
        <v>1225500</v>
      </c>
      <c r="BW67" s="230">
        <v>143853</v>
      </c>
      <c r="BX67" s="229">
        <v>0.1174</v>
      </c>
      <c r="BY67" s="230">
        <v>1513</v>
      </c>
      <c r="BZ67" s="230">
        <v>1472</v>
      </c>
      <c r="CA67" s="228">
        <v>40</v>
      </c>
      <c r="CB67" s="229">
        <v>2.75E-2</v>
      </c>
      <c r="CC67" s="230">
        <v>1385</v>
      </c>
      <c r="CD67" s="230">
        <v>1361</v>
      </c>
      <c r="CE67" s="228">
        <v>24</v>
      </c>
      <c r="CF67" s="229">
        <v>1.7500000000000002E-2</v>
      </c>
      <c r="CG67" s="228">
        <v>119</v>
      </c>
      <c r="CH67" s="228">
        <v>104</v>
      </c>
      <c r="CI67" s="228">
        <v>15</v>
      </c>
      <c r="CJ67" s="229">
        <v>0.14560000000000001</v>
      </c>
      <c r="CK67" s="228">
        <v>0</v>
      </c>
      <c r="CL67" s="228">
        <v>0</v>
      </c>
      <c r="CM67" s="228">
        <v>0</v>
      </c>
      <c r="CN67" s="229">
        <v>0</v>
      </c>
      <c r="CO67" s="230">
        <v>1371</v>
      </c>
      <c r="CP67" s="230">
        <v>1351</v>
      </c>
      <c r="CQ67" s="228">
        <v>19</v>
      </c>
      <c r="CR67" s="229">
        <v>1.44E-2</v>
      </c>
      <c r="CS67" s="228">
        <v>649</v>
      </c>
      <c r="CT67" s="228">
        <v>623</v>
      </c>
      <c r="CU67" s="228">
        <v>26</v>
      </c>
      <c r="CV67" s="229">
        <v>4.2000000000000003E-2</v>
      </c>
      <c r="CW67" s="230">
        <v>3532</v>
      </c>
      <c r="CX67" s="230">
        <v>3446</v>
      </c>
      <c r="CY67" s="228">
        <v>86</v>
      </c>
      <c r="CZ67" s="229">
        <v>2.5000000000000001E-2</v>
      </c>
      <c r="DA67" s="228">
        <v>31.43</v>
      </c>
      <c r="DB67" s="228">
        <v>30.1</v>
      </c>
      <c r="DC67" s="228">
        <v>1.33</v>
      </c>
      <c r="DD67" s="228">
        <v>1.33</v>
      </c>
      <c r="DE67" s="228">
        <v>25.21</v>
      </c>
      <c r="DF67" s="228">
        <v>25.19</v>
      </c>
      <c r="DG67" s="228">
        <v>6.22</v>
      </c>
      <c r="DH67" s="228">
        <v>0.02</v>
      </c>
      <c r="DI67" s="228">
        <v>31.66</v>
      </c>
      <c r="DJ67" s="228">
        <v>29.84</v>
      </c>
      <c r="DK67" s="228">
        <v>1.82</v>
      </c>
      <c r="DL67" s="228">
        <v>1.82</v>
      </c>
      <c r="DM67" s="228">
        <v>31.15</v>
      </c>
      <c r="DN67" s="228">
        <v>30.61</v>
      </c>
      <c r="DO67" s="228">
        <v>0.54</v>
      </c>
      <c r="DP67" s="228">
        <v>0.54</v>
      </c>
      <c r="DQ67" s="228">
        <v>0.47</v>
      </c>
      <c r="DR67" s="228">
        <v>0.46</v>
      </c>
      <c r="DS67" s="228">
        <v>0.01</v>
      </c>
      <c r="DT67" s="229">
        <v>2.1700000000000001E-2</v>
      </c>
      <c r="DU67" s="231">
        <v>1300</v>
      </c>
      <c r="DV67" s="231">
        <v>1100</v>
      </c>
      <c r="DW67" s="228">
        <v>0.85</v>
      </c>
      <c r="DX67" s="228">
        <v>0.49</v>
      </c>
      <c r="DY67" s="228">
        <v>0.36</v>
      </c>
      <c r="DZ67" s="229">
        <v>0.73470000000000002</v>
      </c>
      <c r="EA67" s="229">
        <v>7.8600000000000003E-2</v>
      </c>
      <c r="EB67" s="230">
        <v>836875</v>
      </c>
      <c r="EC67" s="229">
        <v>4.8999999999999998E-3</v>
      </c>
      <c r="ED67" s="229">
        <v>7.8600000000000003E-2</v>
      </c>
      <c r="EE67" s="228">
        <v>6.1</v>
      </c>
      <c r="EF67" s="229">
        <v>4.8999999999999998E-3</v>
      </c>
      <c r="EG67" s="230">
        <v>706780</v>
      </c>
      <c r="EH67" s="230">
        <v>792467</v>
      </c>
      <c r="EI67" s="229">
        <v>-0.1081</v>
      </c>
      <c r="EJ67" s="229">
        <v>0.5161</v>
      </c>
      <c r="EK67" s="228">
        <v>794.47</v>
      </c>
      <c r="EL67" s="228">
        <v>642.54</v>
      </c>
      <c r="EM67" s="228">
        <v>434.21</v>
      </c>
      <c r="EN67" s="228">
        <v>0</v>
      </c>
      <c r="EO67" s="231">
        <v>1871.22</v>
      </c>
      <c r="EP67" s="228">
        <v>793.73</v>
      </c>
      <c r="EQ67" s="231">
        <v>1077.49</v>
      </c>
      <c r="ER67" s="229">
        <v>1.3574999999999999</v>
      </c>
      <c r="ES67" s="231">
        <v>1490.74</v>
      </c>
      <c r="ET67" s="228">
        <v>630.79</v>
      </c>
      <c r="EU67" s="231">
        <v>1513.54</v>
      </c>
      <c r="EV67" s="231">
        <v>121939493</v>
      </c>
      <c r="EW67" s="231">
        <v>3635.07</v>
      </c>
      <c r="EX67" s="231">
        <v>3573.29</v>
      </c>
      <c r="EY67" s="228">
        <v>61.78</v>
      </c>
      <c r="EZ67" s="229">
        <v>1.7299999999999999E-2</v>
      </c>
      <c r="FA67" s="229">
        <v>0.2334</v>
      </c>
      <c r="FB67" s="227" t="s">
        <v>567</v>
      </c>
      <c r="FC67">
        <f t="shared" ref="FC67:FC130" si="1">BY67-CC67</f>
        <v>128</v>
      </c>
    </row>
    <row r="68" spans="1:159" ht="17.25" thickBot="1" x14ac:dyDescent="0.3">
      <c r="A68" s="226">
        <v>45860</v>
      </c>
      <c r="B68" s="227" t="s">
        <v>162</v>
      </c>
      <c r="C68" s="227" t="s">
        <v>209</v>
      </c>
      <c r="D68" s="228">
        <v>175</v>
      </c>
      <c r="E68" s="228">
        <v>9</v>
      </c>
      <c r="F68" s="231">
        <v>5455.5</v>
      </c>
      <c r="G68" s="231">
        <v>5576</v>
      </c>
      <c r="H68" s="228">
        <v>-120.5</v>
      </c>
      <c r="I68" s="229">
        <v>-2.1600000000000001E-2</v>
      </c>
      <c r="J68" s="231">
        <v>5439.5</v>
      </c>
      <c r="K68" s="231">
        <v>5558</v>
      </c>
      <c r="L68" s="228">
        <v>-118.5</v>
      </c>
      <c r="M68" s="229">
        <v>-2.1299999999999999E-2</v>
      </c>
      <c r="N68" s="231">
        <v>5455.5</v>
      </c>
      <c r="O68" s="231">
        <v>5576</v>
      </c>
      <c r="P68" s="228">
        <v>-120.5</v>
      </c>
      <c r="Q68" s="229">
        <v>-2.1600000000000001E-2</v>
      </c>
      <c r="R68" s="231">
        <v>5412</v>
      </c>
      <c r="S68" s="231">
        <v>5534.5</v>
      </c>
      <c r="T68" s="228">
        <v>-122.5</v>
      </c>
      <c r="U68" s="229">
        <v>-2.2100000000000002E-2</v>
      </c>
      <c r="V68" s="228">
        <v>0</v>
      </c>
      <c r="W68" s="228">
        <v>0</v>
      </c>
      <c r="X68" s="228">
        <v>0</v>
      </c>
      <c r="Y68" s="229">
        <v>0</v>
      </c>
      <c r="Z68" s="228">
        <v>16</v>
      </c>
      <c r="AA68" s="228">
        <v>18</v>
      </c>
      <c r="AB68" s="228">
        <v>-2</v>
      </c>
      <c r="AC68" s="229">
        <v>2.8999999999999998E-3</v>
      </c>
      <c r="AD68" s="228">
        <v>16</v>
      </c>
      <c r="AE68" s="228">
        <v>18</v>
      </c>
      <c r="AF68" s="228">
        <v>-2</v>
      </c>
      <c r="AG68" s="229">
        <v>2.8999999999999998E-3</v>
      </c>
      <c r="AH68" s="228">
        <v>-27.5</v>
      </c>
      <c r="AI68" s="228">
        <v>-23.5</v>
      </c>
      <c r="AJ68" s="228">
        <v>-4</v>
      </c>
      <c r="AK68" s="229">
        <v>-5.1000000000000004E-3</v>
      </c>
      <c r="AL68" s="228">
        <v>0</v>
      </c>
      <c r="AM68" s="228">
        <v>0</v>
      </c>
      <c r="AN68" s="228">
        <v>0</v>
      </c>
      <c r="AO68" s="229">
        <v>0</v>
      </c>
      <c r="AP68" s="231">
        <v>5491.04</v>
      </c>
      <c r="AQ68" s="231">
        <v>5442.95</v>
      </c>
      <c r="AR68" s="228">
        <v>0</v>
      </c>
      <c r="AS68" s="228">
        <v>243</v>
      </c>
      <c r="AT68" s="228">
        <v>162</v>
      </c>
      <c r="AU68" s="228">
        <v>82</v>
      </c>
      <c r="AV68" s="229">
        <v>0.50529999999999997</v>
      </c>
      <c r="AW68" s="228">
        <v>190</v>
      </c>
      <c r="AX68" s="228">
        <v>143</v>
      </c>
      <c r="AY68" s="228">
        <v>47</v>
      </c>
      <c r="AZ68" s="229">
        <v>0.33040000000000003</v>
      </c>
      <c r="BA68" s="228">
        <v>50</v>
      </c>
      <c r="BB68" s="228">
        <v>19</v>
      </c>
      <c r="BC68" s="228">
        <v>31</v>
      </c>
      <c r="BD68" s="229">
        <v>1.6820999999999999</v>
      </c>
      <c r="BE68" s="228">
        <v>0</v>
      </c>
      <c r="BF68" s="228">
        <v>0</v>
      </c>
      <c r="BG68" s="228">
        <v>0</v>
      </c>
      <c r="BH68" s="229">
        <v>0</v>
      </c>
      <c r="BI68" s="230">
        <v>1093</v>
      </c>
      <c r="BJ68" s="228">
        <v>626</v>
      </c>
      <c r="BK68" s="228">
        <v>467</v>
      </c>
      <c r="BL68" s="229">
        <v>0.74529999999999996</v>
      </c>
      <c r="BM68" s="228">
        <v>679</v>
      </c>
      <c r="BN68" s="228">
        <v>414</v>
      </c>
      <c r="BO68" s="228">
        <v>265</v>
      </c>
      <c r="BP68" s="229">
        <v>0.64080000000000004</v>
      </c>
      <c r="BQ68" s="230">
        <v>2016</v>
      </c>
      <c r="BR68" s="230">
        <v>1202</v>
      </c>
      <c r="BS68" s="228">
        <v>814</v>
      </c>
      <c r="BT68" s="229">
        <v>0.67700000000000005</v>
      </c>
      <c r="BU68" s="230">
        <v>609927</v>
      </c>
      <c r="BV68" s="230">
        <v>216435</v>
      </c>
      <c r="BW68" s="230">
        <v>393492</v>
      </c>
      <c r="BX68" s="229">
        <v>1.8181</v>
      </c>
      <c r="BY68" s="230">
        <v>1574</v>
      </c>
      <c r="BZ68" s="230">
        <v>1511</v>
      </c>
      <c r="CA68" s="228">
        <v>63</v>
      </c>
      <c r="CB68" s="229">
        <v>4.1599999999999998E-2</v>
      </c>
      <c r="CC68" s="230">
        <v>1263</v>
      </c>
      <c r="CD68" s="230">
        <v>1233</v>
      </c>
      <c r="CE68" s="228">
        <v>30</v>
      </c>
      <c r="CF68" s="229">
        <v>2.4500000000000001E-2</v>
      </c>
      <c r="CG68" s="228">
        <v>304</v>
      </c>
      <c r="CH68" s="228">
        <v>273</v>
      </c>
      <c r="CI68" s="228">
        <v>31</v>
      </c>
      <c r="CJ68" s="229">
        <v>0.11210000000000001</v>
      </c>
      <c r="CK68" s="228">
        <v>0</v>
      </c>
      <c r="CL68" s="228">
        <v>0</v>
      </c>
      <c r="CM68" s="228">
        <v>0</v>
      </c>
      <c r="CN68" s="229">
        <v>0</v>
      </c>
      <c r="CO68" s="230">
        <v>1030</v>
      </c>
      <c r="CP68" s="228">
        <v>905</v>
      </c>
      <c r="CQ68" s="228">
        <v>125</v>
      </c>
      <c r="CR68" s="229">
        <v>0.13789999999999999</v>
      </c>
      <c r="CS68" s="228">
        <v>534</v>
      </c>
      <c r="CT68" s="228">
        <v>494</v>
      </c>
      <c r="CU68" s="228">
        <v>41</v>
      </c>
      <c r="CV68" s="229">
        <v>8.2199999999999995E-2</v>
      </c>
      <c r="CW68" s="230">
        <v>3138</v>
      </c>
      <c r="CX68" s="230">
        <v>2910</v>
      </c>
      <c r="CY68" s="228">
        <v>228</v>
      </c>
      <c r="CZ68" s="229">
        <v>7.85E-2</v>
      </c>
      <c r="DA68" s="228">
        <v>21.76</v>
      </c>
      <c r="DB68" s="228">
        <v>19.170000000000002</v>
      </c>
      <c r="DC68" s="228">
        <v>2.59</v>
      </c>
      <c r="DD68" s="228">
        <v>2.59</v>
      </c>
      <c r="DE68" s="228">
        <v>29.75</v>
      </c>
      <c r="DF68" s="228">
        <v>29.68</v>
      </c>
      <c r="DG68" s="228">
        <v>-7.99</v>
      </c>
      <c r="DH68" s="228">
        <v>7.0000000000000007E-2</v>
      </c>
      <c r="DI68" s="228">
        <v>22.12</v>
      </c>
      <c r="DJ68" s="228">
        <v>19</v>
      </c>
      <c r="DK68" s="228">
        <v>3.12</v>
      </c>
      <c r="DL68" s="228">
        <v>3.12</v>
      </c>
      <c r="DM68" s="228">
        <v>21.2</v>
      </c>
      <c r="DN68" s="228">
        <v>19.440000000000001</v>
      </c>
      <c r="DO68" s="228">
        <v>1.76</v>
      </c>
      <c r="DP68" s="228">
        <v>1.76</v>
      </c>
      <c r="DQ68" s="228">
        <v>0.52</v>
      </c>
      <c r="DR68" s="228">
        <v>0.55000000000000004</v>
      </c>
      <c r="DS68" s="228">
        <v>-0.03</v>
      </c>
      <c r="DT68" s="229">
        <v>-5.45E-2</v>
      </c>
      <c r="DU68" s="231">
        <v>5800</v>
      </c>
      <c r="DV68" s="231">
        <v>5800</v>
      </c>
      <c r="DW68" s="228">
        <v>0.62</v>
      </c>
      <c r="DX68" s="228">
        <v>0.66</v>
      </c>
      <c r="DY68" s="228">
        <v>-0.04</v>
      </c>
      <c r="DZ68" s="229">
        <v>-6.0600000000000001E-2</v>
      </c>
      <c r="EA68" s="229">
        <v>0.19320000000000001</v>
      </c>
      <c r="EB68" s="230">
        <v>501200</v>
      </c>
      <c r="EC68" s="229">
        <v>-8.0000000000000002E-3</v>
      </c>
      <c r="ED68" s="229">
        <v>0.19320000000000001</v>
      </c>
      <c r="EE68" s="228">
        <v>-48.09</v>
      </c>
      <c r="EF68" s="229">
        <v>-8.8000000000000005E-3</v>
      </c>
      <c r="EG68" s="230">
        <v>350100</v>
      </c>
      <c r="EH68" s="230">
        <v>140693</v>
      </c>
      <c r="EI68" s="229">
        <v>1.4883999999999999</v>
      </c>
      <c r="EJ68" s="229">
        <v>0.57399999999999995</v>
      </c>
      <c r="EK68" s="231">
        <v>1137.72</v>
      </c>
      <c r="EL68" s="228">
        <v>681.04</v>
      </c>
      <c r="EM68" s="228">
        <v>244.59</v>
      </c>
      <c r="EN68" s="228">
        <v>0</v>
      </c>
      <c r="EO68" s="231">
        <v>2063.35</v>
      </c>
      <c r="EP68" s="231">
        <v>1249.72</v>
      </c>
      <c r="EQ68" s="228">
        <v>813.63</v>
      </c>
      <c r="ER68" s="229">
        <v>0.65110000000000001</v>
      </c>
      <c r="ES68" s="231">
        <v>1100.19</v>
      </c>
      <c r="ET68" s="228">
        <v>524.37</v>
      </c>
      <c r="EU68" s="231">
        <v>1571.5</v>
      </c>
      <c r="EV68" s="231">
        <v>27919827</v>
      </c>
      <c r="EW68" s="231">
        <v>3196.06</v>
      </c>
      <c r="EX68" s="231">
        <v>3001.09</v>
      </c>
      <c r="EY68" s="228">
        <v>194.97</v>
      </c>
      <c r="EZ68" s="229">
        <v>6.5000000000000002E-2</v>
      </c>
      <c r="FA68" s="229">
        <v>0.20599999999999999</v>
      </c>
      <c r="FB68" s="227" t="s">
        <v>567</v>
      </c>
      <c r="FC68">
        <f t="shared" si="1"/>
        <v>311</v>
      </c>
    </row>
    <row r="69" spans="1:159" ht="17.25" thickBot="1" x14ac:dyDescent="0.3">
      <c r="A69" s="226">
        <v>45860</v>
      </c>
      <c r="B69" s="227" t="s">
        <v>616</v>
      </c>
      <c r="C69" s="227" t="s">
        <v>669</v>
      </c>
      <c r="D69" s="228">
        <v>2425</v>
      </c>
      <c r="E69" s="228">
        <v>9</v>
      </c>
      <c r="F69" s="228">
        <v>300.75</v>
      </c>
      <c r="G69" s="228">
        <v>271.39999999999998</v>
      </c>
      <c r="H69" s="228">
        <v>29.35</v>
      </c>
      <c r="I69" s="229">
        <v>0.1081</v>
      </c>
      <c r="J69" s="228">
        <v>299.8</v>
      </c>
      <c r="K69" s="228">
        <v>271.7</v>
      </c>
      <c r="L69" s="228">
        <v>28.1</v>
      </c>
      <c r="M69" s="229">
        <v>0.10340000000000001</v>
      </c>
      <c r="N69" s="228">
        <v>300.75</v>
      </c>
      <c r="O69" s="228">
        <v>271.39999999999998</v>
      </c>
      <c r="P69" s="228">
        <v>29.35</v>
      </c>
      <c r="Q69" s="229">
        <v>0.1081</v>
      </c>
      <c r="R69" s="228">
        <v>302.14999999999998</v>
      </c>
      <c r="S69" s="228">
        <v>273.25</v>
      </c>
      <c r="T69" s="228">
        <v>28.9</v>
      </c>
      <c r="U69" s="229">
        <v>0.10580000000000001</v>
      </c>
      <c r="V69" s="228">
        <v>0</v>
      </c>
      <c r="W69" s="228">
        <v>0</v>
      </c>
      <c r="X69" s="228">
        <v>0</v>
      </c>
      <c r="Y69" s="229">
        <v>0</v>
      </c>
      <c r="Z69" s="228">
        <v>0.95</v>
      </c>
      <c r="AA69" s="228">
        <v>-0.3</v>
      </c>
      <c r="AB69" s="228">
        <v>1.25</v>
      </c>
      <c r="AC69" s="229">
        <v>3.2000000000000002E-3</v>
      </c>
      <c r="AD69" s="228">
        <v>0.95</v>
      </c>
      <c r="AE69" s="228">
        <v>-0.3</v>
      </c>
      <c r="AF69" s="228">
        <v>1.25</v>
      </c>
      <c r="AG69" s="229">
        <v>3.2000000000000002E-3</v>
      </c>
      <c r="AH69" s="228">
        <v>2.35</v>
      </c>
      <c r="AI69" s="228">
        <v>1.55</v>
      </c>
      <c r="AJ69" s="228">
        <v>0.8</v>
      </c>
      <c r="AK69" s="229">
        <v>7.7999999999999996E-3</v>
      </c>
      <c r="AL69" s="228">
        <v>0</v>
      </c>
      <c r="AM69" s="228">
        <v>0</v>
      </c>
      <c r="AN69" s="228">
        <v>0</v>
      </c>
      <c r="AO69" s="229">
        <v>0</v>
      </c>
      <c r="AP69" s="228">
        <v>301.89999999999998</v>
      </c>
      <c r="AQ69" s="228">
        <v>302.64999999999998</v>
      </c>
      <c r="AR69" s="228">
        <v>0</v>
      </c>
      <c r="AS69" s="230">
        <v>5884</v>
      </c>
      <c r="AT69" s="230">
        <v>3474</v>
      </c>
      <c r="AU69" s="230">
        <v>2410</v>
      </c>
      <c r="AV69" s="229">
        <v>0.69350000000000001</v>
      </c>
      <c r="AW69" s="230">
        <v>4933</v>
      </c>
      <c r="AX69" s="230">
        <v>3194</v>
      </c>
      <c r="AY69" s="230">
        <v>1739</v>
      </c>
      <c r="AZ69" s="229">
        <v>0.54459999999999997</v>
      </c>
      <c r="BA69" s="228">
        <v>899</v>
      </c>
      <c r="BB69" s="228">
        <v>264</v>
      </c>
      <c r="BC69" s="228">
        <v>635</v>
      </c>
      <c r="BD69" s="229">
        <v>2.4041000000000001</v>
      </c>
      <c r="BE69" s="228">
        <v>0</v>
      </c>
      <c r="BF69" s="228">
        <v>0</v>
      </c>
      <c r="BG69" s="228">
        <v>0</v>
      </c>
      <c r="BH69" s="229">
        <v>0</v>
      </c>
      <c r="BI69" s="230">
        <v>25169</v>
      </c>
      <c r="BJ69" s="230">
        <v>9389</v>
      </c>
      <c r="BK69" s="230">
        <v>15780</v>
      </c>
      <c r="BL69" s="229">
        <v>1.6806000000000001</v>
      </c>
      <c r="BM69" s="230">
        <v>19418</v>
      </c>
      <c r="BN69" s="230">
        <v>5836</v>
      </c>
      <c r="BO69" s="230">
        <v>13582</v>
      </c>
      <c r="BP69" s="229">
        <v>2.3271999999999999</v>
      </c>
      <c r="BQ69" s="230">
        <v>50471</v>
      </c>
      <c r="BR69" s="230">
        <v>18700</v>
      </c>
      <c r="BS69" s="230">
        <v>31771</v>
      </c>
      <c r="BT69" s="229">
        <v>1.6990000000000001</v>
      </c>
      <c r="BU69" s="230">
        <v>281425522</v>
      </c>
      <c r="BV69" s="230">
        <v>73173228</v>
      </c>
      <c r="BW69" s="230">
        <v>208252294</v>
      </c>
      <c r="BX69" s="229">
        <v>2.8460000000000001</v>
      </c>
      <c r="BY69" s="230">
        <v>5594</v>
      </c>
      <c r="BZ69" s="230">
        <v>4938</v>
      </c>
      <c r="CA69" s="228">
        <v>655</v>
      </c>
      <c r="CB69" s="229">
        <v>0.13270000000000001</v>
      </c>
      <c r="CC69" s="230">
        <v>5190</v>
      </c>
      <c r="CD69" s="230">
        <v>4697</v>
      </c>
      <c r="CE69" s="228">
        <v>493</v>
      </c>
      <c r="CF69" s="229">
        <v>0.10489999999999999</v>
      </c>
      <c r="CG69" s="228">
        <v>378</v>
      </c>
      <c r="CH69" s="228">
        <v>226</v>
      </c>
      <c r="CI69" s="228">
        <v>152</v>
      </c>
      <c r="CJ69" s="229">
        <v>0.67569999999999997</v>
      </c>
      <c r="CK69" s="228">
        <v>0</v>
      </c>
      <c r="CL69" s="228">
        <v>0</v>
      </c>
      <c r="CM69" s="228">
        <v>0</v>
      </c>
      <c r="CN69" s="229">
        <v>0</v>
      </c>
      <c r="CO69" s="230">
        <v>2792</v>
      </c>
      <c r="CP69" s="230">
        <v>1980</v>
      </c>
      <c r="CQ69" s="228">
        <v>812</v>
      </c>
      <c r="CR69" s="229">
        <v>0.41010000000000002</v>
      </c>
      <c r="CS69" s="230">
        <v>2950</v>
      </c>
      <c r="CT69" s="230">
        <v>1594</v>
      </c>
      <c r="CU69" s="230">
        <v>1356</v>
      </c>
      <c r="CV69" s="229">
        <v>0.85070000000000001</v>
      </c>
      <c r="CW69" s="230">
        <v>11335</v>
      </c>
      <c r="CX69" s="230">
        <v>8512</v>
      </c>
      <c r="CY69" s="230">
        <v>2823</v>
      </c>
      <c r="CZ69" s="229">
        <v>0.33160000000000001</v>
      </c>
      <c r="DA69" s="228">
        <v>41.13</v>
      </c>
      <c r="DB69" s="228">
        <v>43.07</v>
      </c>
      <c r="DC69" s="228">
        <v>-1.94</v>
      </c>
      <c r="DD69" s="228">
        <v>-1.94</v>
      </c>
      <c r="DE69" s="228">
        <v>50.72</v>
      </c>
      <c r="DF69" s="228">
        <v>49.07</v>
      </c>
      <c r="DG69" s="228">
        <v>-9.59</v>
      </c>
      <c r="DH69" s="228">
        <v>1.65</v>
      </c>
      <c r="DI69" s="228">
        <v>38.76</v>
      </c>
      <c r="DJ69" s="228">
        <v>40.270000000000003</v>
      </c>
      <c r="DK69" s="228">
        <v>-1.51</v>
      </c>
      <c r="DL69" s="228">
        <v>-1.51</v>
      </c>
      <c r="DM69" s="228">
        <v>44.21</v>
      </c>
      <c r="DN69" s="228">
        <v>47.57</v>
      </c>
      <c r="DO69" s="228">
        <v>-3.36</v>
      </c>
      <c r="DP69" s="228">
        <v>-3.36</v>
      </c>
      <c r="DQ69" s="228">
        <v>1.06</v>
      </c>
      <c r="DR69" s="228">
        <v>0.81</v>
      </c>
      <c r="DS69" s="228">
        <v>0.25</v>
      </c>
      <c r="DT69" s="229">
        <v>0.30859999999999999</v>
      </c>
      <c r="DU69" s="228">
        <v>300</v>
      </c>
      <c r="DV69" s="228">
        <v>300</v>
      </c>
      <c r="DW69" s="228">
        <v>0.77</v>
      </c>
      <c r="DX69" s="228">
        <v>0.62</v>
      </c>
      <c r="DY69" s="228">
        <v>0.15</v>
      </c>
      <c r="DZ69" s="229">
        <v>0.2419</v>
      </c>
      <c r="EA69" s="229">
        <v>6.7599999999999993E-2</v>
      </c>
      <c r="EB69" s="230">
        <v>7500525</v>
      </c>
      <c r="EC69" s="229">
        <v>4.7000000000000002E-3</v>
      </c>
      <c r="ED69" s="229">
        <v>6.7599999999999993E-2</v>
      </c>
      <c r="EE69" s="228">
        <v>0.75</v>
      </c>
      <c r="EF69" s="229">
        <v>2.5000000000000001E-3</v>
      </c>
      <c r="EG69" s="230">
        <v>97582301</v>
      </c>
      <c r="EH69" s="230">
        <v>30289378</v>
      </c>
      <c r="EI69" s="229">
        <v>2.2216999999999998</v>
      </c>
      <c r="EJ69" s="229">
        <v>0.34670000000000001</v>
      </c>
      <c r="EK69" s="231">
        <v>26280.99</v>
      </c>
      <c r="EL69" s="231">
        <v>18503.330000000002</v>
      </c>
      <c r="EM69" s="231">
        <v>5909.13</v>
      </c>
      <c r="EN69" s="228">
        <v>0</v>
      </c>
      <c r="EO69" s="231">
        <v>50693.45</v>
      </c>
      <c r="EP69" s="231">
        <v>16963.21</v>
      </c>
      <c r="EQ69" s="231">
        <v>33730.239999999998</v>
      </c>
      <c r="ER69" s="229">
        <v>1.9883999999999999</v>
      </c>
      <c r="ES69" s="231">
        <v>2748.64</v>
      </c>
      <c r="ET69" s="231">
        <v>2675.77</v>
      </c>
      <c r="EU69" s="231">
        <v>5595.56</v>
      </c>
      <c r="EV69" s="231">
        <v>1814577127</v>
      </c>
      <c r="EW69" s="231">
        <v>11019.97</v>
      </c>
      <c r="EX69" s="231">
        <v>7624.1</v>
      </c>
      <c r="EY69" s="231">
        <v>3395.87</v>
      </c>
      <c r="EZ69" s="229">
        <v>0.44540000000000002</v>
      </c>
      <c r="FA69" s="229">
        <v>0.2077</v>
      </c>
      <c r="FB69" s="227" t="s">
        <v>555</v>
      </c>
      <c r="FC69">
        <f t="shared" si="1"/>
        <v>404</v>
      </c>
    </row>
    <row r="70" spans="1:159" ht="17.25" thickBot="1" x14ac:dyDescent="0.3">
      <c r="A70" s="226">
        <v>45860</v>
      </c>
      <c r="B70" s="227" t="s">
        <v>162</v>
      </c>
      <c r="C70" s="227" t="s">
        <v>211</v>
      </c>
      <c r="D70" s="228">
        <v>1800</v>
      </c>
      <c r="E70" s="228">
        <v>9</v>
      </c>
      <c r="F70" s="228">
        <v>395.3</v>
      </c>
      <c r="G70" s="228">
        <v>390.45</v>
      </c>
      <c r="H70" s="228">
        <v>4.8499999999999996</v>
      </c>
      <c r="I70" s="229">
        <v>1.24E-2</v>
      </c>
      <c r="J70" s="228">
        <v>394.25</v>
      </c>
      <c r="K70" s="228">
        <v>389.1</v>
      </c>
      <c r="L70" s="228">
        <v>5.15</v>
      </c>
      <c r="M70" s="229">
        <v>1.32E-2</v>
      </c>
      <c r="N70" s="228">
        <v>395.3</v>
      </c>
      <c r="O70" s="228">
        <v>390.45</v>
      </c>
      <c r="P70" s="228">
        <v>4.8499999999999996</v>
      </c>
      <c r="Q70" s="229">
        <v>1.24E-2</v>
      </c>
      <c r="R70" s="228">
        <v>397.4</v>
      </c>
      <c r="S70" s="228">
        <v>392.3</v>
      </c>
      <c r="T70" s="228">
        <v>5.0999999999999996</v>
      </c>
      <c r="U70" s="229">
        <v>1.2999999999999999E-2</v>
      </c>
      <c r="V70" s="228">
        <v>0</v>
      </c>
      <c r="W70" s="228">
        <v>0</v>
      </c>
      <c r="X70" s="228">
        <v>0</v>
      </c>
      <c r="Y70" s="229">
        <v>0</v>
      </c>
      <c r="Z70" s="228">
        <v>1.05</v>
      </c>
      <c r="AA70" s="228">
        <v>1.35</v>
      </c>
      <c r="AB70" s="228">
        <v>-0.3</v>
      </c>
      <c r="AC70" s="229">
        <v>2.7000000000000001E-3</v>
      </c>
      <c r="AD70" s="228">
        <v>1.05</v>
      </c>
      <c r="AE70" s="228">
        <v>1.35</v>
      </c>
      <c r="AF70" s="228">
        <v>-0.3</v>
      </c>
      <c r="AG70" s="229">
        <v>2.7000000000000001E-3</v>
      </c>
      <c r="AH70" s="228">
        <v>3.15</v>
      </c>
      <c r="AI70" s="228">
        <v>3.2</v>
      </c>
      <c r="AJ70" s="228">
        <v>-0.05</v>
      </c>
      <c r="AK70" s="229">
        <v>8.0000000000000002E-3</v>
      </c>
      <c r="AL70" s="228">
        <v>0</v>
      </c>
      <c r="AM70" s="228">
        <v>0</v>
      </c>
      <c r="AN70" s="228">
        <v>0</v>
      </c>
      <c r="AO70" s="229">
        <v>0</v>
      </c>
      <c r="AP70" s="228">
        <v>394.27</v>
      </c>
      <c r="AQ70" s="228">
        <v>396.63</v>
      </c>
      <c r="AR70" s="228">
        <v>0</v>
      </c>
      <c r="AS70" s="228">
        <v>341</v>
      </c>
      <c r="AT70" s="228">
        <v>254</v>
      </c>
      <c r="AU70" s="228">
        <v>86</v>
      </c>
      <c r="AV70" s="229">
        <v>0.3397</v>
      </c>
      <c r="AW70" s="228">
        <v>226</v>
      </c>
      <c r="AX70" s="228">
        <v>203</v>
      </c>
      <c r="AY70" s="228">
        <v>23</v>
      </c>
      <c r="AZ70" s="229">
        <v>0.11260000000000001</v>
      </c>
      <c r="BA70" s="228">
        <v>110</v>
      </c>
      <c r="BB70" s="228">
        <v>49</v>
      </c>
      <c r="BC70" s="228">
        <v>61</v>
      </c>
      <c r="BD70" s="229">
        <v>1.2595000000000001</v>
      </c>
      <c r="BE70" s="228">
        <v>0</v>
      </c>
      <c r="BF70" s="228">
        <v>0</v>
      </c>
      <c r="BG70" s="228">
        <v>0</v>
      </c>
      <c r="BH70" s="229">
        <v>0</v>
      </c>
      <c r="BI70" s="230">
        <v>1331</v>
      </c>
      <c r="BJ70" s="230">
        <v>1149</v>
      </c>
      <c r="BK70" s="228">
        <v>181</v>
      </c>
      <c r="BL70" s="229">
        <v>0.1578</v>
      </c>
      <c r="BM70" s="228">
        <v>255</v>
      </c>
      <c r="BN70" s="228">
        <v>272</v>
      </c>
      <c r="BO70" s="228">
        <v>-18</v>
      </c>
      <c r="BP70" s="229">
        <v>-6.4299999999999996E-2</v>
      </c>
      <c r="BQ70" s="230">
        <v>1926</v>
      </c>
      <c r="BR70" s="230">
        <v>1676</v>
      </c>
      <c r="BS70" s="228">
        <v>250</v>
      </c>
      <c r="BT70" s="229">
        <v>0.14929999999999999</v>
      </c>
      <c r="BU70" s="230">
        <v>3264329</v>
      </c>
      <c r="BV70" s="230">
        <v>2596512</v>
      </c>
      <c r="BW70" s="230">
        <v>667817</v>
      </c>
      <c r="BX70" s="229">
        <v>0.25719999999999998</v>
      </c>
      <c r="BY70" s="228">
        <v>960</v>
      </c>
      <c r="BZ70" s="228">
        <v>935</v>
      </c>
      <c r="CA70" s="228">
        <v>25</v>
      </c>
      <c r="CB70" s="229">
        <v>2.6599999999999999E-2</v>
      </c>
      <c r="CC70" s="228">
        <v>803</v>
      </c>
      <c r="CD70" s="228">
        <v>837</v>
      </c>
      <c r="CE70" s="228">
        <v>-34</v>
      </c>
      <c r="CF70" s="229">
        <v>-4.0300000000000002E-2</v>
      </c>
      <c r="CG70" s="228">
        <v>148</v>
      </c>
      <c r="CH70" s="228">
        <v>91</v>
      </c>
      <c r="CI70" s="228">
        <v>57</v>
      </c>
      <c r="CJ70" s="229">
        <v>0.62429999999999997</v>
      </c>
      <c r="CK70" s="228">
        <v>0</v>
      </c>
      <c r="CL70" s="228">
        <v>0</v>
      </c>
      <c r="CM70" s="228">
        <v>0</v>
      </c>
      <c r="CN70" s="229">
        <v>0</v>
      </c>
      <c r="CO70" s="228">
        <v>536</v>
      </c>
      <c r="CP70" s="228">
        <v>487</v>
      </c>
      <c r="CQ70" s="228">
        <v>49</v>
      </c>
      <c r="CR70" s="229">
        <v>0.1008</v>
      </c>
      <c r="CS70" s="228">
        <v>305</v>
      </c>
      <c r="CT70" s="228">
        <v>292</v>
      </c>
      <c r="CU70" s="228">
        <v>12</v>
      </c>
      <c r="CV70" s="229">
        <v>4.1799999999999997E-2</v>
      </c>
      <c r="CW70" s="230">
        <v>1801</v>
      </c>
      <c r="CX70" s="230">
        <v>1715</v>
      </c>
      <c r="CY70" s="228">
        <v>86</v>
      </c>
      <c r="CZ70" s="229">
        <v>5.0299999999999997E-2</v>
      </c>
      <c r="DA70" s="228">
        <v>27.63</v>
      </c>
      <c r="DB70" s="228">
        <v>27.86</v>
      </c>
      <c r="DC70" s="228">
        <v>-0.23</v>
      </c>
      <c r="DD70" s="228">
        <v>-0.23</v>
      </c>
      <c r="DE70" s="228">
        <v>37.479999999999997</v>
      </c>
      <c r="DF70" s="228">
        <v>37.54</v>
      </c>
      <c r="DG70" s="228">
        <v>-9.85</v>
      </c>
      <c r="DH70" s="228">
        <v>-0.06</v>
      </c>
      <c r="DI70" s="228">
        <v>27.74</v>
      </c>
      <c r="DJ70" s="228">
        <v>28.23</v>
      </c>
      <c r="DK70" s="228">
        <v>-0.49</v>
      </c>
      <c r="DL70" s="228">
        <v>-0.49</v>
      </c>
      <c r="DM70" s="228">
        <v>27.06</v>
      </c>
      <c r="DN70" s="228">
        <v>26.28</v>
      </c>
      <c r="DO70" s="228">
        <v>0.78</v>
      </c>
      <c r="DP70" s="228">
        <v>0.78</v>
      </c>
      <c r="DQ70" s="228">
        <v>0.56999999999999995</v>
      </c>
      <c r="DR70" s="228">
        <v>0.6</v>
      </c>
      <c r="DS70" s="228">
        <v>-0.03</v>
      </c>
      <c r="DT70" s="229">
        <v>-0.05</v>
      </c>
      <c r="DU70" s="228">
        <v>400</v>
      </c>
      <c r="DV70" s="228">
        <v>380</v>
      </c>
      <c r="DW70" s="228">
        <v>0.19</v>
      </c>
      <c r="DX70" s="228">
        <v>0.24</v>
      </c>
      <c r="DY70" s="228">
        <v>-0.05</v>
      </c>
      <c r="DZ70" s="229">
        <v>-0.20830000000000001</v>
      </c>
      <c r="EA70" s="229">
        <v>0.15440000000000001</v>
      </c>
      <c r="EB70" s="230">
        <v>2309400</v>
      </c>
      <c r="EC70" s="229">
        <v>5.3E-3</v>
      </c>
      <c r="ED70" s="229">
        <v>0.15440000000000001</v>
      </c>
      <c r="EE70" s="228">
        <v>2.36</v>
      </c>
      <c r="EF70" s="229">
        <v>6.0000000000000001E-3</v>
      </c>
      <c r="EG70" s="230">
        <v>1158346</v>
      </c>
      <c r="EH70" s="230">
        <v>1056377</v>
      </c>
      <c r="EI70" s="229">
        <v>9.6500000000000002E-2</v>
      </c>
      <c r="EJ70" s="229">
        <v>0.3548</v>
      </c>
      <c r="EK70" s="231">
        <v>1378.91</v>
      </c>
      <c r="EL70" s="228">
        <v>251.89</v>
      </c>
      <c r="EM70" s="228">
        <v>340.5</v>
      </c>
      <c r="EN70" s="228">
        <v>0</v>
      </c>
      <c r="EO70" s="231">
        <v>1971.3</v>
      </c>
      <c r="EP70" s="231">
        <v>1697.03</v>
      </c>
      <c r="EQ70" s="228">
        <v>274.27999999999997</v>
      </c>
      <c r="ER70" s="229">
        <v>0.16159999999999999</v>
      </c>
      <c r="ES70" s="228">
        <v>549.11</v>
      </c>
      <c r="ET70" s="228">
        <v>295.44</v>
      </c>
      <c r="EU70" s="228">
        <v>961.18</v>
      </c>
      <c r="EV70" s="231">
        <v>91809066</v>
      </c>
      <c r="EW70" s="231">
        <v>1805.73</v>
      </c>
      <c r="EX70" s="231">
        <v>1703.61</v>
      </c>
      <c r="EY70" s="228">
        <v>102.12</v>
      </c>
      <c r="EZ70" s="229">
        <v>5.9900000000000002E-2</v>
      </c>
      <c r="FA70" s="229">
        <v>0.49630000000000002</v>
      </c>
      <c r="FB70" s="227" t="s">
        <v>555</v>
      </c>
      <c r="FC70">
        <f t="shared" si="1"/>
        <v>157</v>
      </c>
    </row>
    <row r="71" spans="1:159" ht="17.25" thickBot="1" x14ac:dyDescent="0.3">
      <c r="A71" s="226">
        <v>45860</v>
      </c>
      <c r="B71" s="227" t="s">
        <v>172</v>
      </c>
      <c r="C71" s="227" t="s">
        <v>212</v>
      </c>
      <c r="D71" s="228">
        <v>5000</v>
      </c>
      <c r="E71" s="228">
        <v>9</v>
      </c>
      <c r="F71" s="228">
        <v>212.39</v>
      </c>
      <c r="G71" s="228">
        <v>212.67</v>
      </c>
      <c r="H71" s="228">
        <v>-0.28000000000000003</v>
      </c>
      <c r="I71" s="229">
        <v>-1.2999999999999999E-3</v>
      </c>
      <c r="J71" s="228">
        <v>212.4</v>
      </c>
      <c r="K71" s="228">
        <v>212.78</v>
      </c>
      <c r="L71" s="228">
        <v>-0.38</v>
      </c>
      <c r="M71" s="229">
        <v>-1.8E-3</v>
      </c>
      <c r="N71" s="228">
        <v>212.39</v>
      </c>
      <c r="O71" s="228">
        <v>212.67</v>
      </c>
      <c r="P71" s="228">
        <v>-0.28000000000000003</v>
      </c>
      <c r="Q71" s="229">
        <v>-1.2999999999999999E-3</v>
      </c>
      <c r="R71" s="228">
        <v>212.8</v>
      </c>
      <c r="S71" s="228">
        <v>212.98</v>
      </c>
      <c r="T71" s="228">
        <v>-0.18</v>
      </c>
      <c r="U71" s="229">
        <v>-8.0000000000000004E-4</v>
      </c>
      <c r="V71" s="228">
        <v>0</v>
      </c>
      <c r="W71" s="228">
        <v>0</v>
      </c>
      <c r="X71" s="228">
        <v>0</v>
      </c>
      <c r="Y71" s="229">
        <v>0</v>
      </c>
      <c r="Z71" s="228">
        <v>-0.01</v>
      </c>
      <c r="AA71" s="228">
        <v>-0.11</v>
      </c>
      <c r="AB71" s="228">
        <v>0.1</v>
      </c>
      <c r="AC71" s="229">
        <v>0</v>
      </c>
      <c r="AD71" s="228">
        <v>-0.01</v>
      </c>
      <c r="AE71" s="228">
        <v>-0.11</v>
      </c>
      <c r="AF71" s="228">
        <v>0.1</v>
      </c>
      <c r="AG71" s="229">
        <v>0</v>
      </c>
      <c r="AH71" s="228">
        <v>0.4</v>
      </c>
      <c r="AI71" s="228">
        <v>0.2</v>
      </c>
      <c r="AJ71" s="228">
        <v>0.2</v>
      </c>
      <c r="AK71" s="229">
        <v>1.9E-3</v>
      </c>
      <c r="AL71" s="228">
        <v>0</v>
      </c>
      <c r="AM71" s="228">
        <v>0</v>
      </c>
      <c r="AN71" s="228">
        <v>0</v>
      </c>
      <c r="AO71" s="229">
        <v>0</v>
      </c>
      <c r="AP71" s="228">
        <v>212.65</v>
      </c>
      <c r="AQ71" s="228">
        <v>212.95</v>
      </c>
      <c r="AR71" s="228">
        <v>0</v>
      </c>
      <c r="AS71" s="228">
        <v>264</v>
      </c>
      <c r="AT71" s="228">
        <v>467</v>
      </c>
      <c r="AU71" s="228">
        <v>-203</v>
      </c>
      <c r="AV71" s="229">
        <v>-0.43390000000000001</v>
      </c>
      <c r="AW71" s="228">
        <v>213</v>
      </c>
      <c r="AX71" s="228">
        <v>378</v>
      </c>
      <c r="AY71" s="228">
        <v>-165</v>
      </c>
      <c r="AZ71" s="229">
        <v>-0.43759999999999999</v>
      </c>
      <c r="BA71" s="228">
        <v>50</v>
      </c>
      <c r="BB71" s="228">
        <v>81</v>
      </c>
      <c r="BC71" s="228">
        <v>-31</v>
      </c>
      <c r="BD71" s="229">
        <v>-0.38119999999999998</v>
      </c>
      <c r="BE71" s="228">
        <v>0</v>
      </c>
      <c r="BF71" s="228">
        <v>0</v>
      </c>
      <c r="BG71" s="228">
        <v>0</v>
      </c>
      <c r="BH71" s="229">
        <v>0</v>
      </c>
      <c r="BI71" s="228">
        <v>611</v>
      </c>
      <c r="BJ71" s="230">
        <v>1341</v>
      </c>
      <c r="BK71" s="228">
        <v>-730</v>
      </c>
      <c r="BL71" s="229">
        <v>-0.54430000000000001</v>
      </c>
      <c r="BM71" s="228">
        <v>407</v>
      </c>
      <c r="BN71" s="228">
        <v>832</v>
      </c>
      <c r="BO71" s="228">
        <v>-424</v>
      </c>
      <c r="BP71" s="229">
        <v>-0.5101</v>
      </c>
      <c r="BQ71" s="230">
        <v>1283</v>
      </c>
      <c r="BR71" s="230">
        <v>2639</v>
      </c>
      <c r="BS71" s="230">
        <v>-1357</v>
      </c>
      <c r="BT71" s="229">
        <v>-0.51400000000000001</v>
      </c>
      <c r="BU71" s="230">
        <v>6332862</v>
      </c>
      <c r="BV71" s="230">
        <v>4774330</v>
      </c>
      <c r="BW71" s="230">
        <v>1558532</v>
      </c>
      <c r="BX71" s="229">
        <v>0.32640000000000002</v>
      </c>
      <c r="BY71" s="230">
        <v>1756</v>
      </c>
      <c r="BZ71" s="230">
        <v>1767</v>
      </c>
      <c r="CA71" s="228">
        <v>-12</v>
      </c>
      <c r="CB71" s="229">
        <v>-6.4999999999999997E-3</v>
      </c>
      <c r="CC71" s="230">
        <v>1463</v>
      </c>
      <c r="CD71" s="230">
        <v>1492</v>
      </c>
      <c r="CE71" s="228">
        <v>-29</v>
      </c>
      <c r="CF71" s="229">
        <v>-1.9699999999999999E-2</v>
      </c>
      <c r="CG71" s="228">
        <v>279</v>
      </c>
      <c r="CH71" s="228">
        <v>261</v>
      </c>
      <c r="CI71" s="228">
        <v>18</v>
      </c>
      <c r="CJ71" s="229">
        <v>7.0000000000000007E-2</v>
      </c>
      <c r="CK71" s="228">
        <v>0</v>
      </c>
      <c r="CL71" s="228">
        <v>0</v>
      </c>
      <c r="CM71" s="228">
        <v>0</v>
      </c>
      <c r="CN71" s="229">
        <v>0</v>
      </c>
      <c r="CO71" s="230">
        <v>1035</v>
      </c>
      <c r="CP71" s="230">
        <v>1014</v>
      </c>
      <c r="CQ71" s="228">
        <v>20</v>
      </c>
      <c r="CR71" s="229">
        <v>0.02</v>
      </c>
      <c r="CS71" s="228">
        <v>668</v>
      </c>
      <c r="CT71" s="228">
        <v>667</v>
      </c>
      <c r="CU71" s="228">
        <v>1</v>
      </c>
      <c r="CV71" s="229">
        <v>1.4E-3</v>
      </c>
      <c r="CW71" s="230">
        <v>3459</v>
      </c>
      <c r="CX71" s="230">
        <v>3449</v>
      </c>
      <c r="CY71" s="228">
        <v>10</v>
      </c>
      <c r="CZ71" s="229">
        <v>2.8E-3</v>
      </c>
      <c r="DA71" s="228">
        <v>23.98</v>
      </c>
      <c r="DB71" s="228">
        <v>24.23</v>
      </c>
      <c r="DC71" s="228">
        <v>-0.25</v>
      </c>
      <c r="DD71" s="228">
        <v>-0.25</v>
      </c>
      <c r="DE71" s="228">
        <v>30.75</v>
      </c>
      <c r="DF71" s="228">
        <v>30.83</v>
      </c>
      <c r="DG71" s="228">
        <v>-6.77</v>
      </c>
      <c r="DH71" s="228">
        <v>-0.08</v>
      </c>
      <c r="DI71" s="228">
        <v>24.16</v>
      </c>
      <c r="DJ71" s="228">
        <v>24.28</v>
      </c>
      <c r="DK71" s="228">
        <v>-0.12</v>
      </c>
      <c r="DL71" s="228">
        <v>-0.12</v>
      </c>
      <c r="DM71" s="228">
        <v>23.72</v>
      </c>
      <c r="DN71" s="228">
        <v>24.14</v>
      </c>
      <c r="DO71" s="228">
        <v>-0.42</v>
      </c>
      <c r="DP71" s="228">
        <v>-0.42</v>
      </c>
      <c r="DQ71" s="228">
        <v>0.65</v>
      </c>
      <c r="DR71" s="228">
        <v>0.66</v>
      </c>
      <c r="DS71" s="228">
        <v>-0.01</v>
      </c>
      <c r="DT71" s="229">
        <v>-1.52E-2</v>
      </c>
      <c r="DU71" s="228">
        <v>220</v>
      </c>
      <c r="DV71" s="228">
        <v>210</v>
      </c>
      <c r="DW71" s="228">
        <v>0.67</v>
      </c>
      <c r="DX71" s="228">
        <v>0.62</v>
      </c>
      <c r="DY71" s="228">
        <v>0.05</v>
      </c>
      <c r="DZ71" s="229">
        <v>8.0600000000000005E-2</v>
      </c>
      <c r="EA71" s="229">
        <v>0.159</v>
      </c>
      <c r="EB71" s="230">
        <v>12285000</v>
      </c>
      <c r="EC71" s="229">
        <v>1.9E-3</v>
      </c>
      <c r="ED71" s="229">
        <v>0.159</v>
      </c>
      <c r="EE71" s="228">
        <v>0.3</v>
      </c>
      <c r="EF71" s="229">
        <v>1.4E-3</v>
      </c>
      <c r="EG71" s="230">
        <v>3781215</v>
      </c>
      <c r="EH71" s="230">
        <v>2222557</v>
      </c>
      <c r="EI71" s="229">
        <v>0.70130000000000003</v>
      </c>
      <c r="EJ71" s="229">
        <v>0.59709999999999996</v>
      </c>
      <c r="EK71" s="228">
        <v>629.77</v>
      </c>
      <c r="EL71" s="228">
        <v>406.45</v>
      </c>
      <c r="EM71" s="228">
        <v>264.72000000000003</v>
      </c>
      <c r="EN71" s="228">
        <v>0</v>
      </c>
      <c r="EO71" s="231">
        <v>1300.94</v>
      </c>
      <c r="EP71" s="231">
        <v>2678.73</v>
      </c>
      <c r="EQ71" s="231">
        <v>-1377.79</v>
      </c>
      <c r="ER71" s="229">
        <v>-0.51429999999999998</v>
      </c>
      <c r="ES71" s="231">
        <v>1082.99</v>
      </c>
      <c r="ET71" s="228">
        <v>647.80999999999995</v>
      </c>
      <c r="EU71" s="231">
        <v>1756.44</v>
      </c>
      <c r="EV71" s="231">
        <v>486316409</v>
      </c>
      <c r="EW71" s="231">
        <v>3487.24</v>
      </c>
      <c r="EX71" s="231">
        <v>3479.17</v>
      </c>
      <c r="EY71" s="228">
        <v>8.07</v>
      </c>
      <c r="EZ71" s="229">
        <v>2.3E-3</v>
      </c>
      <c r="FA71" s="229">
        <v>0.33489999999999998</v>
      </c>
      <c r="FB71" s="227" t="s">
        <v>568</v>
      </c>
      <c r="FC71">
        <f t="shared" si="1"/>
        <v>293</v>
      </c>
    </row>
    <row r="72" spans="1:159" ht="17.25" thickBot="1" x14ac:dyDescent="0.3">
      <c r="A72" s="226">
        <v>45860</v>
      </c>
      <c r="B72" s="227" t="s">
        <v>181</v>
      </c>
      <c r="C72" s="227" t="s">
        <v>480</v>
      </c>
      <c r="D72" s="228">
        <v>65</v>
      </c>
      <c r="E72" s="228">
        <v>9</v>
      </c>
      <c r="F72" s="231">
        <v>27004.7</v>
      </c>
      <c r="G72" s="231">
        <v>27012.1</v>
      </c>
      <c r="H72" s="228">
        <v>-7.4</v>
      </c>
      <c r="I72" s="229">
        <v>-2.9999999999999997E-4</v>
      </c>
      <c r="J72" s="231">
        <v>26990.45</v>
      </c>
      <c r="K72" s="231">
        <v>26986.95</v>
      </c>
      <c r="L72" s="228">
        <v>3.5</v>
      </c>
      <c r="M72" s="229">
        <v>1E-4</v>
      </c>
      <c r="N72" s="231">
        <v>27004.7</v>
      </c>
      <c r="O72" s="231">
        <v>27012.1</v>
      </c>
      <c r="P72" s="228">
        <v>-7.4</v>
      </c>
      <c r="Q72" s="229">
        <v>-2.9999999999999997E-4</v>
      </c>
      <c r="R72" s="231">
        <v>27074</v>
      </c>
      <c r="S72" s="231">
        <v>27071.1</v>
      </c>
      <c r="T72" s="228">
        <v>2.9</v>
      </c>
      <c r="U72" s="229">
        <v>1E-4</v>
      </c>
      <c r="V72" s="228">
        <v>0</v>
      </c>
      <c r="W72" s="228">
        <v>0</v>
      </c>
      <c r="X72" s="228">
        <v>0</v>
      </c>
      <c r="Y72" s="229">
        <v>0</v>
      </c>
      <c r="Z72" s="228">
        <v>14.25</v>
      </c>
      <c r="AA72" s="228">
        <v>25.15</v>
      </c>
      <c r="AB72" s="228">
        <v>-10.9</v>
      </c>
      <c r="AC72" s="229">
        <v>5.0000000000000001E-4</v>
      </c>
      <c r="AD72" s="228">
        <v>14.25</v>
      </c>
      <c r="AE72" s="228">
        <v>25.15</v>
      </c>
      <c r="AF72" s="228">
        <v>-10.9</v>
      </c>
      <c r="AG72" s="229">
        <v>5.0000000000000001E-4</v>
      </c>
      <c r="AH72" s="228">
        <v>83.55</v>
      </c>
      <c r="AI72" s="228">
        <v>84.15</v>
      </c>
      <c r="AJ72" s="228">
        <v>-0.6</v>
      </c>
      <c r="AK72" s="229">
        <v>3.0999999999999999E-3</v>
      </c>
      <c r="AL72" s="228">
        <v>0</v>
      </c>
      <c r="AM72" s="228">
        <v>0</v>
      </c>
      <c r="AN72" s="228">
        <v>0</v>
      </c>
      <c r="AO72" s="229">
        <v>0</v>
      </c>
      <c r="AP72" s="231">
        <v>27065.15</v>
      </c>
      <c r="AQ72" s="231">
        <v>27120.94</v>
      </c>
      <c r="AR72" s="228">
        <v>0</v>
      </c>
      <c r="AS72" s="228">
        <v>47</v>
      </c>
      <c r="AT72" s="228">
        <v>126</v>
      </c>
      <c r="AU72" s="228">
        <v>-78</v>
      </c>
      <c r="AV72" s="229">
        <v>-0.62290000000000001</v>
      </c>
      <c r="AW72" s="228">
        <v>41</v>
      </c>
      <c r="AX72" s="228">
        <v>101</v>
      </c>
      <c r="AY72" s="228">
        <v>-60</v>
      </c>
      <c r="AZ72" s="229">
        <v>-0.59379999999999999</v>
      </c>
      <c r="BA72" s="228">
        <v>6</v>
      </c>
      <c r="BB72" s="228">
        <v>25</v>
      </c>
      <c r="BC72" s="228">
        <v>-18</v>
      </c>
      <c r="BD72" s="229">
        <v>-0.7429</v>
      </c>
      <c r="BE72" s="228">
        <v>0</v>
      </c>
      <c r="BF72" s="228">
        <v>0</v>
      </c>
      <c r="BG72" s="228">
        <v>0</v>
      </c>
      <c r="BH72" s="229">
        <v>0</v>
      </c>
      <c r="BI72" s="230">
        <v>9332</v>
      </c>
      <c r="BJ72" s="230">
        <v>13566</v>
      </c>
      <c r="BK72" s="230">
        <v>-4234</v>
      </c>
      <c r="BL72" s="229">
        <v>-0.31209999999999999</v>
      </c>
      <c r="BM72" s="230">
        <v>8434</v>
      </c>
      <c r="BN72" s="230">
        <v>11945</v>
      </c>
      <c r="BO72" s="230">
        <v>-3511</v>
      </c>
      <c r="BP72" s="229">
        <v>-0.29389999999999999</v>
      </c>
      <c r="BQ72" s="230">
        <v>17813</v>
      </c>
      <c r="BR72" s="230">
        <v>25636</v>
      </c>
      <c r="BS72" s="230">
        <v>-7824</v>
      </c>
      <c r="BT72" s="229">
        <v>-0.30520000000000003</v>
      </c>
      <c r="BU72" s="228">
        <v>0</v>
      </c>
      <c r="BV72" s="228">
        <v>0</v>
      </c>
      <c r="BW72" s="228">
        <v>0</v>
      </c>
      <c r="BX72" s="229">
        <v>0</v>
      </c>
      <c r="BY72" s="228">
        <v>222</v>
      </c>
      <c r="BZ72" s="228">
        <v>217</v>
      </c>
      <c r="CA72" s="228">
        <v>5</v>
      </c>
      <c r="CB72" s="229">
        <v>2.5100000000000001E-2</v>
      </c>
      <c r="CC72" s="228">
        <v>200</v>
      </c>
      <c r="CD72" s="228">
        <v>196</v>
      </c>
      <c r="CE72" s="228">
        <v>4</v>
      </c>
      <c r="CF72" s="229">
        <v>2.1499999999999998E-2</v>
      </c>
      <c r="CG72" s="228">
        <v>22</v>
      </c>
      <c r="CH72" s="228">
        <v>21</v>
      </c>
      <c r="CI72" s="228">
        <v>1</v>
      </c>
      <c r="CJ72" s="229">
        <v>5.9799999999999999E-2</v>
      </c>
      <c r="CK72" s="228">
        <v>0</v>
      </c>
      <c r="CL72" s="228">
        <v>0</v>
      </c>
      <c r="CM72" s="228">
        <v>0</v>
      </c>
      <c r="CN72" s="229">
        <v>0</v>
      </c>
      <c r="CO72" s="230">
        <v>4220</v>
      </c>
      <c r="CP72" s="230">
        <v>4028</v>
      </c>
      <c r="CQ72" s="228">
        <v>192</v>
      </c>
      <c r="CR72" s="229">
        <v>4.7600000000000003E-2</v>
      </c>
      <c r="CS72" s="230">
        <v>3653</v>
      </c>
      <c r="CT72" s="230">
        <v>3461</v>
      </c>
      <c r="CU72" s="228">
        <v>192</v>
      </c>
      <c r="CV72" s="229">
        <v>5.5599999999999997E-2</v>
      </c>
      <c r="CW72" s="230">
        <v>8095</v>
      </c>
      <c r="CX72" s="230">
        <v>7706</v>
      </c>
      <c r="CY72" s="228">
        <v>390</v>
      </c>
      <c r="CZ72" s="229">
        <v>5.0599999999999999E-2</v>
      </c>
      <c r="DA72" s="228">
        <v>12.13</v>
      </c>
      <c r="DB72" s="228">
        <v>12.63</v>
      </c>
      <c r="DC72" s="228">
        <v>-0.5</v>
      </c>
      <c r="DD72" s="228">
        <v>-0.5</v>
      </c>
      <c r="DE72" s="228">
        <v>19.309999999999999</v>
      </c>
      <c r="DF72" s="228">
        <v>19.36</v>
      </c>
      <c r="DG72" s="228">
        <v>-7.18</v>
      </c>
      <c r="DH72" s="228">
        <v>-0.05</v>
      </c>
      <c r="DI72" s="228">
        <v>11.88</v>
      </c>
      <c r="DJ72" s="228">
        <v>12.02</v>
      </c>
      <c r="DK72" s="228">
        <v>-0.14000000000000001</v>
      </c>
      <c r="DL72" s="228">
        <v>-0.14000000000000001</v>
      </c>
      <c r="DM72" s="228">
        <v>12.41</v>
      </c>
      <c r="DN72" s="228">
        <v>13.31</v>
      </c>
      <c r="DO72" s="228">
        <v>-0.9</v>
      </c>
      <c r="DP72" s="228">
        <v>-0.9</v>
      </c>
      <c r="DQ72" s="228">
        <v>0.87</v>
      </c>
      <c r="DR72" s="228">
        <v>0.86</v>
      </c>
      <c r="DS72" s="228">
        <v>0.01</v>
      </c>
      <c r="DT72" s="229">
        <v>1.1599999999999999E-2</v>
      </c>
      <c r="DU72" s="231">
        <v>28000</v>
      </c>
      <c r="DV72" s="231">
        <v>27000</v>
      </c>
      <c r="DW72" s="228">
        <v>0.9</v>
      </c>
      <c r="DX72" s="228">
        <v>0.88</v>
      </c>
      <c r="DY72" s="228">
        <v>0.02</v>
      </c>
      <c r="DZ72" s="229">
        <v>2.2700000000000001E-2</v>
      </c>
      <c r="EA72" s="229">
        <v>9.7900000000000001E-2</v>
      </c>
      <c r="EB72" s="230">
        <v>7605</v>
      </c>
      <c r="EC72" s="229">
        <v>2.5999999999999999E-3</v>
      </c>
      <c r="ED72" s="229">
        <v>9.7900000000000001E-2</v>
      </c>
      <c r="EE72" s="228">
        <v>55.79</v>
      </c>
      <c r="EF72" s="229">
        <v>2.0999999999999999E-3</v>
      </c>
      <c r="EG72" s="228">
        <v>0</v>
      </c>
      <c r="EH72" s="228">
        <v>0</v>
      </c>
      <c r="EI72" s="229">
        <v>0</v>
      </c>
      <c r="EJ72" s="229">
        <v>0</v>
      </c>
      <c r="EK72" s="231">
        <v>9495.15</v>
      </c>
      <c r="EL72" s="231">
        <v>8332.73</v>
      </c>
      <c r="EM72" s="228">
        <v>47.51</v>
      </c>
      <c r="EN72" s="228">
        <v>0</v>
      </c>
      <c r="EO72" s="231">
        <v>17875.400000000001</v>
      </c>
      <c r="EP72" s="231">
        <v>25626.59</v>
      </c>
      <c r="EQ72" s="231">
        <v>-7751.2</v>
      </c>
      <c r="ER72" s="229">
        <v>-0.30249999999999999</v>
      </c>
      <c r="ES72" s="231">
        <v>4330.51</v>
      </c>
      <c r="ET72" s="231">
        <v>3499.27</v>
      </c>
      <c r="EU72" s="228">
        <v>222.28</v>
      </c>
      <c r="EV72" s="228">
        <v>0</v>
      </c>
      <c r="EW72" s="231">
        <v>8052.06</v>
      </c>
      <c r="EX72" s="231">
        <v>7662.32</v>
      </c>
      <c r="EY72" s="228">
        <v>389.74</v>
      </c>
      <c r="EZ72" s="229">
        <v>5.0900000000000001E-2</v>
      </c>
      <c r="FA72" s="229">
        <v>0</v>
      </c>
      <c r="FB72" s="227" t="s">
        <v>567</v>
      </c>
      <c r="FC72">
        <f t="shared" si="1"/>
        <v>22</v>
      </c>
    </row>
    <row r="73" spans="1:159" ht="17.25" thickBot="1" x14ac:dyDescent="0.3">
      <c r="A73" s="226">
        <v>45860</v>
      </c>
      <c r="B73" s="227" t="s">
        <v>170</v>
      </c>
      <c r="C73" s="227" t="s">
        <v>679</v>
      </c>
      <c r="D73" s="228">
        <v>775</v>
      </c>
      <c r="E73" s="228">
        <v>9</v>
      </c>
      <c r="F73" s="228">
        <v>810.25</v>
      </c>
      <c r="G73" s="228">
        <v>804.2</v>
      </c>
      <c r="H73" s="228">
        <v>6.05</v>
      </c>
      <c r="I73" s="229">
        <v>7.4999999999999997E-3</v>
      </c>
      <c r="J73" s="228">
        <v>809.1</v>
      </c>
      <c r="K73" s="228">
        <v>802.25</v>
      </c>
      <c r="L73" s="228">
        <v>6.85</v>
      </c>
      <c r="M73" s="229">
        <v>8.5000000000000006E-3</v>
      </c>
      <c r="N73" s="228">
        <v>810.25</v>
      </c>
      <c r="O73" s="228">
        <v>804.2</v>
      </c>
      <c r="P73" s="228">
        <v>6.05</v>
      </c>
      <c r="Q73" s="229">
        <v>7.4999999999999997E-3</v>
      </c>
      <c r="R73" s="228">
        <v>814.7</v>
      </c>
      <c r="S73" s="228">
        <v>807.9</v>
      </c>
      <c r="T73" s="228">
        <v>6.8</v>
      </c>
      <c r="U73" s="229">
        <v>8.3999999999999995E-3</v>
      </c>
      <c r="V73" s="228">
        <v>0</v>
      </c>
      <c r="W73" s="228">
        <v>0</v>
      </c>
      <c r="X73" s="228">
        <v>0</v>
      </c>
      <c r="Y73" s="229">
        <v>0</v>
      </c>
      <c r="Z73" s="228">
        <v>1.1499999999999999</v>
      </c>
      <c r="AA73" s="228">
        <v>1.95</v>
      </c>
      <c r="AB73" s="228">
        <v>-0.8</v>
      </c>
      <c r="AC73" s="229">
        <v>1.4E-3</v>
      </c>
      <c r="AD73" s="228">
        <v>1.1499999999999999</v>
      </c>
      <c r="AE73" s="228">
        <v>1.95</v>
      </c>
      <c r="AF73" s="228">
        <v>-0.8</v>
      </c>
      <c r="AG73" s="229">
        <v>1.4E-3</v>
      </c>
      <c r="AH73" s="228">
        <v>5.6</v>
      </c>
      <c r="AI73" s="228">
        <v>5.65</v>
      </c>
      <c r="AJ73" s="228">
        <v>-0.05</v>
      </c>
      <c r="AK73" s="229">
        <v>6.8999999999999999E-3</v>
      </c>
      <c r="AL73" s="228">
        <v>0</v>
      </c>
      <c r="AM73" s="228">
        <v>0</v>
      </c>
      <c r="AN73" s="228">
        <v>0</v>
      </c>
      <c r="AO73" s="229">
        <v>0</v>
      </c>
      <c r="AP73" s="228">
        <v>810.3</v>
      </c>
      <c r="AQ73" s="228">
        <v>813.96</v>
      </c>
      <c r="AR73" s="228">
        <v>0</v>
      </c>
      <c r="AS73" s="228">
        <v>235</v>
      </c>
      <c r="AT73" s="228">
        <v>203</v>
      </c>
      <c r="AU73" s="228">
        <v>32</v>
      </c>
      <c r="AV73" s="229">
        <v>0.1593</v>
      </c>
      <c r="AW73" s="228">
        <v>181</v>
      </c>
      <c r="AX73" s="228">
        <v>166</v>
      </c>
      <c r="AY73" s="228">
        <v>15</v>
      </c>
      <c r="AZ73" s="229">
        <v>9.06E-2</v>
      </c>
      <c r="BA73" s="228">
        <v>53</v>
      </c>
      <c r="BB73" s="228">
        <v>36</v>
      </c>
      <c r="BC73" s="228">
        <v>17</v>
      </c>
      <c r="BD73" s="229">
        <v>0.46260000000000001</v>
      </c>
      <c r="BE73" s="228">
        <v>0</v>
      </c>
      <c r="BF73" s="228">
        <v>0</v>
      </c>
      <c r="BG73" s="228">
        <v>0</v>
      </c>
      <c r="BH73" s="229">
        <v>0</v>
      </c>
      <c r="BI73" s="228">
        <v>378</v>
      </c>
      <c r="BJ73" s="228">
        <v>236</v>
      </c>
      <c r="BK73" s="228">
        <v>142</v>
      </c>
      <c r="BL73" s="229">
        <v>0.60089999999999999</v>
      </c>
      <c r="BM73" s="228">
        <v>137</v>
      </c>
      <c r="BN73" s="228">
        <v>186</v>
      </c>
      <c r="BO73" s="228">
        <v>-50</v>
      </c>
      <c r="BP73" s="229">
        <v>-0.26650000000000001</v>
      </c>
      <c r="BQ73" s="228">
        <v>750</v>
      </c>
      <c r="BR73" s="228">
        <v>625</v>
      </c>
      <c r="BS73" s="228">
        <v>125</v>
      </c>
      <c r="BT73" s="229">
        <v>0.19939999999999999</v>
      </c>
      <c r="BU73" s="230">
        <v>1619711</v>
      </c>
      <c r="BV73" s="230">
        <v>1298010</v>
      </c>
      <c r="BW73" s="230">
        <v>321701</v>
      </c>
      <c r="BX73" s="229">
        <v>0.24779999999999999</v>
      </c>
      <c r="BY73" s="228">
        <v>749</v>
      </c>
      <c r="BZ73" s="228">
        <v>699</v>
      </c>
      <c r="CA73" s="228">
        <v>50</v>
      </c>
      <c r="CB73" s="229">
        <v>7.1400000000000005E-2</v>
      </c>
      <c r="CC73" s="228">
        <v>687</v>
      </c>
      <c r="CD73" s="228">
        <v>666</v>
      </c>
      <c r="CE73" s="228">
        <v>21</v>
      </c>
      <c r="CF73" s="229">
        <v>3.1199999999999999E-2</v>
      </c>
      <c r="CG73" s="228">
        <v>60</v>
      </c>
      <c r="CH73" s="228">
        <v>31</v>
      </c>
      <c r="CI73" s="228">
        <v>29</v>
      </c>
      <c r="CJ73" s="229">
        <v>0.93669999999999998</v>
      </c>
      <c r="CK73" s="228">
        <v>0</v>
      </c>
      <c r="CL73" s="228">
        <v>0</v>
      </c>
      <c r="CM73" s="228">
        <v>0</v>
      </c>
      <c r="CN73" s="229">
        <v>0</v>
      </c>
      <c r="CO73" s="228">
        <v>224</v>
      </c>
      <c r="CP73" s="228">
        <v>209</v>
      </c>
      <c r="CQ73" s="228">
        <v>16</v>
      </c>
      <c r="CR73" s="229">
        <v>7.5499999999999998E-2</v>
      </c>
      <c r="CS73" s="228">
        <v>154</v>
      </c>
      <c r="CT73" s="228">
        <v>154</v>
      </c>
      <c r="CU73" s="228">
        <v>0</v>
      </c>
      <c r="CV73" s="229">
        <v>-1.6000000000000001E-3</v>
      </c>
      <c r="CW73" s="230">
        <v>1127</v>
      </c>
      <c r="CX73" s="230">
        <v>1061</v>
      </c>
      <c r="CY73" s="228">
        <v>65</v>
      </c>
      <c r="CZ73" s="229">
        <v>6.1600000000000002E-2</v>
      </c>
      <c r="DA73" s="228">
        <v>30.47</v>
      </c>
      <c r="DB73" s="228">
        <v>31.8</v>
      </c>
      <c r="DC73" s="228">
        <v>-1.33</v>
      </c>
      <c r="DD73" s="228">
        <v>-1.33</v>
      </c>
      <c r="DE73" s="228">
        <v>38.049999999999997</v>
      </c>
      <c r="DF73" s="228">
        <v>38.119999999999997</v>
      </c>
      <c r="DG73" s="228">
        <v>-7.58</v>
      </c>
      <c r="DH73" s="228">
        <v>-7.0000000000000007E-2</v>
      </c>
      <c r="DI73" s="228">
        <v>30.06</v>
      </c>
      <c r="DJ73" s="228">
        <v>31.56</v>
      </c>
      <c r="DK73" s="228">
        <v>-1.5</v>
      </c>
      <c r="DL73" s="228">
        <v>-1.5</v>
      </c>
      <c r="DM73" s="228">
        <v>31.61</v>
      </c>
      <c r="DN73" s="228">
        <v>32.119999999999997</v>
      </c>
      <c r="DO73" s="228">
        <v>-0.51</v>
      </c>
      <c r="DP73" s="228">
        <v>-0.51</v>
      </c>
      <c r="DQ73" s="228">
        <v>0.68</v>
      </c>
      <c r="DR73" s="228">
        <v>0.74</v>
      </c>
      <c r="DS73" s="228">
        <v>-0.06</v>
      </c>
      <c r="DT73" s="229">
        <v>-8.1100000000000005E-2</v>
      </c>
      <c r="DU73" s="228">
        <v>900</v>
      </c>
      <c r="DV73" s="228">
        <v>800</v>
      </c>
      <c r="DW73" s="228">
        <v>0.36</v>
      </c>
      <c r="DX73" s="228">
        <v>0.79</v>
      </c>
      <c r="DY73" s="228">
        <v>-0.43</v>
      </c>
      <c r="DZ73" s="229">
        <v>-0.54430000000000001</v>
      </c>
      <c r="EA73" s="229">
        <v>7.9600000000000004E-2</v>
      </c>
      <c r="EB73" s="230">
        <v>379750</v>
      </c>
      <c r="EC73" s="229">
        <v>5.4999999999999997E-3</v>
      </c>
      <c r="ED73" s="229">
        <v>7.9600000000000004E-2</v>
      </c>
      <c r="EE73" s="228">
        <v>3.66</v>
      </c>
      <c r="EF73" s="229">
        <v>4.4999999999999997E-3</v>
      </c>
      <c r="EG73" s="230">
        <v>826166</v>
      </c>
      <c r="EH73" s="230">
        <v>734212</v>
      </c>
      <c r="EI73" s="229">
        <v>0.12520000000000001</v>
      </c>
      <c r="EJ73" s="229">
        <v>0.5101</v>
      </c>
      <c r="EK73" s="228">
        <v>390.86</v>
      </c>
      <c r="EL73" s="228">
        <v>132.04</v>
      </c>
      <c r="EM73" s="228">
        <v>235.17</v>
      </c>
      <c r="EN73" s="228">
        <v>0</v>
      </c>
      <c r="EO73" s="228">
        <v>758.07</v>
      </c>
      <c r="EP73" s="228">
        <v>622.72</v>
      </c>
      <c r="EQ73" s="228">
        <v>135.35</v>
      </c>
      <c r="ER73" s="229">
        <v>0.21729999999999999</v>
      </c>
      <c r="ES73" s="228">
        <v>231.77</v>
      </c>
      <c r="ET73" s="228">
        <v>144.08000000000001</v>
      </c>
      <c r="EU73" s="228">
        <v>749.11</v>
      </c>
      <c r="EV73" s="231">
        <v>103932806</v>
      </c>
      <c r="EW73" s="231">
        <v>1124.95</v>
      </c>
      <c r="EX73" s="231">
        <v>1053.49</v>
      </c>
      <c r="EY73" s="228">
        <v>71.459999999999994</v>
      </c>
      <c r="EZ73" s="229">
        <v>6.7799999999999999E-2</v>
      </c>
      <c r="FA73" s="229">
        <v>0.1338</v>
      </c>
      <c r="FB73" s="227" t="s">
        <v>555</v>
      </c>
      <c r="FC73">
        <f t="shared" si="1"/>
        <v>62</v>
      </c>
    </row>
    <row r="74" spans="1:159" ht="17.25" thickBot="1" x14ac:dyDescent="0.3">
      <c r="A74" s="226">
        <v>45860</v>
      </c>
      <c r="B74" s="227" t="s">
        <v>193</v>
      </c>
      <c r="C74" s="227" t="s">
        <v>213</v>
      </c>
      <c r="D74" s="228">
        <v>3150</v>
      </c>
      <c r="E74" s="228">
        <v>9</v>
      </c>
      <c r="F74" s="228">
        <v>183.99</v>
      </c>
      <c r="G74" s="228">
        <v>184.11</v>
      </c>
      <c r="H74" s="228">
        <v>-0.12</v>
      </c>
      <c r="I74" s="229">
        <v>-6.9999999999999999E-4</v>
      </c>
      <c r="J74" s="228">
        <v>184.03</v>
      </c>
      <c r="K74" s="228">
        <v>184.12</v>
      </c>
      <c r="L74" s="228">
        <v>-0.09</v>
      </c>
      <c r="M74" s="229">
        <v>-5.0000000000000001E-4</v>
      </c>
      <c r="N74" s="228">
        <v>183.99</v>
      </c>
      <c r="O74" s="228">
        <v>184.11</v>
      </c>
      <c r="P74" s="228">
        <v>-0.12</v>
      </c>
      <c r="Q74" s="229">
        <v>-6.9999999999999999E-4</v>
      </c>
      <c r="R74" s="228">
        <v>183.88</v>
      </c>
      <c r="S74" s="228">
        <v>184.5</v>
      </c>
      <c r="T74" s="228">
        <v>-0.62</v>
      </c>
      <c r="U74" s="229">
        <v>-3.3999999999999998E-3</v>
      </c>
      <c r="V74" s="228">
        <v>0</v>
      </c>
      <c r="W74" s="228">
        <v>0</v>
      </c>
      <c r="X74" s="228">
        <v>0</v>
      </c>
      <c r="Y74" s="229">
        <v>0</v>
      </c>
      <c r="Z74" s="228">
        <v>-0.04</v>
      </c>
      <c r="AA74" s="228">
        <v>-0.01</v>
      </c>
      <c r="AB74" s="228">
        <v>-0.03</v>
      </c>
      <c r="AC74" s="229">
        <v>-2.0000000000000001E-4</v>
      </c>
      <c r="AD74" s="228">
        <v>-0.04</v>
      </c>
      <c r="AE74" s="228">
        <v>-0.01</v>
      </c>
      <c r="AF74" s="228">
        <v>-0.03</v>
      </c>
      <c r="AG74" s="229">
        <v>-2.0000000000000001E-4</v>
      </c>
      <c r="AH74" s="228">
        <v>-0.15</v>
      </c>
      <c r="AI74" s="228">
        <v>0.38</v>
      </c>
      <c r="AJ74" s="228">
        <v>-0.53</v>
      </c>
      <c r="AK74" s="229">
        <v>-8.0000000000000004E-4</v>
      </c>
      <c r="AL74" s="228">
        <v>0</v>
      </c>
      <c r="AM74" s="228">
        <v>0</v>
      </c>
      <c r="AN74" s="228">
        <v>0</v>
      </c>
      <c r="AO74" s="229">
        <v>0</v>
      </c>
      <c r="AP74" s="228">
        <v>183.97</v>
      </c>
      <c r="AQ74" s="228">
        <v>184.09</v>
      </c>
      <c r="AR74" s="228">
        <v>0</v>
      </c>
      <c r="AS74" s="228">
        <v>251</v>
      </c>
      <c r="AT74" s="228">
        <v>186</v>
      </c>
      <c r="AU74" s="228">
        <v>65</v>
      </c>
      <c r="AV74" s="229">
        <v>0.34910000000000002</v>
      </c>
      <c r="AW74" s="228">
        <v>191</v>
      </c>
      <c r="AX74" s="228">
        <v>165</v>
      </c>
      <c r="AY74" s="228">
        <v>27</v>
      </c>
      <c r="AZ74" s="229">
        <v>0.16170000000000001</v>
      </c>
      <c r="BA74" s="228">
        <v>56</v>
      </c>
      <c r="BB74" s="228">
        <v>21</v>
      </c>
      <c r="BC74" s="228">
        <v>36</v>
      </c>
      <c r="BD74" s="229">
        <v>1.7102999999999999</v>
      </c>
      <c r="BE74" s="228">
        <v>0</v>
      </c>
      <c r="BF74" s="228">
        <v>0</v>
      </c>
      <c r="BG74" s="228">
        <v>0</v>
      </c>
      <c r="BH74" s="229">
        <v>0</v>
      </c>
      <c r="BI74" s="228">
        <v>441</v>
      </c>
      <c r="BJ74" s="228">
        <v>304</v>
      </c>
      <c r="BK74" s="228">
        <v>138</v>
      </c>
      <c r="BL74" s="229">
        <v>0.45350000000000001</v>
      </c>
      <c r="BM74" s="228">
        <v>245</v>
      </c>
      <c r="BN74" s="228">
        <v>110</v>
      </c>
      <c r="BO74" s="228">
        <v>135</v>
      </c>
      <c r="BP74" s="229">
        <v>1.2242999999999999</v>
      </c>
      <c r="BQ74" s="228">
        <v>938</v>
      </c>
      <c r="BR74" s="228">
        <v>600</v>
      </c>
      <c r="BS74" s="228">
        <v>338</v>
      </c>
      <c r="BT74" s="229">
        <v>0.56289999999999996</v>
      </c>
      <c r="BU74" s="230">
        <v>7740302</v>
      </c>
      <c r="BV74" s="230">
        <v>6634860</v>
      </c>
      <c r="BW74" s="230">
        <v>1105442</v>
      </c>
      <c r="BX74" s="229">
        <v>0.1666</v>
      </c>
      <c r="BY74" s="230">
        <v>2004</v>
      </c>
      <c r="BZ74" s="230">
        <v>2013</v>
      </c>
      <c r="CA74" s="228">
        <v>-9</v>
      </c>
      <c r="CB74" s="229">
        <v>-4.4000000000000003E-3</v>
      </c>
      <c r="CC74" s="230">
        <v>1476</v>
      </c>
      <c r="CD74" s="230">
        <v>1510</v>
      </c>
      <c r="CE74" s="228">
        <v>-34</v>
      </c>
      <c r="CF74" s="229">
        <v>-2.2499999999999999E-2</v>
      </c>
      <c r="CG74" s="228">
        <v>505</v>
      </c>
      <c r="CH74" s="228">
        <v>482</v>
      </c>
      <c r="CI74" s="228">
        <v>24</v>
      </c>
      <c r="CJ74" s="229">
        <v>4.9200000000000001E-2</v>
      </c>
      <c r="CK74" s="228">
        <v>0</v>
      </c>
      <c r="CL74" s="228">
        <v>0</v>
      </c>
      <c r="CM74" s="228">
        <v>0</v>
      </c>
      <c r="CN74" s="229">
        <v>0</v>
      </c>
      <c r="CO74" s="228">
        <v>904</v>
      </c>
      <c r="CP74" s="228">
        <v>916</v>
      </c>
      <c r="CQ74" s="228">
        <v>-13</v>
      </c>
      <c r="CR74" s="229">
        <v>-1.37E-2</v>
      </c>
      <c r="CS74" s="228">
        <v>544</v>
      </c>
      <c r="CT74" s="228">
        <v>540</v>
      </c>
      <c r="CU74" s="228">
        <v>5</v>
      </c>
      <c r="CV74" s="229">
        <v>8.8000000000000005E-3</v>
      </c>
      <c r="CW74" s="230">
        <v>3452</v>
      </c>
      <c r="CX74" s="230">
        <v>3469</v>
      </c>
      <c r="CY74" s="228">
        <v>-17</v>
      </c>
      <c r="CZ74" s="229">
        <v>-4.7999999999999996E-3</v>
      </c>
      <c r="DA74" s="228">
        <v>32.06</v>
      </c>
      <c r="DB74" s="228">
        <v>29.4</v>
      </c>
      <c r="DC74" s="228">
        <v>2.66</v>
      </c>
      <c r="DD74" s="228">
        <v>2.66</v>
      </c>
      <c r="DE74" s="228">
        <v>39.770000000000003</v>
      </c>
      <c r="DF74" s="228">
        <v>39.869999999999997</v>
      </c>
      <c r="DG74" s="228">
        <v>-7.71</v>
      </c>
      <c r="DH74" s="228">
        <v>-0.1</v>
      </c>
      <c r="DI74" s="228">
        <v>32.61</v>
      </c>
      <c r="DJ74" s="228">
        <v>29.9</v>
      </c>
      <c r="DK74" s="228">
        <v>2.71</v>
      </c>
      <c r="DL74" s="228">
        <v>2.71</v>
      </c>
      <c r="DM74" s="228">
        <v>31.09</v>
      </c>
      <c r="DN74" s="228">
        <v>28.01</v>
      </c>
      <c r="DO74" s="228">
        <v>3.08</v>
      </c>
      <c r="DP74" s="228">
        <v>3.08</v>
      </c>
      <c r="DQ74" s="228">
        <v>0.6</v>
      </c>
      <c r="DR74" s="228">
        <v>0.59</v>
      </c>
      <c r="DS74" s="228">
        <v>0.01</v>
      </c>
      <c r="DT74" s="229">
        <v>1.6899999999999998E-2</v>
      </c>
      <c r="DU74" s="228">
        <v>190</v>
      </c>
      <c r="DV74" s="228">
        <v>185</v>
      </c>
      <c r="DW74" s="228">
        <v>0.56000000000000005</v>
      </c>
      <c r="DX74" s="228">
        <v>0.36</v>
      </c>
      <c r="DY74" s="228">
        <v>0.2</v>
      </c>
      <c r="DZ74" s="229">
        <v>0.55559999999999998</v>
      </c>
      <c r="EA74" s="229">
        <v>0.25209999999999999</v>
      </c>
      <c r="EB74" s="230">
        <v>26176500</v>
      </c>
      <c r="EC74" s="229">
        <v>-5.9999999999999995E-4</v>
      </c>
      <c r="ED74" s="229">
        <v>0.25209999999999999</v>
      </c>
      <c r="EE74" s="228">
        <v>0.12</v>
      </c>
      <c r="EF74" s="229">
        <v>6.9999999999999999E-4</v>
      </c>
      <c r="EG74" s="230">
        <v>4728383</v>
      </c>
      <c r="EH74" s="230">
        <v>4203802</v>
      </c>
      <c r="EI74" s="229">
        <v>0.12479999999999999</v>
      </c>
      <c r="EJ74" s="229">
        <v>0.6109</v>
      </c>
      <c r="EK74" s="228">
        <v>463.49</v>
      </c>
      <c r="EL74" s="228">
        <v>248.03</v>
      </c>
      <c r="EM74" s="228">
        <v>251.11</v>
      </c>
      <c r="EN74" s="228">
        <v>0</v>
      </c>
      <c r="EO74" s="228">
        <v>962.62</v>
      </c>
      <c r="EP74" s="228">
        <v>617.24</v>
      </c>
      <c r="EQ74" s="228">
        <v>345.38</v>
      </c>
      <c r="ER74" s="229">
        <v>0.5595</v>
      </c>
      <c r="ES74" s="228">
        <v>958.81</v>
      </c>
      <c r="ET74" s="228">
        <v>549.80999999999995</v>
      </c>
      <c r="EU74" s="231">
        <v>2004.2</v>
      </c>
      <c r="EV74" s="231">
        <v>628365076</v>
      </c>
      <c r="EW74" s="231">
        <v>3512.82</v>
      </c>
      <c r="EX74" s="231">
        <v>3534.12</v>
      </c>
      <c r="EY74" s="228">
        <v>-21.3</v>
      </c>
      <c r="EZ74" s="229">
        <v>-6.0000000000000001E-3</v>
      </c>
      <c r="FA74" s="229">
        <v>0.29859999999999998</v>
      </c>
      <c r="FB74" s="227" t="s">
        <v>568</v>
      </c>
      <c r="FC74">
        <f t="shared" si="1"/>
        <v>528</v>
      </c>
    </row>
    <row r="75" spans="1:159" ht="17.25" thickBot="1" x14ac:dyDescent="0.3">
      <c r="A75" s="226">
        <v>45860</v>
      </c>
      <c r="B75" s="227" t="s">
        <v>170</v>
      </c>
      <c r="C75" s="227" t="s">
        <v>214</v>
      </c>
      <c r="D75" s="228">
        <v>375</v>
      </c>
      <c r="E75" s="228">
        <v>9</v>
      </c>
      <c r="F75" s="231">
        <v>2161.5</v>
      </c>
      <c r="G75" s="231">
        <v>2193</v>
      </c>
      <c r="H75" s="228">
        <v>-31.5</v>
      </c>
      <c r="I75" s="229">
        <v>-1.44E-2</v>
      </c>
      <c r="J75" s="231">
        <v>2157.9</v>
      </c>
      <c r="K75" s="231">
        <v>2184.8000000000002</v>
      </c>
      <c r="L75" s="228">
        <v>-26.9</v>
      </c>
      <c r="M75" s="229">
        <v>-1.23E-2</v>
      </c>
      <c r="N75" s="231">
        <v>2161.5</v>
      </c>
      <c r="O75" s="231">
        <v>2193</v>
      </c>
      <c r="P75" s="228">
        <v>-31.5</v>
      </c>
      <c r="Q75" s="229">
        <v>-1.44E-2</v>
      </c>
      <c r="R75" s="231">
        <v>2171.3000000000002</v>
      </c>
      <c r="S75" s="231">
        <v>2202.6</v>
      </c>
      <c r="T75" s="228">
        <v>-31.3</v>
      </c>
      <c r="U75" s="229">
        <v>-1.4200000000000001E-2</v>
      </c>
      <c r="V75" s="228">
        <v>0</v>
      </c>
      <c r="W75" s="228">
        <v>0</v>
      </c>
      <c r="X75" s="228">
        <v>0</v>
      </c>
      <c r="Y75" s="229">
        <v>0</v>
      </c>
      <c r="Z75" s="228">
        <v>3.6</v>
      </c>
      <c r="AA75" s="228">
        <v>8.1999999999999993</v>
      </c>
      <c r="AB75" s="228">
        <v>-4.5999999999999996</v>
      </c>
      <c r="AC75" s="229">
        <v>1.6999999999999999E-3</v>
      </c>
      <c r="AD75" s="228">
        <v>3.6</v>
      </c>
      <c r="AE75" s="228">
        <v>8.1999999999999993</v>
      </c>
      <c r="AF75" s="228">
        <v>-4.5999999999999996</v>
      </c>
      <c r="AG75" s="229">
        <v>1.6999999999999999E-3</v>
      </c>
      <c r="AH75" s="228">
        <v>13.4</v>
      </c>
      <c r="AI75" s="228">
        <v>17.8</v>
      </c>
      <c r="AJ75" s="228">
        <v>-4.4000000000000004</v>
      </c>
      <c r="AK75" s="229">
        <v>6.1999999999999998E-3</v>
      </c>
      <c r="AL75" s="228">
        <v>0</v>
      </c>
      <c r="AM75" s="228">
        <v>0</v>
      </c>
      <c r="AN75" s="228">
        <v>0</v>
      </c>
      <c r="AO75" s="229">
        <v>0</v>
      </c>
      <c r="AP75" s="231">
        <v>2168.16</v>
      </c>
      <c r="AQ75" s="231">
        <v>2177.0100000000002</v>
      </c>
      <c r="AR75" s="228">
        <v>0</v>
      </c>
      <c r="AS75" s="228">
        <v>388</v>
      </c>
      <c r="AT75" s="228">
        <v>364</v>
      </c>
      <c r="AU75" s="228">
        <v>24</v>
      </c>
      <c r="AV75" s="229">
        <v>6.4600000000000005E-2</v>
      </c>
      <c r="AW75" s="228">
        <v>335</v>
      </c>
      <c r="AX75" s="228">
        <v>325</v>
      </c>
      <c r="AY75" s="228">
        <v>9</v>
      </c>
      <c r="AZ75" s="229">
        <v>2.8899999999999999E-2</v>
      </c>
      <c r="BA75" s="228">
        <v>51</v>
      </c>
      <c r="BB75" s="228">
        <v>37</v>
      </c>
      <c r="BC75" s="228">
        <v>14</v>
      </c>
      <c r="BD75" s="229">
        <v>0.37909999999999999</v>
      </c>
      <c r="BE75" s="228">
        <v>0</v>
      </c>
      <c r="BF75" s="228">
        <v>0</v>
      </c>
      <c r="BG75" s="228">
        <v>0</v>
      </c>
      <c r="BH75" s="229">
        <v>0</v>
      </c>
      <c r="BI75" s="230">
        <v>1013</v>
      </c>
      <c r="BJ75" s="228">
        <v>870</v>
      </c>
      <c r="BK75" s="228">
        <v>144</v>
      </c>
      <c r="BL75" s="229">
        <v>0.1653</v>
      </c>
      <c r="BM75" s="228">
        <v>945</v>
      </c>
      <c r="BN75" s="228">
        <v>882</v>
      </c>
      <c r="BO75" s="228">
        <v>62</v>
      </c>
      <c r="BP75" s="229">
        <v>7.0800000000000002E-2</v>
      </c>
      <c r="BQ75" s="230">
        <v>2346</v>
      </c>
      <c r="BR75" s="230">
        <v>2116</v>
      </c>
      <c r="BS75" s="228">
        <v>230</v>
      </c>
      <c r="BT75" s="229">
        <v>0.1086</v>
      </c>
      <c r="BU75" s="230">
        <v>1559612</v>
      </c>
      <c r="BV75" s="230">
        <v>1677668</v>
      </c>
      <c r="BW75" s="230">
        <v>-118056</v>
      </c>
      <c r="BX75" s="229">
        <v>-7.0400000000000004E-2</v>
      </c>
      <c r="BY75" s="230">
        <v>1915</v>
      </c>
      <c r="BZ75" s="230">
        <v>1978</v>
      </c>
      <c r="CA75" s="228">
        <v>-63</v>
      </c>
      <c r="CB75" s="229">
        <v>-3.1800000000000002E-2</v>
      </c>
      <c r="CC75" s="230">
        <v>1653</v>
      </c>
      <c r="CD75" s="230">
        <v>1704</v>
      </c>
      <c r="CE75" s="228">
        <v>-51</v>
      </c>
      <c r="CF75" s="229">
        <v>-0.03</v>
      </c>
      <c r="CG75" s="228">
        <v>241</v>
      </c>
      <c r="CH75" s="228">
        <v>253</v>
      </c>
      <c r="CI75" s="228">
        <v>-11</v>
      </c>
      <c r="CJ75" s="229">
        <v>-4.4900000000000002E-2</v>
      </c>
      <c r="CK75" s="228">
        <v>0</v>
      </c>
      <c r="CL75" s="228">
        <v>0</v>
      </c>
      <c r="CM75" s="228">
        <v>0</v>
      </c>
      <c r="CN75" s="229">
        <v>0</v>
      </c>
      <c r="CO75" s="230">
        <v>1609</v>
      </c>
      <c r="CP75" s="230">
        <v>1650</v>
      </c>
      <c r="CQ75" s="228">
        <v>-40</v>
      </c>
      <c r="CR75" s="229">
        <v>-2.4500000000000001E-2</v>
      </c>
      <c r="CS75" s="230">
        <v>1495</v>
      </c>
      <c r="CT75" s="230">
        <v>1586</v>
      </c>
      <c r="CU75" s="228">
        <v>-91</v>
      </c>
      <c r="CV75" s="229">
        <v>-5.7200000000000001E-2</v>
      </c>
      <c r="CW75" s="230">
        <v>5019</v>
      </c>
      <c r="CX75" s="230">
        <v>5213</v>
      </c>
      <c r="CY75" s="228">
        <v>-194</v>
      </c>
      <c r="CZ75" s="229">
        <v>-3.7199999999999997E-2</v>
      </c>
      <c r="DA75" s="228">
        <v>32.44</v>
      </c>
      <c r="DB75" s="228">
        <v>35.46</v>
      </c>
      <c r="DC75" s="228">
        <v>-3.02</v>
      </c>
      <c r="DD75" s="228">
        <v>-3.02</v>
      </c>
      <c r="DE75" s="228">
        <v>40.99</v>
      </c>
      <c r="DF75" s="228">
        <v>41.06</v>
      </c>
      <c r="DG75" s="228">
        <v>-8.5500000000000007</v>
      </c>
      <c r="DH75" s="228">
        <v>-7.0000000000000007E-2</v>
      </c>
      <c r="DI75" s="228">
        <v>31.86</v>
      </c>
      <c r="DJ75" s="228">
        <v>34.049999999999997</v>
      </c>
      <c r="DK75" s="228">
        <v>-2.19</v>
      </c>
      <c r="DL75" s="228">
        <v>-2.19</v>
      </c>
      <c r="DM75" s="228">
        <v>33.06</v>
      </c>
      <c r="DN75" s="228">
        <v>36.840000000000003</v>
      </c>
      <c r="DO75" s="228">
        <v>-3.78</v>
      </c>
      <c r="DP75" s="228">
        <v>-3.78</v>
      </c>
      <c r="DQ75" s="228">
        <v>0.93</v>
      </c>
      <c r="DR75" s="228">
        <v>0.96</v>
      </c>
      <c r="DS75" s="228">
        <v>-0.03</v>
      </c>
      <c r="DT75" s="229">
        <v>-3.1199999999999999E-2</v>
      </c>
      <c r="DU75" s="231">
        <v>2200</v>
      </c>
      <c r="DV75" s="231">
        <v>1900</v>
      </c>
      <c r="DW75" s="228">
        <v>0.93</v>
      </c>
      <c r="DX75" s="228">
        <v>1.01</v>
      </c>
      <c r="DY75" s="228">
        <v>-0.08</v>
      </c>
      <c r="DZ75" s="229">
        <v>-7.9200000000000007E-2</v>
      </c>
      <c r="EA75" s="229">
        <v>0.126</v>
      </c>
      <c r="EB75" s="230">
        <v>1168875</v>
      </c>
      <c r="EC75" s="229">
        <v>4.4999999999999997E-3</v>
      </c>
      <c r="ED75" s="229">
        <v>0.126</v>
      </c>
      <c r="EE75" s="228">
        <v>8.85</v>
      </c>
      <c r="EF75" s="229">
        <v>4.1000000000000003E-3</v>
      </c>
      <c r="EG75" s="230">
        <v>991051</v>
      </c>
      <c r="EH75" s="230">
        <v>1082300</v>
      </c>
      <c r="EI75" s="229">
        <v>-8.43E-2</v>
      </c>
      <c r="EJ75" s="229">
        <v>0.63539999999999996</v>
      </c>
      <c r="EK75" s="231">
        <v>1069.5899999999999</v>
      </c>
      <c r="EL75" s="228">
        <v>927.01</v>
      </c>
      <c r="EM75" s="228">
        <v>388.95</v>
      </c>
      <c r="EN75" s="228">
        <v>0</v>
      </c>
      <c r="EO75" s="231">
        <v>2385.5500000000002</v>
      </c>
      <c r="EP75" s="231">
        <v>2165.41</v>
      </c>
      <c r="EQ75" s="228">
        <v>220.14</v>
      </c>
      <c r="ER75" s="229">
        <v>0.1017</v>
      </c>
      <c r="ES75" s="231">
        <v>1559.26</v>
      </c>
      <c r="ET75" s="231">
        <v>1339.54</v>
      </c>
      <c r="EU75" s="231">
        <v>1916.33</v>
      </c>
      <c r="EV75" s="231">
        <v>30111043</v>
      </c>
      <c r="EW75" s="231">
        <v>4815.13</v>
      </c>
      <c r="EX75" s="231">
        <v>5037.93</v>
      </c>
      <c r="EY75" s="228">
        <v>-222.8</v>
      </c>
      <c r="EZ75" s="229">
        <v>-4.4200000000000003E-2</v>
      </c>
      <c r="FA75" s="229">
        <v>0.7712</v>
      </c>
      <c r="FB75" s="227" t="s">
        <v>568</v>
      </c>
      <c r="FC75">
        <f t="shared" si="1"/>
        <v>262</v>
      </c>
    </row>
    <row r="76" spans="1:159" ht="17.25" thickBot="1" x14ac:dyDescent="0.3">
      <c r="A76" s="226">
        <v>45860</v>
      </c>
      <c r="B76" s="227" t="s">
        <v>215</v>
      </c>
      <c r="C76" s="227" t="s">
        <v>632</v>
      </c>
      <c r="D76" s="228">
        <v>6975</v>
      </c>
      <c r="E76" s="228">
        <v>9</v>
      </c>
      <c r="F76" s="228">
        <v>91.99</v>
      </c>
      <c r="G76" s="228">
        <v>93.77</v>
      </c>
      <c r="H76" s="228">
        <v>-1.78</v>
      </c>
      <c r="I76" s="229">
        <v>-1.9E-2</v>
      </c>
      <c r="J76" s="228">
        <v>91.92</v>
      </c>
      <c r="K76" s="228">
        <v>93.44</v>
      </c>
      <c r="L76" s="228">
        <v>-1.52</v>
      </c>
      <c r="M76" s="229">
        <v>-1.6299999999999999E-2</v>
      </c>
      <c r="N76" s="228">
        <v>91.99</v>
      </c>
      <c r="O76" s="228">
        <v>93.77</v>
      </c>
      <c r="P76" s="228">
        <v>-1.78</v>
      </c>
      <c r="Q76" s="229">
        <v>-1.9E-2</v>
      </c>
      <c r="R76" s="228">
        <v>92.5</v>
      </c>
      <c r="S76" s="228">
        <v>94.2</v>
      </c>
      <c r="T76" s="228">
        <v>-1.7</v>
      </c>
      <c r="U76" s="229">
        <v>-1.7999999999999999E-2</v>
      </c>
      <c r="V76" s="228">
        <v>0</v>
      </c>
      <c r="W76" s="228">
        <v>0</v>
      </c>
      <c r="X76" s="228">
        <v>0</v>
      </c>
      <c r="Y76" s="229">
        <v>0</v>
      </c>
      <c r="Z76" s="228">
        <v>7.0000000000000007E-2</v>
      </c>
      <c r="AA76" s="228">
        <v>0.33</v>
      </c>
      <c r="AB76" s="228">
        <v>-0.26</v>
      </c>
      <c r="AC76" s="229">
        <v>8.0000000000000004E-4</v>
      </c>
      <c r="AD76" s="228">
        <v>7.0000000000000007E-2</v>
      </c>
      <c r="AE76" s="228">
        <v>0.33</v>
      </c>
      <c r="AF76" s="228">
        <v>-0.26</v>
      </c>
      <c r="AG76" s="229">
        <v>8.0000000000000004E-4</v>
      </c>
      <c r="AH76" s="228">
        <v>0.57999999999999996</v>
      </c>
      <c r="AI76" s="228">
        <v>0.76</v>
      </c>
      <c r="AJ76" s="228">
        <v>-0.18</v>
      </c>
      <c r="AK76" s="229">
        <v>6.3E-3</v>
      </c>
      <c r="AL76" s="228">
        <v>0</v>
      </c>
      <c r="AM76" s="228">
        <v>0</v>
      </c>
      <c r="AN76" s="228">
        <v>0</v>
      </c>
      <c r="AO76" s="229">
        <v>0</v>
      </c>
      <c r="AP76" s="228">
        <v>92.58</v>
      </c>
      <c r="AQ76" s="228">
        <v>93.21</v>
      </c>
      <c r="AR76" s="228">
        <v>0</v>
      </c>
      <c r="AS76" s="228">
        <v>156</v>
      </c>
      <c r="AT76" s="228">
        <v>126</v>
      </c>
      <c r="AU76" s="228">
        <v>30</v>
      </c>
      <c r="AV76" s="229">
        <v>0.2379</v>
      </c>
      <c r="AW76" s="228">
        <v>112</v>
      </c>
      <c r="AX76" s="228">
        <v>94</v>
      </c>
      <c r="AY76" s="228">
        <v>17</v>
      </c>
      <c r="AZ76" s="229">
        <v>0.1807</v>
      </c>
      <c r="BA76" s="228">
        <v>43</v>
      </c>
      <c r="BB76" s="228">
        <v>31</v>
      </c>
      <c r="BC76" s="228">
        <v>12</v>
      </c>
      <c r="BD76" s="229">
        <v>0.40760000000000002</v>
      </c>
      <c r="BE76" s="228">
        <v>0</v>
      </c>
      <c r="BF76" s="228">
        <v>0</v>
      </c>
      <c r="BG76" s="228">
        <v>0</v>
      </c>
      <c r="BH76" s="229">
        <v>0</v>
      </c>
      <c r="BI76" s="228">
        <v>542</v>
      </c>
      <c r="BJ76" s="228">
        <v>371</v>
      </c>
      <c r="BK76" s="228">
        <v>171</v>
      </c>
      <c r="BL76" s="229">
        <v>0.46179999999999999</v>
      </c>
      <c r="BM76" s="228">
        <v>200</v>
      </c>
      <c r="BN76" s="228">
        <v>197</v>
      </c>
      <c r="BO76" s="228">
        <v>4</v>
      </c>
      <c r="BP76" s="229">
        <v>1.83E-2</v>
      </c>
      <c r="BQ76" s="228">
        <v>898</v>
      </c>
      <c r="BR76" s="228">
        <v>693</v>
      </c>
      <c r="BS76" s="228">
        <v>205</v>
      </c>
      <c r="BT76" s="229">
        <v>0.2954</v>
      </c>
      <c r="BU76" s="230">
        <v>7543460</v>
      </c>
      <c r="BV76" s="230">
        <v>4922563</v>
      </c>
      <c r="BW76" s="230">
        <v>2620897</v>
      </c>
      <c r="BX76" s="229">
        <v>0.53239999999999998</v>
      </c>
      <c r="BY76" s="230">
        <v>1701</v>
      </c>
      <c r="BZ76" s="230">
        <v>1723</v>
      </c>
      <c r="CA76" s="228">
        <v>-22</v>
      </c>
      <c r="CB76" s="229">
        <v>-1.2800000000000001E-2</v>
      </c>
      <c r="CC76" s="230">
        <v>1571</v>
      </c>
      <c r="CD76" s="230">
        <v>1599</v>
      </c>
      <c r="CE76" s="228">
        <v>-28</v>
      </c>
      <c r="CF76" s="229">
        <v>-1.78E-2</v>
      </c>
      <c r="CG76" s="228">
        <v>116</v>
      </c>
      <c r="CH76" s="228">
        <v>110</v>
      </c>
      <c r="CI76" s="228">
        <v>6</v>
      </c>
      <c r="CJ76" s="229">
        <v>5.2600000000000001E-2</v>
      </c>
      <c r="CK76" s="228">
        <v>0</v>
      </c>
      <c r="CL76" s="228">
        <v>0</v>
      </c>
      <c r="CM76" s="228">
        <v>0</v>
      </c>
      <c r="CN76" s="229">
        <v>0</v>
      </c>
      <c r="CO76" s="228">
        <v>834</v>
      </c>
      <c r="CP76" s="228">
        <v>817</v>
      </c>
      <c r="CQ76" s="228">
        <v>17</v>
      </c>
      <c r="CR76" s="229">
        <v>2.0299999999999999E-2</v>
      </c>
      <c r="CS76" s="228">
        <v>420</v>
      </c>
      <c r="CT76" s="228">
        <v>422</v>
      </c>
      <c r="CU76" s="228">
        <v>-2</v>
      </c>
      <c r="CV76" s="229">
        <v>-3.8E-3</v>
      </c>
      <c r="CW76" s="230">
        <v>2955</v>
      </c>
      <c r="CX76" s="230">
        <v>2962</v>
      </c>
      <c r="CY76" s="228">
        <v>-7</v>
      </c>
      <c r="CZ76" s="229">
        <v>-2.3999999999999998E-3</v>
      </c>
      <c r="DA76" s="228">
        <v>25.65</v>
      </c>
      <c r="DB76" s="228">
        <v>27.94</v>
      </c>
      <c r="DC76" s="228">
        <v>-2.29</v>
      </c>
      <c r="DD76" s="228">
        <v>-2.29</v>
      </c>
      <c r="DE76" s="228">
        <v>40.61</v>
      </c>
      <c r="DF76" s="228">
        <v>40.630000000000003</v>
      </c>
      <c r="DG76" s="228">
        <v>-14.96</v>
      </c>
      <c r="DH76" s="228">
        <v>-0.02</v>
      </c>
      <c r="DI76" s="228">
        <v>26.25</v>
      </c>
      <c r="DJ76" s="228">
        <v>27.71</v>
      </c>
      <c r="DK76" s="228">
        <v>-1.46</v>
      </c>
      <c r="DL76" s="228">
        <v>-1.46</v>
      </c>
      <c r="DM76" s="228">
        <v>24.04</v>
      </c>
      <c r="DN76" s="228">
        <v>28.38</v>
      </c>
      <c r="DO76" s="228">
        <v>-4.34</v>
      </c>
      <c r="DP76" s="228">
        <v>-4.34</v>
      </c>
      <c r="DQ76" s="228">
        <v>0.5</v>
      </c>
      <c r="DR76" s="228">
        <v>0.52</v>
      </c>
      <c r="DS76" s="228">
        <v>-0.02</v>
      </c>
      <c r="DT76" s="229">
        <v>-3.85E-2</v>
      </c>
      <c r="DU76" s="228">
        <v>100</v>
      </c>
      <c r="DV76" s="228">
        <v>90</v>
      </c>
      <c r="DW76" s="228">
        <v>0.37</v>
      </c>
      <c r="DX76" s="228">
        <v>0.53</v>
      </c>
      <c r="DY76" s="228">
        <v>-0.16</v>
      </c>
      <c r="DZ76" s="229">
        <v>-0.3019</v>
      </c>
      <c r="EA76" s="229">
        <v>6.7900000000000002E-2</v>
      </c>
      <c r="EB76" s="230">
        <v>11934225</v>
      </c>
      <c r="EC76" s="229">
        <v>5.4999999999999997E-3</v>
      </c>
      <c r="ED76" s="229">
        <v>6.7900000000000002E-2</v>
      </c>
      <c r="EE76" s="228">
        <v>0.63</v>
      </c>
      <c r="EF76" s="229">
        <v>6.7999999999999996E-3</v>
      </c>
      <c r="EG76" s="230">
        <v>4953771</v>
      </c>
      <c r="EH76" s="230">
        <v>2818915</v>
      </c>
      <c r="EI76" s="229">
        <v>0.75729999999999997</v>
      </c>
      <c r="EJ76" s="229">
        <v>0.65669999999999995</v>
      </c>
      <c r="EK76" s="228">
        <v>570.16999999999996</v>
      </c>
      <c r="EL76" s="228">
        <v>203.41</v>
      </c>
      <c r="EM76" s="228">
        <v>156.9</v>
      </c>
      <c r="EN76" s="228">
        <v>0</v>
      </c>
      <c r="EO76" s="228">
        <v>930.48</v>
      </c>
      <c r="EP76" s="228">
        <v>720.63</v>
      </c>
      <c r="EQ76" s="228">
        <v>209.85</v>
      </c>
      <c r="ER76" s="229">
        <v>0.29120000000000001</v>
      </c>
      <c r="ES76" s="228">
        <v>865.79</v>
      </c>
      <c r="ET76" s="228">
        <v>407</v>
      </c>
      <c r="EU76" s="231">
        <v>1701.89</v>
      </c>
      <c r="EV76" s="231">
        <v>712939229</v>
      </c>
      <c r="EW76" s="231">
        <v>2974.68</v>
      </c>
      <c r="EX76" s="231">
        <v>3014.48</v>
      </c>
      <c r="EY76" s="228">
        <v>-39.799999999999997</v>
      </c>
      <c r="EZ76" s="229">
        <v>-1.32E-2</v>
      </c>
      <c r="FA76" s="229">
        <v>0.4506</v>
      </c>
      <c r="FB76" s="227" t="s">
        <v>568</v>
      </c>
      <c r="FC76">
        <f t="shared" si="1"/>
        <v>130</v>
      </c>
    </row>
    <row r="77" spans="1:159" ht="17.25" thickBot="1" x14ac:dyDescent="0.3">
      <c r="A77" s="226">
        <v>45860</v>
      </c>
      <c r="B77" s="227" t="s">
        <v>168</v>
      </c>
      <c r="C77" s="227" t="s">
        <v>217</v>
      </c>
      <c r="D77" s="228">
        <v>500</v>
      </c>
      <c r="E77" s="228">
        <v>9</v>
      </c>
      <c r="F77" s="231">
        <v>1248.2</v>
      </c>
      <c r="G77" s="231">
        <v>1242.5</v>
      </c>
      <c r="H77" s="228">
        <v>5.7</v>
      </c>
      <c r="I77" s="229">
        <v>4.5999999999999999E-3</v>
      </c>
      <c r="J77" s="231">
        <v>1242.4000000000001</v>
      </c>
      <c r="K77" s="231">
        <v>1238.7</v>
      </c>
      <c r="L77" s="228">
        <v>3.7</v>
      </c>
      <c r="M77" s="229">
        <v>3.0000000000000001E-3</v>
      </c>
      <c r="N77" s="231">
        <v>1248.2</v>
      </c>
      <c r="O77" s="231">
        <v>1242.5</v>
      </c>
      <c r="P77" s="228">
        <v>5.7</v>
      </c>
      <c r="Q77" s="229">
        <v>4.5999999999999999E-3</v>
      </c>
      <c r="R77" s="231">
        <v>1251.5999999999999</v>
      </c>
      <c r="S77" s="231">
        <v>1246.4000000000001</v>
      </c>
      <c r="T77" s="228">
        <v>5.2</v>
      </c>
      <c r="U77" s="229">
        <v>4.1999999999999997E-3</v>
      </c>
      <c r="V77" s="228">
        <v>0</v>
      </c>
      <c r="W77" s="228">
        <v>0</v>
      </c>
      <c r="X77" s="228">
        <v>0</v>
      </c>
      <c r="Y77" s="229">
        <v>0</v>
      </c>
      <c r="Z77" s="228">
        <v>5.8</v>
      </c>
      <c r="AA77" s="228">
        <v>3.8</v>
      </c>
      <c r="AB77" s="228">
        <v>2</v>
      </c>
      <c r="AC77" s="229">
        <v>4.7000000000000002E-3</v>
      </c>
      <c r="AD77" s="228">
        <v>5.8</v>
      </c>
      <c r="AE77" s="228">
        <v>3.8</v>
      </c>
      <c r="AF77" s="228">
        <v>2</v>
      </c>
      <c r="AG77" s="229">
        <v>4.7000000000000002E-3</v>
      </c>
      <c r="AH77" s="228">
        <v>9.1999999999999993</v>
      </c>
      <c r="AI77" s="228">
        <v>7.7</v>
      </c>
      <c r="AJ77" s="228">
        <v>1.5</v>
      </c>
      <c r="AK77" s="229">
        <v>7.4000000000000003E-3</v>
      </c>
      <c r="AL77" s="228">
        <v>0</v>
      </c>
      <c r="AM77" s="228">
        <v>0</v>
      </c>
      <c r="AN77" s="228">
        <v>0</v>
      </c>
      <c r="AO77" s="229">
        <v>0</v>
      </c>
      <c r="AP77" s="231">
        <v>1244.47</v>
      </c>
      <c r="AQ77" s="231">
        <v>1247.45</v>
      </c>
      <c r="AR77" s="228">
        <v>0</v>
      </c>
      <c r="AS77" s="228">
        <v>94</v>
      </c>
      <c r="AT77" s="228">
        <v>105</v>
      </c>
      <c r="AU77" s="228">
        <v>-11</v>
      </c>
      <c r="AV77" s="229">
        <v>-0.1011</v>
      </c>
      <c r="AW77" s="228">
        <v>88</v>
      </c>
      <c r="AX77" s="228">
        <v>96</v>
      </c>
      <c r="AY77" s="228">
        <v>-9</v>
      </c>
      <c r="AZ77" s="229">
        <v>-9.1300000000000006E-2</v>
      </c>
      <c r="BA77" s="228">
        <v>7</v>
      </c>
      <c r="BB77" s="228">
        <v>8</v>
      </c>
      <c r="BC77" s="228">
        <v>-2</v>
      </c>
      <c r="BD77" s="229">
        <v>-0.21479999999999999</v>
      </c>
      <c r="BE77" s="228">
        <v>0</v>
      </c>
      <c r="BF77" s="228">
        <v>0</v>
      </c>
      <c r="BG77" s="228">
        <v>0</v>
      </c>
      <c r="BH77" s="229">
        <v>0</v>
      </c>
      <c r="BI77" s="228">
        <v>196</v>
      </c>
      <c r="BJ77" s="228">
        <v>192</v>
      </c>
      <c r="BK77" s="228">
        <v>4</v>
      </c>
      <c r="BL77" s="229">
        <v>2.12E-2</v>
      </c>
      <c r="BM77" s="228">
        <v>85</v>
      </c>
      <c r="BN77" s="228">
        <v>95</v>
      </c>
      <c r="BO77" s="228">
        <v>-10</v>
      </c>
      <c r="BP77" s="229">
        <v>-0.1016</v>
      </c>
      <c r="BQ77" s="228">
        <v>375</v>
      </c>
      <c r="BR77" s="228">
        <v>391</v>
      </c>
      <c r="BS77" s="228">
        <v>-16</v>
      </c>
      <c r="BT77" s="229">
        <v>-4.1300000000000003E-2</v>
      </c>
      <c r="BU77" s="230">
        <v>926885</v>
      </c>
      <c r="BV77" s="230">
        <v>635229</v>
      </c>
      <c r="BW77" s="230">
        <v>291656</v>
      </c>
      <c r="BX77" s="229">
        <v>0.45910000000000001</v>
      </c>
      <c r="BY77" s="230">
        <v>1329</v>
      </c>
      <c r="BZ77" s="230">
        <v>1319</v>
      </c>
      <c r="CA77" s="228">
        <v>10</v>
      </c>
      <c r="CB77" s="229">
        <v>7.4999999999999997E-3</v>
      </c>
      <c r="CC77" s="230">
        <v>1250</v>
      </c>
      <c r="CD77" s="230">
        <v>1242</v>
      </c>
      <c r="CE77" s="228">
        <v>9</v>
      </c>
      <c r="CF77" s="229">
        <v>7.1000000000000004E-3</v>
      </c>
      <c r="CG77" s="228">
        <v>77</v>
      </c>
      <c r="CH77" s="228">
        <v>76</v>
      </c>
      <c r="CI77" s="228">
        <v>1</v>
      </c>
      <c r="CJ77" s="229">
        <v>1.3100000000000001E-2</v>
      </c>
      <c r="CK77" s="228">
        <v>0</v>
      </c>
      <c r="CL77" s="228">
        <v>0</v>
      </c>
      <c r="CM77" s="228">
        <v>0</v>
      </c>
      <c r="CN77" s="229">
        <v>0</v>
      </c>
      <c r="CO77" s="228">
        <v>364</v>
      </c>
      <c r="CP77" s="228">
        <v>372</v>
      </c>
      <c r="CQ77" s="228">
        <v>-8</v>
      </c>
      <c r="CR77" s="229">
        <v>-2.06E-2</v>
      </c>
      <c r="CS77" s="228">
        <v>225</v>
      </c>
      <c r="CT77" s="228">
        <v>217</v>
      </c>
      <c r="CU77" s="228">
        <v>8</v>
      </c>
      <c r="CV77" s="229">
        <v>3.8199999999999998E-2</v>
      </c>
      <c r="CW77" s="230">
        <v>1918</v>
      </c>
      <c r="CX77" s="230">
        <v>1908</v>
      </c>
      <c r="CY77" s="228">
        <v>11</v>
      </c>
      <c r="CZ77" s="229">
        <v>5.4999999999999997E-3</v>
      </c>
      <c r="DA77" s="228">
        <v>23.75</v>
      </c>
      <c r="DB77" s="228">
        <v>24.32</v>
      </c>
      <c r="DC77" s="228">
        <v>-0.56999999999999995</v>
      </c>
      <c r="DD77" s="228">
        <v>-0.56999999999999995</v>
      </c>
      <c r="DE77" s="228">
        <v>31.4</v>
      </c>
      <c r="DF77" s="228">
        <v>31.48</v>
      </c>
      <c r="DG77" s="228">
        <v>-7.65</v>
      </c>
      <c r="DH77" s="228">
        <v>-0.08</v>
      </c>
      <c r="DI77" s="228">
        <v>23.81</v>
      </c>
      <c r="DJ77" s="228">
        <v>24.99</v>
      </c>
      <c r="DK77" s="228">
        <v>-1.18</v>
      </c>
      <c r="DL77" s="228">
        <v>-1.18</v>
      </c>
      <c r="DM77" s="228">
        <v>23.6</v>
      </c>
      <c r="DN77" s="228">
        <v>22.96</v>
      </c>
      <c r="DO77" s="228">
        <v>0.64</v>
      </c>
      <c r="DP77" s="228">
        <v>0.64</v>
      </c>
      <c r="DQ77" s="228">
        <v>0.62</v>
      </c>
      <c r="DR77" s="228">
        <v>0.57999999999999996</v>
      </c>
      <c r="DS77" s="228">
        <v>0.04</v>
      </c>
      <c r="DT77" s="229">
        <v>6.9000000000000006E-2</v>
      </c>
      <c r="DU77" s="231">
        <v>1280</v>
      </c>
      <c r="DV77" s="231">
        <v>1200</v>
      </c>
      <c r="DW77" s="228">
        <v>0.43</v>
      </c>
      <c r="DX77" s="228">
        <v>0.49</v>
      </c>
      <c r="DY77" s="228">
        <v>-0.06</v>
      </c>
      <c r="DZ77" s="229">
        <v>-0.12239999999999999</v>
      </c>
      <c r="EA77" s="229">
        <v>5.8299999999999998E-2</v>
      </c>
      <c r="EB77" s="230">
        <v>612500</v>
      </c>
      <c r="EC77" s="229">
        <v>2.7000000000000001E-3</v>
      </c>
      <c r="ED77" s="229">
        <v>5.8299999999999998E-2</v>
      </c>
      <c r="EE77" s="228">
        <v>2.98</v>
      </c>
      <c r="EF77" s="229">
        <v>2.3999999999999998E-3</v>
      </c>
      <c r="EG77" s="230">
        <v>670120</v>
      </c>
      <c r="EH77" s="230">
        <v>435534</v>
      </c>
      <c r="EI77" s="229">
        <v>0.53859999999999997</v>
      </c>
      <c r="EJ77" s="229">
        <v>0.72299999999999998</v>
      </c>
      <c r="EK77" s="228">
        <v>201.49</v>
      </c>
      <c r="EL77" s="228">
        <v>83.75</v>
      </c>
      <c r="EM77" s="228">
        <v>94.1</v>
      </c>
      <c r="EN77" s="228">
        <v>0</v>
      </c>
      <c r="EO77" s="228">
        <v>379.34</v>
      </c>
      <c r="EP77" s="228">
        <v>397.75</v>
      </c>
      <c r="EQ77" s="228">
        <v>-18.420000000000002</v>
      </c>
      <c r="ER77" s="229">
        <v>-4.6300000000000001E-2</v>
      </c>
      <c r="ES77" s="228">
        <v>377.89</v>
      </c>
      <c r="ET77" s="228">
        <v>218.19</v>
      </c>
      <c r="EU77" s="231">
        <v>1328.79</v>
      </c>
      <c r="EV77" s="231">
        <v>96028079</v>
      </c>
      <c r="EW77" s="231">
        <v>1924.87</v>
      </c>
      <c r="EX77" s="231">
        <v>1909.64</v>
      </c>
      <c r="EY77" s="228">
        <v>15.23</v>
      </c>
      <c r="EZ77" s="229">
        <v>8.0000000000000002E-3</v>
      </c>
      <c r="FA77" s="229">
        <v>0.16</v>
      </c>
      <c r="FB77" s="227" t="s">
        <v>555</v>
      </c>
      <c r="FC77">
        <f t="shared" si="1"/>
        <v>79</v>
      </c>
    </row>
    <row r="78" spans="1:159" ht="17.25" thickBot="1" x14ac:dyDescent="0.3">
      <c r="A78" s="226">
        <v>45860</v>
      </c>
      <c r="B78" s="227" t="s">
        <v>206</v>
      </c>
      <c r="C78" s="227" t="s">
        <v>218</v>
      </c>
      <c r="D78" s="228">
        <v>275</v>
      </c>
      <c r="E78" s="228">
        <v>9</v>
      </c>
      <c r="F78" s="231">
        <v>2363.9</v>
      </c>
      <c r="G78" s="231">
        <v>2406.3000000000002</v>
      </c>
      <c r="H78" s="228">
        <v>-42.4</v>
      </c>
      <c r="I78" s="229">
        <v>-1.7600000000000001E-2</v>
      </c>
      <c r="J78" s="231">
        <v>2363.5</v>
      </c>
      <c r="K78" s="231">
        <v>2403.9</v>
      </c>
      <c r="L78" s="228">
        <v>-40.4</v>
      </c>
      <c r="M78" s="229">
        <v>-1.6799999999999999E-2</v>
      </c>
      <c r="N78" s="231">
        <v>2363.9</v>
      </c>
      <c r="O78" s="231">
        <v>2406.3000000000002</v>
      </c>
      <c r="P78" s="228">
        <v>-42.4</v>
      </c>
      <c r="Q78" s="229">
        <v>-1.7600000000000001E-2</v>
      </c>
      <c r="R78" s="231">
        <v>2376.4</v>
      </c>
      <c r="S78" s="231">
        <v>2418.1</v>
      </c>
      <c r="T78" s="228">
        <v>-41.7</v>
      </c>
      <c r="U78" s="229">
        <v>-1.72E-2</v>
      </c>
      <c r="V78" s="228">
        <v>0</v>
      </c>
      <c r="W78" s="228">
        <v>0</v>
      </c>
      <c r="X78" s="228">
        <v>0</v>
      </c>
      <c r="Y78" s="229">
        <v>0</v>
      </c>
      <c r="Z78" s="228">
        <v>0.4</v>
      </c>
      <c r="AA78" s="228">
        <v>2.4</v>
      </c>
      <c r="AB78" s="228">
        <v>-2</v>
      </c>
      <c r="AC78" s="229">
        <v>2.0000000000000001E-4</v>
      </c>
      <c r="AD78" s="228">
        <v>0.4</v>
      </c>
      <c r="AE78" s="228">
        <v>2.4</v>
      </c>
      <c r="AF78" s="228">
        <v>-2</v>
      </c>
      <c r="AG78" s="229">
        <v>2.0000000000000001E-4</v>
      </c>
      <c r="AH78" s="228">
        <v>12.9</v>
      </c>
      <c r="AI78" s="228">
        <v>14.2</v>
      </c>
      <c r="AJ78" s="228">
        <v>-1.3</v>
      </c>
      <c r="AK78" s="229">
        <v>5.4999999999999997E-3</v>
      </c>
      <c r="AL78" s="228">
        <v>0</v>
      </c>
      <c r="AM78" s="228">
        <v>0</v>
      </c>
      <c r="AN78" s="228">
        <v>0</v>
      </c>
      <c r="AO78" s="229">
        <v>0</v>
      </c>
      <c r="AP78" s="231">
        <v>2369.35</v>
      </c>
      <c r="AQ78" s="231">
        <v>2382.42</v>
      </c>
      <c r="AR78" s="228">
        <v>0</v>
      </c>
      <c r="AS78" s="228">
        <v>208</v>
      </c>
      <c r="AT78" s="228">
        <v>241</v>
      </c>
      <c r="AU78" s="228">
        <v>-33</v>
      </c>
      <c r="AV78" s="229">
        <v>-0.1366</v>
      </c>
      <c r="AW78" s="228">
        <v>174</v>
      </c>
      <c r="AX78" s="228">
        <v>206</v>
      </c>
      <c r="AY78" s="228">
        <v>-32</v>
      </c>
      <c r="AZ78" s="229">
        <v>-0.1555</v>
      </c>
      <c r="BA78" s="228">
        <v>32</v>
      </c>
      <c r="BB78" s="228">
        <v>33</v>
      </c>
      <c r="BC78" s="228">
        <v>-1</v>
      </c>
      <c r="BD78" s="229">
        <v>-3.3300000000000003E-2</v>
      </c>
      <c r="BE78" s="228">
        <v>0</v>
      </c>
      <c r="BF78" s="228">
        <v>0</v>
      </c>
      <c r="BG78" s="228">
        <v>0</v>
      </c>
      <c r="BH78" s="229">
        <v>0</v>
      </c>
      <c r="BI78" s="228">
        <v>483</v>
      </c>
      <c r="BJ78" s="228">
        <v>766</v>
      </c>
      <c r="BK78" s="228">
        <v>-283</v>
      </c>
      <c r="BL78" s="229">
        <v>-0.37</v>
      </c>
      <c r="BM78" s="228">
        <v>348</v>
      </c>
      <c r="BN78" s="228">
        <v>489</v>
      </c>
      <c r="BO78" s="228">
        <v>-141</v>
      </c>
      <c r="BP78" s="229">
        <v>-0.28870000000000001</v>
      </c>
      <c r="BQ78" s="230">
        <v>1039</v>
      </c>
      <c r="BR78" s="230">
        <v>1496</v>
      </c>
      <c r="BS78" s="228">
        <v>-458</v>
      </c>
      <c r="BT78" s="229">
        <v>-0.30580000000000002</v>
      </c>
      <c r="BU78" s="230">
        <v>545682</v>
      </c>
      <c r="BV78" s="230">
        <v>735317</v>
      </c>
      <c r="BW78" s="230">
        <v>-189635</v>
      </c>
      <c r="BX78" s="229">
        <v>-0.25790000000000002</v>
      </c>
      <c r="BY78" s="230">
        <v>1538</v>
      </c>
      <c r="BZ78" s="230">
        <v>1545</v>
      </c>
      <c r="CA78" s="228">
        <v>-7</v>
      </c>
      <c r="CB78" s="229">
        <v>-4.1999999999999997E-3</v>
      </c>
      <c r="CC78" s="230">
        <v>1454</v>
      </c>
      <c r="CD78" s="230">
        <v>1468</v>
      </c>
      <c r="CE78" s="228">
        <v>-15</v>
      </c>
      <c r="CF78" s="229">
        <v>-0.01</v>
      </c>
      <c r="CG78" s="228">
        <v>80</v>
      </c>
      <c r="CH78" s="228">
        <v>72</v>
      </c>
      <c r="CI78" s="228">
        <v>7</v>
      </c>
      <c r="CJ78" s="229">
        <v>0.1004</v>
      </c>
      <c r="CK78" s="228">
        <v>0</v>
      </c>
      <c r="CL78" s="228">
        <v>0</v>
      </c>
      <c r="CM78" s="228">
        <v>0</v>
      </c>
      <c r="CN78" s="229">
        <v>0</v>
      </c>
      <c r="CO78" s="228">
        <v>622</v>
      </c>
      <c r="CP78" s="228">
        <v>609</v>
      </c>
      <c r="CQ78" s="228">
        <v>13</v>
      </c>
      <c r="CR78" s="229">
        <v>2.2100000000000002E-2</v>
      </c>
      <c r="CS78" s="228">
        <v>400</v>
      </c>
      <c r="CT78" s="228">
        <v>432</v>
      </c>
      <c r="CU78" s="228">
        <v>-32</v>
      </c>
      <c r="CV78" s="229">
        <v>-7.51E-2</v>
      </c>
      <c r="CW78" s="230">
        <v>2560</v>
      </c>
      <c r="CX78" s="230">
        <v>2586</v>
      </c>
      <c r="CY78" s="228">
        <v>-25</v>
      </c>
      <c r="CZ78" s="229">
        <v>-9.9000000000000008E-3</v>
      </c>
      <c r="DA78" s="228">
        <v>30.4</v>
      </c>
      <c r="DB78" s="228">
        <v>30.25</v>
      </c>
      <c r="DC78" s="228">
        <v>0.15</v>
      </c>
      <c r="DD78" s="228">
        <v>0.15</v>
      </c>
      <c r="DE78" s="228">
        <v>46.4</v>
      </c>
      <c r="DF78" s="228">
        <v>46.45</v>
      </c>
      <c r="DG78" s="228">
        <v>-16</v>
      </c>
      <c r="DH78" s="228">
        <v>-0.05</v>
      </c>
      <c r="DI78" s="228">
        <v>30.18</v>
      </c>
      <c r="DJ78" s="228">
        <v>29.24</v>
      </c>
      <c r="DK78" s="228">
        <v>0.94</v>
      </c>
      <c r="DL78" s="228">
        <v>0.94</v>
      </c>
      <c r="DM78" s="228">
        <v>30.71</v>
      </c>
      <c r="DN78" s="228">
        <v>31.84</v>
      </c>
      <c r="DO78" s="228">
        <v>-1.1299999999999999</v>
      </c>
      <c r="DP78" s="228">
        <v>-1.1299999999999999</v>
      </c>
      <c r="DQ78" s="228">
        <v>0.64</v>
      </c>
      <c r="DR78" s="228">
        <v>0.71</v>
      </c>
      <c r="DS78" s="228">
        <v>-7.0000000000000007E-2</v>
      </c>
      <c r="DT78" s="229">
        <v>-9.8599999999999993E-2</v>
      </c>
      <c r="DU78" s="231">
        <v>2400</v>
      </c>
      <c r="DV78" s="231">
        <v>2400</v>
      </c>
      <c r="DW78" s="228">
        <v>0.72</v>
      </c>
      <c r="DX78" s="228">
        <v>0.64</v>
      </c>
      <c r="DY78" s="228">
        <v>0.08</v>
      </c>
      <c r="DZ78" s="229">
        <v>0.125</v>
      </c>
      <c r="EA78" s="229">
        <v>5.1900000000000002E-2</v>
      </c>
      <c r="EB78" s="230">
        <v>306625</v>
      </c>
      <c r="EC78" s="229">
        <v>5.3E-3</v>
      </c>
      <c r="ED78" s="229">
        <v>5.1900000000000002E-2</v>
      </c>
      <c r="EE78" s="228">
        <v>13.07</v>
      </c>
      <c r="EF78" s="229">
        <v>5.4999999999999997E-3</v>
      </c>
      <c r="EG78" s="230">
        <v>311950</v>
      </c>
      <c r="EH78" s="230">
        <v>389241</v>
      </c>
      <c r="EI78" s="229">
        <v>-0.1986</v>
      </c>
      <c r="EJ78" s="229">
        <v>0.57169999999999999</v>
      </c>
      <c r="EK78" s="228">
        <v>503.59</v>
      </c>
      <c r="EL78" s="228">
        <v>342.35</v>
      </c>
      <c r="EM78" s="228">
        <v>209.04</v>
      </c>
      <c r="EN78" s="228">
        <v>0</v>
      </c>
      <c r="EO78" s="231">
        <v>1054.98</v>
      </c>
      <c r="EP78" s="231">
        <v>1520.3</v>
      </c>
      <c r="EQ78" s="228">
        <v>-465.32</v>
      </c>
      <c r="ER78" s="229">
        <v>-0.30609999999999998</v>
      </c>
      <c r="ES78" s="228">
        <v>647.70000000000005</v>
      </c>
      <c r="ET78" s="228">
        <v>381.34</v>
      </c>
      <c r="EU78" s="231">
        <v>1538.8</v>
      </c>
      <c r="EV78" s="231">
        <v>32126257</v>
      </c>
      <c r="EW78" s="231">
        <v>2567.85</v>
      </c>
      <c r="EX78" s="231">
        <v>2620.4</v>
      </c>
      <c r="EY78" s="228">
        <v>-52.55</v>
      </c>
      <c r="EZ78" s="229">
        <v>-2.01E-2</v>
      </c>
      <c r="FA78" s="229">
        <v>0.33710000000000001</v>
      </c>
      <c r="FB78" s="227" t="s">
        <v>568</v>
      </c>
      <c r="FC78">
        <f t="shared" si="1"/>
        <v>84</v>
      </c>
    </row>
    <row r="79" spans="1:159" ht="17.25" thickBot="1" x14ac:dyDescent="0.3">
      <c r="A79" s="226">
        <v>45860</v>
      </c>
      <c r="B79" s="227" t="s">
        <v>170</v>
      </c>
      <c r="C79" s="227" t="s">
        <v>492</v>
      </c>
      <c r="D79" s="228">
        <v>1075</v>
      </c>
      <c r="E79" s="228">
        <v>9</v>
      </c>
      <c r="F79" s="228">
        <v>476.65</v>
      </c>
      <c r="G79" s="228">
        <v>494.1</v>
      </c>
      <c r="H79" s="228">
        <v>-17.45</v>
      </c>
      <c r="I79" s="229">
        <v>-3.5299999999999998E-2</v>
      </c>
      <c r="J79" s="228">
        <v>477.1</v>
      </c>
      <c r="K79" s="228">
        <v>494.5</v>
      </c>
      <c r="L79" s="228">
        <v>-17.399999999999999</v>
      </c>
      <c r="M79" s="229">
        <v>-3.5200000000000002E-2</v>
      </c>
      <c r="N79" s="228">
        <v>476.65</v>
      </c>
      <c r="O79" s="228">
        <v>494.1</v>
      </c>
      <c r="P79" s="228">
        <v>-17.45</v>
      </c>
      <c r="Q79" s="229">
        <v>-3.5299999999999998E-2</v>
      </c>
      <c r="R79" s="228">
        <v>479.3</v>
      </c>
      <c r="S79" s="228">
        <v>496.7</v>
      </c>
      <c r="T79" s="228">
        <v>-17.399999999999999</v>
      </c>
      <c r="U79" s="229">
        <v>-3.5000000000000003E-2</v>
      </c>
      <c r="V79" s="228">
        <v>0</v>
      </c>
      <c r="W79" s="228">
        <v>0</v>
      </c>
      <c r="X79" s="228">
        <v>0</v>
      </c>
      <c r="Y79" s="229">
        <v>0</v>
      </c>
      <c r="Z79" s="228">
        <v>-0.45</v>
      </c>
      <c r="AA79" s="228">
        <v>-0.4</v>
      </c>
      <c r="AB79" s="228">
        <v>-0.05</v>
      </c>
      <c r="AC79" s="229">
        <v>-8.9999999999999998E-4</v>
      </c>
      <c r="AD79" s="228">
        <v>-0.45</v>
      </c>
      <c r="AE79" s="228">
        <v>-0.4</v>
      </c>
      <c r="AF79" s="228">
        <v>-0.05</v>
      </c>
      <c r="AG79" s="229">
        <v>-8.9999999999999998E-4</v>
      </c>
      <c r="AH79" s="228">
        <v>2.2000000000000002</v>
      </c>
      <c r="AI79" s="228">
        <v>2.2000000000000002</v>
      </c>
      <c r="AJ79" s="228">
        <v>0</v>
      </c>
      <c r="AK79" s="229">
        <v>4.5999999999999999E-3</v>
      </c>
      <c r="AL79" s="228">
        <v>0</v>
      </c>
      <c r="AM79" s="228">
        <v>0</v>
      </c>
      <c r="AN79" s="228">
        <v>0</v>
      </c>
      <c r="AO79" s="229">
        <v>0</v>
      </c>
      <c r="AP79" s="228">
        <v>482.28</v>
      </c>
      <c r="AQ79" s="228">
        <v>484.55</v>
      </c>
      <c r="AR79" s="228">
        <v>0</v>
      </c>
      <c r="AS79" s="228">
        <v>100</v>
      </c>
      <c r="AT79" s="228">
        <v>47</v>
      </c>
      <c r="AU79" s="228">
        <v>53</v>
      </c>
      <c r="AV79" s="229">
        <v>1.143</v>
      </c>
      <c r="AW79" s="228">
        <v>83</v>
      </c>
      <c r="AX79" s="228">
        <v>42</v>
      </c>
      <c r="AY79" s="228">
        <v>41</v>
      </c>
      <c r="AZ79" s="229">
        <v>0.99260000000000004</v>
      </c>
      <c r="BA79" s="228">
        <v>17</v>
      </c>
      <c r="BB79" s="228">
        <v>5</v>
      </c>
      <c r="BC79" s="228">
        <v>12</v>
      </c>
      <c r="BD79" s="229">
        <v>2.4316</v>
      </c>
      <c r="BE79" s="228">
        <v>0</v>
      </c>
      <c r="BF79" s="228">
        <v>0</v>
      </c>
      <c r="BG79" s="228">
        <v>0</v>
      </c>
      <c r="BH79" s="229">
        <v>0</v>
      </c>
      <c r="BI79" s="228">
        <v>180</v>
      </c>
      <c r="BJ79" s="228">
        <v>88</v>
      </c>
      <c r="BK79" s="228">
        <v>92</v>
      </c>
      <c r="BL79" s="229">
        <v>1.0376000000000001</v>
      </c>
      <c r="BM79" s="228">
        <v>107</v>
      </c>
      <c r="BN79" s="228">
        <v>32</v>
      </c>
      <c r="BO79" s="228">
        <v>76</v>
      </c>
      <c r="BP79" s="229">
        <v>2.3714</v>
      </c>
      <c r="BQ79" s="228">
        <v>388</v>
      </c>
      <c r="BR79" s="228">
        <v>167</v>
      </c>
      <c r="BS79" s="228">
        <v>221</v>
      </c>
      <c r="BT79" s="229">
        <v>1.3217000000000001</v>
      </c>
      <c r="BU79" s="230">
        <v>909761</v>
      </c>
      <c r="BV79" s="230">
        <v>451019</v>
      </c>
      <c r="BW79" s="230">
        <v>458742</v>
      </c>
      <c r="BX79" s="229">
        <v>1.0170999999999999</v>
      </c>
      <c r="BY79" s="228">
        <v>609</v>
      </c>
      <c r="BZ79" s="228">
        <v>603</v>
      </c>
      <c r="CA79" s="228">
        <v>6</v>
      </c>
      <c r="CB79" s="229">
        <v>1.04E-2</v>
      </c>
      <c r="CC79" s="228">
        <v>587</v>
      </c>
      <c r="CD79" s="228">
        <v>586</v>
      </c>
      <c r="CE79" s="228">
        <v>1</v>
      </c>
      <c r="CF79" s="229">
        <v>1.9E-3</v>
      </c>
      <c r="CG79" s="228">
        <v>22</v>
      </c>
      <c r="CH79" s="228">
        <v>17</v>
      </c>
      <c r="CI79" s="228">
        <v>5</v>
      </c>
      <c r="CJ79" s="229">
        <v>0.30030000000000001</v>
      </c>
      <c r="CK79" s="228">
        <v>0</v>
      </c>
      <c r="CL79" s="228">
        <v>0</v>
      </c>
      <c r="CM79" s="228">
        <v>0</v>
      </c>
      <c r="CN79" s="229">
        <v>0</v>
      </c>
      <c r="CO79" s="228">
        <v>235</v>
      </c>
      <c r="CP79" s="228">
        <v>223</v>
      </c>
      <c r="CQ79" s="228">
        <v>12</v>
      </c>
      <c r="CR79" s="229">
        <v>5.3499999999999999E-2</v>
      </c>
      <c r="CS79" s="228">
        <v>120</v>
      </c>
      <c r="CT79" s="228">
        <v>119</v>
      </c>
      <c r="CU79" s="228">
        <v>1</v>
      </c>
      <c r="CV79" s="229">
        <v>9.9000000000000008E-3</v>
      </c>
      <c r="CW79" s="228">
        <v>964</v>
      </c>
      <c r="CX79" s="228">
        <v>945</v>
      </c>
      <c r="CY79" s="228">
        <v>19</v>
      </c>
      <c r="CZ79" s="229">
        <v>2.0500000000000001E-2</v>
      </c>
      <c r="DA79" s="228">
        <v>36.9</v>
      </c>
      <c r="DB79" s="228">
        <v>35.25</v>
      </c>
      <c r="DC79" s="228">
        <v>1.65</v>
      </c>
      <c r="DD79" s="228">
        <v>1.65</v>
      </c>
      <c r="DE79" s="228">
        <v>45.66</v>
      </c>
      <c r="DF79" s="228">
        <v>45.52</v>
      </c>
      <c r="DG79" s="228">
        <v>-8.76</v>
      </c>
      <c r="DH79" s="228">
        <v>0.14000000000000001</v>
      </c>
      <c r="DI79" s="228">
        <v>37.909999999999997</v>
      </c>
      <c r="DJ79" s="228">
        <v>35.31</v>
      </c>
      <c r="DK79" s="228">
        <v>2.6</v>
      </c>
      <c r="DL79" s="228">
        <v>2.6</v>
      </c>
      <c r="DM79" s="228">
        <v>35.21</v>
      </c>
      <c r="DN79" s="228">
        <v>35.08</v>
      </c>
      <c r="DO79" s="228">
        <v>0.13</v>
      </c>
      <c r="DP79" s="228">
        <v>0.13</v>
      </c>
      <c r="DQ79" s="228">
        <v>0.51</v>
      </c>
      <c r="DR79" s="228">
        <v>0.53</v>
      </c>
      <c r="DS79" s="228">
        <v>-0.02</v>
      </c>
      <c r="DT79" s="229">
        <v>-3.7699999999999997E-2</v>
      </c>
      <c r="DU79" s="228">
        <v>500</v>
      </c>
      <c r="DV79" s="228">
        <v>500</v>
      </c>
      <c r="DW79" s="228">
        <v>0.6</v>
      </c>
      <c r="DX79" s="228">
        <v>0.36</v>
      </c>
      <c r="DY79" s="228">
        <v>0.24</v>
      </c>
      <c r="DZ79" s="229">
        <v>0.66669999999999996</v>
      </c>
      <c r="EA79" s="229">
        <v>3.6400000000000002E-2</v>
      </c>
      <c r="EB79" s="230">
        <v>357975</v>
      </c>
      <c r="EC79" s="229">
        <v>5.5999999999999999E-3</v>
      </c>
      <c r="ED79" s="229">
        <v>3.6400000000000002E-2</v>
      </c>
      <c r="EE79" s="228">
        <v>2.27</v>
      </c>
      <c r="EF79" s="229">
        <v>4.7000000000000002E-3</v>
      </c>
      <c r="EG79" s="230">
        <v>350015</v>
      </c>
      <c r="EH79" s="230">
        <v>171432</v>
      </c>
      <c r="EI79" s="229">
        <v>1.0417000000000001</v>
      </c>
      <c r="EJ79" s="229">
        <v>0.38469999999999999</v>
      </c>
      <c r="EK79" s="228">
        <v>192.45</v>
      </c>
      <c r="EL79" s="228">
        <v>110.24</v>
      </c>
      <c r="EM79" s="228">
        <v>101.07</v>
      </c>
      <c r="EN79" s="228">
        <v>0</v>
      </c>
      <c r="EO79" s="228">
        <v>403.77</v>
      </c>
      <c r="EP79" s="228">
        <v>177.71</v>
      </c>
      <c r="EQ79" s="228">
        <v>226.06</v>
      </c>
      <c r="ER79" s="229">
        <v>1.2721</v>
      </c>
      <c r="ES79" s="228">
        <v>252.64</v>
      </c>
      <c r="ET79" s="228">
        <v>123.96</v>
      </c>
      <c r="EU79" s="228">
        <v>609.57000000000005</v>
      </c>
      <c r="EV79" s="231">
        <v>29668038</v>
      </c>
      <c r="EW79" s="228">
        <v>986.17</v>
      </c>
      <c r="EX79" s="228">
        <v>989.01</v>
      </c>
      <c r="EY79" s="228">
        <v>-2.84</v>
      </c>
      <c r="EZ79" s="229">
        <v>-2.8999999999999998E-3</v>
      </c>
      <c r="FA79" s="229">
        <v>0.68200000000000005</v>
      </c>
      <c r="FB79" s="227" t="s">
        <v>567</v>
      </c>
      <c r="FC79">
        <f t="shared" si="1"/>
        <v>22</v>
      </c>
    </row>
    <row r="80" spans="1:159" ht="17.25" thickBot="1" x14ac:dyDescent="0.3">
      <c r="A80" s="226">
        <v>45860</v>
      </c>
      <c r="B80" s="227" t="s">
        <v>157</v>
      </c>
      <c r="C80" s="227" t="s">
        <v>219</v>
      </c>
      <c r="D80" s="228">
        <v>250</v>
      </c>
      <c r="E80" s="228">
        <v>9</v>
      </c>
      <c r="F80" s="231">
        <v>2730</v>
      </c>
      <c r="G80" s="231">
        <v>2750.2</v>
      </c>
      <c r="H80" s="228">
        <v>-20.2</v>
      </c>
      <c r="I80" s="229">
        <v>-7.3000000000000001E-3</v>
      </c>
      <c r="J80" s="231">
        <v>2722.7</v>
      </c>
      <c r="K80" s="231">
        <v>2741.9</v>
      </c>
      <c r="L80" s="228">
        <v>-19.2</v>
      </c>
      <c r="M80" s="229">
        <v>-7.0000000000000001E-3</v>
      </c>
      <c r="N80" s="231">
        <v>2730</v>
      </c>
      <c r="O80" s="231">
        <v>2750.2</v>
      </c>
      <c r="P80" s="228">
        <v>-20.2</v>
      </c>
      <c r="Q80" s="229">
        <v>-7.3000000000000001E-3</v>
      </c>
      <c r="R80" s="231">
        <v>2733.3</v>
      </c>
      <c r="S80" s="231">
        <v>2751.5</v>
      </c>
      <c r="T80" s="228">
        <v>-18.2</v>
      </c>
      <c r="U80" s="229">
        <v>-6.6E-3</v>
      </c>
      <c r="V80" s="228">
        <v>0</v>
      </c>
      <c r="W80" s="228">
        <v>0</v>
      </c>
      <c r="X80" s="228">
        <v>0</v>
      </c>
      <c r="Y80" s="229">
        <v>0</v>
      </c>
      <c r="Z80" s="228">
        <v>7.3</v>
      </c>
      <c r="AA80" s="228">
        <v>8.3000000000000007</v>
      </c>
      <c r="AB80" s="228">
        <v>-1</v>
      </c>
      <c r="AC80" s="229">
        <v>2.7000000000000001E-3</v>
      </c>
      <c r="AD80" s="228">
        <v>7.3</v>
      </c>
      <c r="AE80" s="228">
        <v>8.3000000000000007</v>
      </c>
      <c r="AF80" s="228">
        <v>-1</v>
      </c>
      <c r="AG80" s="229">
        <v>2.7000000000000001E-3</v>
      </c>
      <c r="AH80" s="228">
        <v>10.6</v>
      </c>
      <c r="AI80" s="228">
        <v>9.6</v>
      </c>
      <c r="AJ80" s="228">
        <v>1</v>
      </c>
      <c r="AK80" s="229">
        <v>3.8999999999999998E-3</v>
      </c>
      <c r="AL80" s="228">
        <v>0</v>
      </c>
      <c r="AM80" s="228">
        <v>0</v>
      </c>
      <c r="AN80" s="228">
        <v>0</v>
      </c>
      <c r="AO80" s="229">
        <v>0</v>
      </c>
      <c r="AP80" s="231">
        <v>2738.38</v>
      </c>
      <c r="AQ80" s="231">
        <v>2741.66</v>
      </c>
      <c r="AR80" s="228">
        <v>0</v>
      </c>
      <c r="AS80" s="228">
        <v>229</v>
      </c>
      <c r="AT80" s="228">
        <v>164</v>
      </c>
      <c r="AU80" s="228">
        <v>65</v>
      </c>
      <c r="AV80" s="229">
        <v>0.39910000000000001</v>
      </c>
      <c r="AW80" s="228">
        <v>197</v>
      </c>
      <c r="AX80" s="228">
        <v>135</v>
      </c>
      <c r="AY80" s="228">
        <v>62</v>
      </c>
      <c r="AZ80" s="229">
        <v>0.46350000000000002</v>
      </c>
      <c r="BA80" s="228">
        <v>31</v>
      </c>
      <c r="BB80" s="228">
        <v>28</v>
      </c>
      <c r="BC80" s="228">
        <v>3</v>
      </c>
      <c r="BD80" s="229">
        <v>8.9599999999999999E-2</v>
      </c>
      <c r="BE80" s="228">
        <v>0</v>
      </c>
      <c r="BF80" s="228">
        <v>0</v>
      </c>
      <c r="BG80" s="228">
        <v>0</v>
      </c>
      <c r="BH80" s="229">
        <v>0</v>
      </c>
      <c r="BI80" s="228">
        <v>454</v>
      </c>
      <c r="BJ80" s="228">
        <v>591</v>
      </c>
      <c r="BK80" s="228">
        <v>-138</v>
      </c>
      <c r="BL80" s="229">
        <v>-0.23269999999999999</v>
      </c>
      <c r="BM80" s="228">
        <v>173</v>
      </c>
      <c r="BN80" s="228">
        <v>165</v>
      </c>
      <c r="BO80" s="228">
        <v>7</v>
      </c>
      <c r="BP80" s="229">
        <v>4.5100000000000001E-2</v>
      </c>
      <c r="BQ80" s="228">
        <v>856</v>
      </c>
      <c r="BR80" s="228">
        <v>920</v>
      </c>
      <c r="BS80" s="228">
        <v>-65</v>
      </c>
      <c r="BT80" s="229">
        <v>-7.0300000000000001E-2</v>
      </c>
      <c r="BU80" s="230">
        <v>675994</v>
      </c>
      <c r="BV80" s="230">
        <v>695565</v>
      </c>
      <c r="BW80" s="230">
        <v>-19571</v>
      </c>
      <c r="BX80" s="229">
        <v>-2.81E-2</v>
      </c>
      <c r="BY80" s="230">
        <v>3460</v>
      </c>
      <c r="BZ80" s="230">
        <v>3418</v>
      </c>
      <c r="CA80" s="228">
        <v>43</v>
      </c>
      <c r="CB80" s="229">
        <v>1.24E-2</v>
      </c>
      <c r="CC80" s="230">
        <v>3266</v>
      </c>
      <c r="CD80" s="230">
        <v>3235</v>
      </c>
      <c r="CE80" s="228">
        <v>31</v>
      </c>
      <c r="CF80" s="229">
        <v>9.5999999999999992E-3</v>
      </c>
      <c r="CG80" s="228">
        <v>190</v>
      </c>
      <c r="CH80" s="228">
        <v>180</v>
      </c>
      <c r="CI80" s="228">
        <v>11</v>
      </c>
      <c r="CJ80" s="229">
        <v>5.8500000000000003E-2</v>
      </c>
      <c r="CK80" s="228">
        <v>0</v>
      </c>
      <c r="CL80" s="228">
        <v>0</v>
      </c>
      <c r="CM80" s="228">
        <v>0</v>
      </c>
      <c r="CN80" s="229">
        <v>0</v>
      </c>
      <c r="CO80" s="228">
        <v>652</v>
      </c>
      <c r="CP80" s="228">
        <v>633</v>
      </c>
      <c r="CQ80" s="228">
        <v>19</v>
      </c>
      <c r="CR80" s="229">
        <v>3.0700000000000002E-2</v>
      </c>
      <c r="CS80" s="228">
        <v>301</v>
      </c>
      <c r="CT80" s="228">
        <v>303</v>
      </c>
      <c r="CU80" s="228">
        <v>-3</v>
      </c>
      <c r="CV80" s="229">
        <v>-8.8000000000000005E-3</v>
      </c>
      <c r="CW80" s="230">
        <v>4413</v>
      </c>
      <c r="CX80" s="230">
        <v>4354</v>
      </c>
      <c r="CY80" s="228">
        <v>59</v>
      </c>
      <c r="CZ80" s="229">
        <v>1.3599999999999999E-2</v>
      </c>
      <c r="DA80" s="228">
        <v>22.94</v>
      </c>
      <c r="DB80" s="228">
        <v>22.48</v>
      </c>
      <c r="DC80" s="228">
        <v>0.46</v>
      </c>
      <c r="DD80" s="228">
        <v>0.46</v>
      </c>
      <c r="DE80" s="228">
        <v>27.4</v>
      </c>
      <c r="DF80" s="228">
        <v>27.46</v>
      </c>
      <c r="DG80" s="228">
        <v>-4.46</v>
      </c>
      <c r="DH80" s="228">
        <v>-0.06</v>
      </c>
      <c r="DI80" s="228">
        <v>23.76</v>
      </c>
      <c r="DJ80" s="228">
        <v>22.78</v>
      </c>
      <c r="DK80" s="228">
        <v>0.98</v>
      </c>
      <c r="DL80" s="228">
        <v>0.98</v>
      </c>
      <c r="DM80" s="228">
        <v>20.79</v>
      </c>
      <c r="DN80" s="228">
        <v>21.43</v>
      </c>
      <c r="DO80" s="228">
        <v>-0.64</v>
      </c>
      <c r="DP80" s="228">
        <v>-0.64</v>
      </c>
      <c r="DQ80" s="228">
        <v>0.46</v>
      </c>
      <c r="DR80" s="228">
        <v>0.48</v>
      </c>
      <c r="DS80" s="228">
        <v>-0.02</v>
      </c>
      <c r="DT80" s="229">
        <v>-4.1700000000000001E-2</v>
      </c>
      <c r="DU80" s="231">
        <v>2800</v>
      </c>
      <c r="DV80" s="231">
        <v>2600</v>
      </c>
      <c r="DW80" s="228">
        <v>0.38</v>
      </c>
      <c r="DX80" s="228">
        <v>0.28000000000000003</v>
      </c>
      <c r="DY80" s="228">
        <v>0.1</v>
      </c>
      <c r="DZ80" s="229">
        <v>0.35709999999999997</v>
      </c>
      <c r="EA80" s="229">
        <v>5.5E-2</v>
      </c>
      <c r="EB80" s="230">
        <v>658500</v>
      </c>
      <c r="EC80" s="229">
        <v>1.1999999999999999E-3</v>
      </c>
      <c r="ED80" s="229">
        <v>5.5E-2</v>
      </c>
      <c r="EE80" s="228">
        <v>3.28</v>
      </c>
      <c r="EF80" s="229">
        <v>1.1999999999999999E-3</v>
      </c>
      <c r="EG80" s="230">
        <v>449016</v>
      </c>
      <c r="EH80" s="230">
        <v>476372</v>
      </c>
      <c r="EI80" s="229">
        <v>-5.74E-2</v>
      </c>
      <c r="EJ80" s="229">
        <v>0.66420000000000001</v>
      </c>
      <c r="EK80" s="228">
        <v>471.71</v>
      </c>
      <c r="EL80" s="228">
        <v>172.92</v>
      </c>
      <c r="EM80" s="228">
        <v>230.21</v>
      </c>
      <c r="EN80" s="228">
        <v>0</v>
      </c>
      <c r="EO80" s="228">
        <v>874.84</v>
      </c>
      <c r="EP80" s="228">
        <v>944.8</v>
      </c>
      <c r="EQ80" s="228">
        <v>-69.959999999999994</v>
      </c>
      <c r="ER80" s="229">
        <v>-7.3999999999999996E-2</v>
      </c>
      <c r="ES80" s="228">
        <v>698.83</v>
      </c>
      <c r="ET80" s="228">
        <v>298.25</v>
      </c>
      <c r="EU80" s="231">
        <v>3460.67</v>
      </c>
      <c r="EV80" s="231">
        <v>77020742</v>
      </c>
      <c r="EW80" s="231">
        <v>4457.75</v>
      </c>
      <c r="EX80" s="231">
        <v>4423.88</v>
      </c>
      <c r="EY80" s="228">
        <v>33.869999999999997</v>
      </c>
      <c r="EZ80" s="229">
        <v>7.7000000000000002E-3</v>
      </c>
      <c r="FA80" s="229">
        <v>0.2099</v>
      </c>
      <c r="FB80" s="227" t="s">
        <v>567</v>
      </c>
      <c r="FC80">
        <f t="shared" si="1"/>
        <v>194</v>
      </c>
    </row>
    <row r="81" spans="1:159" ht="17.25" thickBot="1" x14ac:dyDescent="0.3">
      <c r="A81" s="226">
        <v>45860</v>
      </c>
      <c r="B81" s="227" t="s">
        <v>184</v>
      </c>
      <c r="C81" s="227" t="s">
        <v>513</v>
      </c>
      <c r="D81" s="228">
        <v>150</v>
      </c>
      <c r="E81" s="228">
        <v>9</v>
      </c>
      <c r="F81" s="231">
        <v>4768.7</v>
      </c>
      <c r="G81" s="231">
        <v>4758.3</v>
      </c>
      <c r="H81" s="228">
        <v>10.4</v>
      </c>
      <c r="I81" s="229">
        <v>2.2000000000000001E-3</v>
      </c>
      <c r="J81" s="231">
        <v>4758.2</v>
      </c>
      <c r="K81" s="231">
        <v>4751</v>
      </c>
      <c r="L81" s="228">
        <v>7.2</v>
      </c>
      <c r="M81" s="229">
        <v>1.5E-3</v>
      </c>
      <c r="N81" s="231">
        <v>4768.7</v>
      </c>
      <c r="O81" s="231">
        <v>4758.3</v>
      </c>
      <c r="P81" s="228">
        <v>10.4</v>
      </c>
      <c r="Q81" s="229">
        <v>2.2000000000000001E-3</v>
      </c>
      <c r="R81" s="231">
        <v>4779.8</v>
      </c>
      <c r="S81" s="231">
        <v>4767.6000000000004</v>
      </c>
      <c r="T81" s="228">
        <v>12.2</v>
      </c>
      <c r="U81" s="229">
        <v>2.5999999999999999E-3</v>
      </c>
      <c r="V81" s="228">
        <v>0</v>
      </c>
      <c r="W81" s="228">
        <v>0</v>
      </c>
      <c r="X81" s="228">
        <v>0</v>
      </c>
      <c r="Y81" s="229">
        <v>0</v>
      </c>
      <c r="Z81" s="228">
        <v>10.5</v>
      </c>
      <c r="AA81" s="228">
        <v>7.3</v>
      </c>
      <c r="AB81" s="228">
        <v>3.2</v>
      </c>
      <c r="AC81" s="229">
        <v>2.2000000000000001E-3</v>
      </c>
      <c r="AD81" s="228">
        <v>10.5</v>
      </c>
      <c r="AE81" s="228">
        <v>7.3</v>
      </c>
      <c r="AF81" s="228">
        <v>3.2</v>
      </c>
      <c r="AG81" s="229">
        <v>2.2000000000000001E-3</v>
      </c>
      <c r="AH81" s="228">
        <v>21.6</v>
      </c>
      <c r="AI81" s="228">
        <v>16.600000000000001</v>
      </c>
      <c r="AJ81" s="228">
        <v>5</v>
      </c>
      <c r="AK81" s="229">
        <v>4.4999999999999997E-3</v>
      </c>
      <c r="AL81" s="228">
        <v>0</v>
      </c>
      <c r="AM81" s="228">
        <v>0</v>
      </c>
      <c r="AN81" s="228">
        <v>0</v>
      </c>
      <c r="AO81" s="229">
        <v>0</v>
      </c>
      <c r="AP81" s="231">
        <v>4791.17</v>
      </c>
      <c r="AQ81" s="231">
        <v>4800.16</v>
      </c>
      <c r="AR81" s="228">
        <v>0</v>
      </c>
      <c r="AS81" s="228">
        <v>734</v>
      </c>
      <c r="AT81" s="228">
        <v>995</v>
      </c>
      <c r="AU81" s="228">
        <v>-261</v>
      </c>
      <c r="AV81" s="229">
        <v>-0.26229999999999998</v>
      </c>
      <c r="AW81" s="228">
        <v>512</v>
      </c>
      <c r="AX81" s="228">
        <v>762</v>
      </c>
      <c r="AY81" s="228">
        <v>-250</v>
      </c>
      <c r="AZ81" s="229">
        <v>-0.3286</v>
      </c>
      <c r="BA81" s="228">
        <v>212</v>
      </c>
      <c r="BB81" s="228">
        <v>213</v>
      </c>
      <c r="BC81" s="228">
        <v>-1</v>
      </c>
      <c r="BD81" s="229">
        <v>-6.0000000000000001E-3</v>
      </c>
      <c r="BE81" s="228">
        <v>0</v>
      </c>
      <c r="BF81" s="228">
        <v>0</v>
      </c>
      <c r="BG81" s="228">
        <v>0</v>
      </c>
      <c r="BH81" s="229">
        <v>0</v>
      </c>
      <c r="BI81" s="230">
        <v>4092</v>
      </c>
      <c r="BJ81" s="230">
        <v>5680</v>
      </c>
      <c r="BK81" s="230">
        <v>-1587</v>
      </c>
      <c r="BL81" s="229">
        <v>-0.27939999999999998</v>
      </c>
      <c r="BM81" s="230">
        <v>1468</v>
      </c>
      <c r="BN81" s="230">
        <v>2265</v>
      </c>
      <c r="BO81" s="228">
        <v>-796</v>
      </c>
      <c r="BP81" s="229">
        <v>-0.35160000000000002</v>
      </c>
      <c r="BQ81" s="230">
        <v>6295</v>
      </c>
      <c r="BR81" s="230">
        <v>8939</v>
      </c>
      <c r="BS81" s="230">
        <v>-2644</v>
      </c>
      <c r="BT81" s="229">
        <v>-0.29580000000000001</v>
      </c>
      <c r="BU81" s="230">
        <v>950549</v>
      </c>
      <c r="BV81" s="230">
        <v>1230661</v>
      </c>
      <c r="BW81" s="230">
        <v>-280112</v>
      </c>
      <c r="BX81" s="229">
        <v>-0.2276</v>
      </c>
      <c r="BY81" s="230">
        <v>4470</v>
      </c>
      <c r="BZ81" s="230">
        <v>4491</v>
      </c>
      <c r="CA81" s="228">
        <v>-21</v>
      </c>
      <c r="CB81" s="229">
        <v>-4.7000000000000002E-3</v>
      </c>
      <c r="CC81" s="230">
        <v>3532</v>
      </c>
      <c r="CD81" s="230">
        <v>3634</v>
      </c>
      <c r="CE81" s="228">
        <v>-102</v>
      </c>
      <c r="CF81" s="229">
        <v>-2.8199999999999999E-2</v>
      </c>
      <c r="CG81" s="228">
        <v>877</v>
      </c>
      <c r="CH81" s="228">
        <v>797</v>
      </c>
      <c r="CI81" s="228">
        <v>81</v>
      </c>
      <c r="CJ81" s="229">
        <v>0.1013</v>
      </c>
      <c r="CK81" s="228">
        <v>0</v>
      </c>
      <c r="CL81" s="228">
        <v>0</v>
      </c>
      <c r="CM81" s="228">
        <v>0</v>
      </c>
      <c r="CN81" s="229">
        <v>0</v>
      </c>
      <c r="CO81" s="230">
        <v>3376</v>
      </c>
      <c r="CP81" s="230">
        <v>3427</v>
      </c>
      <c r="CQ81" s="228">
        <v>-51</v>
      </c>
      <c r="CR81" s="229">
        <v>-1.4999999999999999E-2</v>
      </c>
      <c r="CS81" s="230">
        <v>1742</v>
      </c>
      <c r="CT81" s="230">
        <v>1718</v>
      </c>
      <c r="CU81" s="228">
        <v>24</v>
      </c>
      <c r="CV81" s="229">
        <v>1.41E-2</v>
      </c>
      <c r="CW81" s="230">
        <v>9587</v>
      </c>
      <c r="CX81" s="230">
        <v>9635</v>
      </c>
      <c r="CY81" s="228">
        <v>-48</v>
      </c>
      <c r="CZ81" s="229">
        <v>-5.0000000000000001E-3</v>
      </c>
      <c r="DA81" s="228">
        <v>29.68</v>
      </c>
      <c r="DB81" s="228">
        <v>30.01</v>
      </c>
      <c r="DC81" s="228">
        <v>-0.33</v>
      </c>
      <c r="DD81" s="228">
        <v>-0.33</v>
      </c>
      <c r="DE81" s="228">
        <v>43.96</v>
      </c>
      <c r="DF81" s="228">
        <v>44.07</v>
      </c>
      <c r="DG81" s="228">
        <v>-14.28</v>
      </c>
      <c r="DH81" s="228">
        <v>-0.11</v>
      </c>
      <c r="DI81" s="228">
        <v>30.26</v>
      </c>
      <c r="DJ81" s="228">
        <v>30.17</v>
      </c>
      <c r="DK81" s="228">
        <v>0.09</v>
      </c>
      <c r="DL81" s="228">
        <v>0.09</v>
      </c>
      <c r="DM81" s="228">
        <v>28.07</v>
      </c>
      <c r="DN81" s="228">
        <v>29.6</v>
      </c>
      <c r="DO81" s="228">
        <v>-1.53</v>
      </c>
      <c r="DP81" s="228">
        <v>-1.53</v>
      </c>
      <c r="DQ81" s="228">
        <v>0.52</v>
      </c>
      <c r="DR81" s="228">
        <v>0.5</v>
      </c>
      <c r="DS81" s="228">
        <v>0.02</v>
      </c>
      <c r="DT81" s="229">
        <v>0.04</v>
      </c>
      <c r="DU81" s="231">
        <v>5000</v>
      </c>
      <c r="DV81" s="231">
        <v>5000</v>
      </c>
      <c r="DW81" s="228">
        <v>0.36</v>
      </c>
      <c r="DX81" s="228">
        <v>0.4</v>
      </c>
      <c r="DY81" s="228">
        <v>-0.04</v>
      </c>
      <c r="DZ81" s="229">
        <v>-0.1</v>
      </c>
      <c r="EA81" s="229">
        <v>0.1963</v>
      </c>
      <c r="EB81" s="230">
        <v>1670850</v>
      </c>
      <c r="EC81" s="229">
        <v>2.3E-3</v>
      </c>
      <c r="ED81" s="229">
        <v>0.1963</v>
      </c>
      <c r="EE81" s="228">
        <v>8.99</v>
      </c>
      <c r="EF81" s="229">
        <v>1.9E-3</v>
      </c>
      <c r="EG81" s="230">
        <v>431869</v>
      </c>
      <c r="EH81" s="230">
        <v>404877</v>
      </c>
      <c r="EI81" s="229">
        <v>6.6699999999999995E-2</v>
      </c>
      <c r="EJ81" s="229">
        <v>0.45429999999999998</v>
      </c>
      <c r="EK81" s="231">
        <v>4301.8100000000004</v>
      </c>
      <c r="EL81" s="231">
        <v>1443.15</v>
      </c>
      <c r="EM81" s="228">
        <v>737.77</v>
      </c>
      <c r="EN81" s="228">
        <v>0</v>
      </c>
      <c r="EO81" s="231">
        <v>6482.73</v>
      </c>
      <c r="EP81" s="231">
        <v>9113.3799999999992</v>
      </c>
      <c r="EQ81" s="231">
        <v>-2630.65</v>
      </c>
      <c r="ER81" s="229">
        <v>-0.28870000000000001</v>
      </c>
      <c r="ES81" s="231">
        <v>3623.03</v>
      </c>
      <c r="ET81" s="231">
        <v>1738.27</v>
      </c>
      <c r="EU81" s="231">
        <v>4471.97</v>
      </c>
      <c r="EV81" s="231">
        <v>37934515</v>
      </c>
      <c r="EW81" s="231">
        <v>9833.27</v>
      </c>
      <c r="EX81" s="231">
        <v>9873.57</v>
      </c>
      <c r="EY81" s="228">
        <v>-40.299999999999997</v>
      </c>
      <c r="EZ81" s="229">
        <v>-4.1000000000000003E-3</v>
      </c>
      <c r="FA81" s="229">
        <v>0.53</v>
      </c>
      <c r="FB81" s="227" t="s">
        <v>556</v>
      </c>
      <c r="FC81">
        <f t="shared" si="1"/>
        <v>938</v>
      </c>
    </row>
    <row r="82" spans="1:159" ht="17.25" thickBot="1" x14ac:dyDescent="0.3">
      <c r="A82" s="226">
        <v>45860</v>
      </c>
      <c r="B82" s="227" t="s">
        <v>184</v>
      </c>
      <c r="C82" s="227" t="s">
        <v>220</v>
      </c>
      <c r="D82" s="228">
        <v>500</v>
      </c>
      <c r="E82" s="228">
        <v>9</v>
      </c>
      <c r="F82" s="231">
        <v>1581.2</v>
      </c>
      <c r="G82" s="231">
        <v>1533.2</v>
      </c>
      <c r="H82" s="228">
        <v>48</v>
      </c>
      <c r="I82" s="229">
        <v>3.1300000000000001E-2</v>
      </c>
      <c r="J82" s="231">
        <v>1578.6</v>
      </c>
      <c r="K82" s="231">
        <v>1531.6</v>
      </c>
      <c r="L82" s="228">
        <v>47</v>
      </c>
      <c r="M82" s="229">
        <v>3.0700000000000002E-2</v>
      </c>
      <c r="N82" s="231">
        <v>1581.2</v>
      </c>
      <c r="O82" s="231">
        <v>1533.2</v>
      </c>
      <c r="P82" s="228">
        <v>48</v>
      </c>
      <c r="Q82" s="229">
        <v>3.1300000000000001E-2</v>
      </c>
      <c r="R82" s="231">
        <v>1579.4</v>
      </c>
      <c r="S82" s="231">
        <v>1530.3</v>
      </c>
      <c r="T82" s="228">
        <v>49.1</v>
      </c>
      <c r="U82" s="229">
        <v>3.2099999999999997E-2</v>
      </c>
      <c r="V82" s="228">
        <v>0</v>
      </c>
      <c r="W82" s="228">
        <v>0</v>
      </c>
      <c r="X82" s="228">
        <v>0</v>
      </c>
      <c r="Y82" s="229">
        <v>0</v>
      </c>
      <c r="Z82" s="228">
        <v>2.6</v>
      </c>
      <c r="AA82" s="228">
        <v>1.6</v>
      </c>
      <c r="AB82" s="228">
        <v>1</v>
      </c>
      <c r="AC82" s="229">
        <v>1.6000000000000001E-3</v>
      </c>
      <c r="AD82" s="228">
        <v>2.6</v>
      </c>
      <c r="AE82" s="228">
        <v>1.6</v>
      </c>
      <c r="AF82" s="228">
        <v>1</v>
      </c>
      <c r="AG82" s="229">
        <v>1.6000000000000001E-3</v>
      </c>
      <c r="AH82" s="228">
        <v>0.8</v>
      </c>
      <c r="AI82" s="228">
        <v>-1.3</v>
      </c>
      <c r="AJ82" s="228">
        <v>2.1</v>
      </c>
      <c r="AK82" s="229">
        <v>5.0000000000000001E-4</v>
      </c>
      <c r="AL82" s="228">
        <v>0</v>
      </c>
      <c r="AM82" s="228">
        <v>0</v>
      </c>
      <c r="AN82" s="228">
        <v>0</v>
      </c>
      <c r="AO82" s="229">
        <v>0</v>
      </c>
      <c r="AP82" s="231">
        <v>1550.33</v>
      </c>
      <c r="AQ82" s="231">
        <v>1551.13</v>
      </c>
      <c r="AR82" s="228">
        <v>0</v>
      </c>
      <c r="AS82" s="230">
        <v>1913</v>
      </c>
      <c r="AT82" s="228">
        <v>605</v>
      </c>
      <c r="AU82" s="230">
        <v>1307</v>
      </c>
      <c r="AV82" s="229">
        <v>2.16</v>
      </c>
      <c r="AW82" s="230">
        <v>1609</v>
      </c>
      <c r="AX82" s="228">
        <v>540</v>
      </c>
      <c r="AY82" s="230">
        <v>1069</v>
      </c>
      <c r="AZ82" s="229">
        <v>1.9796</v>
      </c>
      <c r="BA82" s="228">
        <v>294</v>
      </c>
      <c r="BB82" s="228">
        <v>63</v>
      </c>
      <c r="BC82" s="228">
        <v>231</v>
      </c>
      <c r="BD82" s="229">
        <v>3.6454</v>
      </c>
      <c r="BE82" s="228">
        <v>0</v>
      </c>
      <c r="BF82" s="228">
        <v>0</v>
      </c>
      <c r="BG82" s="228">
        <v>0</v>
      </c>
      <c r="BH82" s="229">
        <v>0</v>
      </c>
      <c r="BI82" s="230">
        <v>5930</v>
      </c>
      <c r="BJ82" s="230">
        <v>1357</v>
      </c>
      <c r="BK82" s="230">
        <v>4573</v>
      </c>
      <c r="BL82" s="229">
        <v>3.3694999999999999</v>
      </c>
      <c r="BM82" s="230">
        <v>3454</v>
      </c>
      <c r="BN82" s="228">
        <v>984</v>
      </c>
      <c r="BO82" s="230">
        <v>2470</v>
      </c>
      <c r="BP82" s="229">
        <v>2.5114000000000001</v>
      </c>
      <c r="BQ82" s="230">
        <v>11296</v>
      </c>
      <c r="BR82" s="230">
        <v>2946</v>
      </c>
      <c r="BS82" s="230">
        <v>8350</v>
      </c>
      <c r="BT82" s="229">
        <v>2.8344999999999998</v>
      </c>
      <c r="BU82" s="230">
        <v>5325014</v>
      </c>
      <c r="BV82" s="230">
        <v>868868</v>
      </c>
      <c r="BW82" s="230">
        <v>4456146</v>
      </c>
      <c r="BX82" s="229">
        <v>5.1287000000000003</v>
      </c>
      <c r="BY82" s="230">
        <v>1437</v>
      </c>
      <c r="BZ82" s="230">
        <v>1666</v>
      </c>
      <c r="CA82" s="228">
        <v>-229</v>
      </c>
      <c r="CB82" s="229">
        <v>-0.13719999999999999</v>
      </c>
      <c r="CC82" s="230">
        <v>1317</v>
      </c>
      <c r="CD82" s="230">
        <v>1545</v>
      </c>
      <c r="CE82" s="228">
        <v>-228</v>
      </c>
      <c r="CF82" s="229">
        <v>-0.14760000000000001</v>
      </c>
      <c r="CG82" s="228">
        <v>114</v>
      </c>
      <c r="CH82" s="228">
        <v>112</v>
      </c>
      <c r="CI82" s="228">
        <v>1</v>
      </c>
      <c r="CJ82" s="229">
        <v>1.1299999999999999E-2</v>
      </c>
      <c r="CK82" s="228">
        <v>0</v>
      </c>
      <c r="CL82" s="228">
        <v>0</v>
      </c>
      <c r="CM82" s="228">
        <v>0</v>
      </c>
      <c r="CN82" s="229">
        <v>0</v>
      </c>
      <c r="CO82" s="228">
        <v>591</v>
      </c>
      <c r="CP82" s="228">
        <v>691</v>
      </c>
      <c r="CQ82" s="228">
        <v>-100</v>
      </c>
      <c r="CR82" s="229">
        <v>-0.1444</v>
      </c>
      <c r="CS82" s="228">
        <v>609</v>
      </c>
      <c r="CT82" s="228">
        <v>616</v>
      </c>
      <c r="CU82" s="228">
        <v>-7</v>
      </c>
      <c r="CV82" s="229">
        <v>-1.0699999999999999E-2</v>
      </c>
      <c r="CW82" s="230">
        <v>2638</v>
      </c>
      <c r="CX82" s="230">
        <v>2973</v>
      </c>
      <c r="CY82" s="228">
        <v>-335</v>
      </c>
      <c r="CZ82" s="229">
        <v>-0.11269999999999999</v>
      </c>
      <c r="DA82" s="228">
        <v>25.69</v>
      </c>
      <c r="DB82" s="228">
        <v>33.61</v>
      </c>
      <c r="DC82" s="228">
        <v>-7.92</v>
      </c>
      <c r="DD82" s="228">
        <v>-7.92</v>
      </c>
      <c r="DE82" s="228">
        <v>30.15</v>
      </c>
      <c r="DF82" s="228">
        <v>29.94</v>
      </c>
      <c r="DG82" s="228">
        <v>-4.46</v>
      </c>
      <c r="DH82" s="228">
        <v>0.21</v>
      </c>
      <c r="DI82" s="228">
        <v>24.46</v>
      </c>
      <c r="DJ82" s="228">
        <v>33.22</v>
      </c>
      <c r="DK82" s="228">
        <v>-8.76</v>
      </c>
      <c r="DL82" s="228">
        <v>-8.76</v>
      </c>
      <c r="DM82" s="228">
        <v>27.8</v>
      </c>
      <c r="DN82" s="228">
        <v>34.159999999999997</v>
      </c>
      <c r="DO82" s="228">
        <v>-6.36</v>
      </c>
      <c r="DP82" s="228">
        <v>-6.36</v>
      </c>
      <c r="DQ82" s="228">
        <v>1.03</v>
      </c>
      <c r="DR82" s="228">
        <v>0.89</v>
      </c>
      <c r="DS82" s="228">
        <v>0.14000000000000001</v>
      </c>
      <c r="DT82" s="229">
        <v>0.1573</v>
      </c>
      <c r="DU82" s="231">
        <v>1600</v>
      </c>
      <c r="DV82" s="231">
        <v>1500</v>
      </c>
      <c r="DW82" s="228">
        <v>0.57999999999999996</v>
      </c>
      <c r="DX82" s="228">
        <v>0.72</v>
      </c>
      <c r="DY82" s="228">
        <v>-0.14000000000000001</v>
      </c>
      <c r="DZ82" s="229">
        <v>-0.19439999999999999</v>
      </c>
      <c r="EA82" s="229">
        <v>7.9000000000000001E-2</v>
      </c>
      <c r="EB82" s="230">
        <v>710000</v>
      </c>
      <c r="EC82" s="229">
        <v>-1.1000000000000001E-3</v>
      </c>
      <c r="ED82" s="229">
        <v>7.9000000000000001E-2</v>
      </c>
      <c r="EE82" s="228">
        <v>0.8</v>
      </c>
      <c r="EF82" s="229">
        <v>5.0000000000000001E-4</v>
      </c>
      <c r="EG82" s="230">
        <v>2270089</v>
      </c>
      <c r="EH82" s="230">
        <v>459466</v>
      </c>
      <c r="EI82" s="229">
        <v>3.9407000000000001</v>
      </c>
      <c r="EJ82" s="229">
        <v>0.42630000000000001</v>
      </c>
      <c r="EK82" s="231">
        <v>6004.25</v>
      </c>
      <c r="EL82" s="231">
        <v>3335.19</v>
      </c>
      <c r="EM82" s="231">
        <v>1875.56</v>
      </c>
      <c r="EN82" s="228">
        <v>0</v>
      </c>
      <c r="EO82" s="231">
        <v>11215</v>
      </c>
      <c r="EP82" s="231">
        <v>2891.73</v>
      </c>
      <c r="EQ82" s="231">
        <v>8323.27</v>
      </c>
      <c r="ER82" s="229">
        <v>2.8782999999999999</v>
      </c>
      <c r="ES82" s="228">
        <v>602.57000000000005</v>
      </c>
      <c r="ET82" s="228">
        <v>575.94000000000005</v>
      </c>
      <c r="EU82" s="231">
        <v>1437.19</v>
      </c>
      <c r="EV82" s="231">
        <v>50833981</v>
      </c>
      <c r="EW82" s="231">
        <v>2615.6999999999998</v>
      </c>
      <c r="EX82" s="231">
        <v>2889.78</v>
      </c>
      <c r="EY82" s="228">
        <v>-274.08</v>
      </c>
      <c r="EZ82" s="229">
        <v>-9.4799999999999995E-2</v>
      </c>
      <c r="FA82" s="229">
        <v>0.32819999999999999</v>
      </c>
      <c r="FB82" s="227" t="s">
        <v>556</v>
      </c>
      <c r="FC82">
        <f t="shared" si="1"/>
        <v>120</v>
      </c>
    </row>
    <row r="83" spans="1:159" ht="17.25" thickBot="1" x14ac:dyDescent="0.3">
      <c r="A83" s="226">
        <v>45860</v>
      </c>
      <c r="B83" s="227" t="s">
        <v>221</v>
      </c>
      <c r="C83" s="227" t="s">
        <v>222</v>
      </c>
      <c r="D83" s="228">
        <v>350</v>
      </c>
      <c r="E83" s="228">
        <v>9</v>
      </c>
      <c r="F83" s="231">
        <v>1524.9</v>
      </c>
      <c r="G83" s="231">
        <v>1535.6</v>
      </c>
      <c r="H83" s="228">
        <v>-10.7</v>
      </c>
      <c r="I83" s="229">
        <v>-7.0000000000000001E-3</v>
      </c>
      <c r="J83" s="231">
        <v>1520.1</v>
      </c>
      <c r="K83" s="231">
        <v>1530.4</v>
      </c>
      <c r="L83" s="228">
        <v>-10.3</v>
      </c>
      <c r="M83" s="229">
        <v>-6.7000000000000002E-3</v>
      </c>
      <c r="N83" s="231">
        <v>1524.9</v>
      </c>
      <c r="O83" s="231">
        <v>1535.6</v>
      </c>
      <c r="P83" s="228">
        <v>-10.7</v>
      </c>
      <c r="Q83" s="229">
        <v>-7.0000000000000001E-3</v>
      </c>
      <c r="R83" s="231">
        <v>1532.1</v>
      </c>
      <c r="S83" s="231">
        <v>1543.1</v>
      </c>
      <c r="T83" s="228">
        <v>-11</v>
      </c>
      <c r="U83" s="229">
        <v>-7.1000000000000004E-3</v>
      </c>
      <c r="V83" s="228">
        <v>0</v>
      </c>
      <c r="W83" s="228">
        <v>0</v>
      </c>
      <c r="X83" s="228">
        <v>0</v>
      </c>
      <c r="Y83" s="229">
        <v>0</v>
      </c>
      <c r="Z83" s="228">
        <v>4.8</v>
      </c>
      <c r="AA83" s="228">
        <v>5.2</v>
      </c>
      <c r="AB83" s="228">
        <v>-0.4</v>
      </c>
      <c r="AC83" s="229">
        <v>3.2000000000000002E-3</v>
      </c>
      <c r="AD83" s="228">
        <v>4.8</v>
      </c>
      <c r="AE83" s="228">
        <v>5.2</v>
      </c>
      <c r="AF83" s="228">
        <v>-0.4</v>
      </c>
      <c r="AG83" s="229">
        <v>3.2000000000000002E-3</v>
      </c>
      <c r="AH83" s="228">
        <v>12</v>
      </c>
      <c r="AI83" s="228">
        <v>12.7</v>
      </c>
      <c r="AJ83" s="228">
        <v>-0.7</v>
      </c>
      <c r="AK83" s="229">
        <v>7.9000000000000008E-3</v>
      </c>
      <c r="AL83" s="228">
        <v>0</v>
      </c>
      <c r="AM83" s="228">
        <v>0</v>
      </c>
      <c r="AN83" s="228">
        <v>0</v>
      </c>
      <c r="AO83" s="229">
        <v>0</v>
      </c>
      <c r="AP83" s="231">
        <v>1531.93</v>
      </c>
      <c r="AQ83" s="231">
        <v>1538.36</v>
      </c>
      <c r="AR83" s="228">
        <v>0</v>
      </c>
      <c r="AS83" s="228">
        <v>342</v>
      </c>
      <c r="AT83" s="228">
        <v>501</v>
      </c>
      <c r="AU83" s="228">
        <v>-159</v>
      </c>
      <c r="AV83" s="229">
        <v>-0.31819999999999998</v>
      </c>
      <c r="AW83" s="228">
        <v>245</v>
      </c>
      <c r="AX83" s="228">
        <v>385</v>
      </c>
      <c r="AY83" s="228">
        <v>-140</v>
      </c>
      <c r="AZ83" s="229">
        <v>-0.36459999999999998</v>
      </c>
      <c r="BA83" s="228">
        <v>87</v>
      </c>
      <c r="BB83" s="228">
        <v>110</v>
      </c>
      <c r="BC83" s="228">
        <v>-22</v>
      </c>
      <c r="BD83" s="229">
        <v>-0.20319999999999999</v>
      </c>
      <c r="BE83" s="228">
        <v>0</v>
      </c>
      <c r="BF83" s="228">
        <v>0</v>
      </c>
      <c r="BG83" s="228">
        <v>0</v>
      </c>
      <c r="BH83" s="229">
        <v>0</v>
      </c>
      <c r="BI83" s="230">
        <v>1742</v>
      </c>
      <c r="BJ83" s="230">
        <v>2322</v>
      </c>
      <c r="BK83" s="228">
        <v>-580</v>
      </c>
      <c r="BL83" s="229">
        <v>-0.25</v>
      </c>
      <c r="BM83" s="228">
        <v>599</v>
      </c>
      <c r="BN83" s="228">
        <v>811</v>
      </c>
      <c r="BO83" s="228">
        <v>-212</v>
      </c>
      <c r="BP83" s="229">
        <v>-0.26140000000000002</v>
      </c>
      <c r="BQ83" s="230">
        <v>2682</v>
      </c>
      <c r="BR83" s="230">
        <v>3634</v>
      </c>
      <c r="BS83" s="228">
        <v>-952</v>
      </c>
      <c r="BT83" s="229">
        <v>-0.26190000000000002</v>
      </c>
      <c r="BU83" s="230">
        <v>3249748</v>
      </c>
      <c r="BV83" s="230">
        <v>3573971</v>
      </c>
      <c r="BW83" s="230">
        <v>-324223</v>
      </c>
      <c r="BX83" s="229">
        <v>-9.0700000000000003E-2</v>
      </c>
      <c r="BY83" s="230">
        <v>3010</v>
      </c>
      <c r="BZ83" s="230">
        <v>3012</v>
      </c>
      <c r="CA83" s="228">
        <v>-2</v>
      </c>
      <c r="CB83" s="229">
        <v>-5.0000000000000001E-4</v>
      </c>
      <c r="CC83" s="230">
        <v>2440</v>
      </c>
      <c r="CD83" s="230">
        <v>2487</v>
      </c>
      <c r="CE83" s="228">
        <v>-47</v>
      </c>
      <c r="CF83" s="229">
        <v>-1.8800000000000001E-2</v>
      </c>
      <c r="CG83" s="228">
        <v>477</v>
      </c>
      <c r="CH83" s="228">
        <v>435</v>
      </c>
      <c r="CI83" s="228">
        <v>42</v>
      </c>
      <c r="CJ83" s="229">
        <v>9.6199999999999994E-2</v>
      </c>
      <c r="CK83" s="228">
        <v>0</v>
      </c>
      <c r="CL83" s="228">
        <v>0</v>
      </c>
      <c r="CM83" s="228">
        <v>0</v>
      </c>
      <c r="CN83" s="229">
        <v>0</v>
      </c>
      <c r="CO83" s="230">
        <v>2647</v>
      </c>
      <c r="CP83" s="230">
        <v>2645</v>
      </c>
      <c r="CQ83" s="228">
        <v>2</v>
      </c>
      <c r="CR83" s="229">
        <v>5.9999999999999995E-4</v>
      </c>
      <c r="CS83" s="230">
        <v>1009</v>
      </c>
      <c r="CT83" s="230">
        <v>1019</v>
      </c>
      <c r="CU83" s="228">
        <v>-10</v>
      </c>
      <c r="CV83" s="229">
        <v>-9.2999999999999992E-3</v>
      </c>
      <c r="CW83" s="230">
        <v>6666</v>
      </c>
      <c r="CX83" s="230">
        <v>6675</v>
      </c>
      <c r="CY83" s="228">
        <v>-10</v>
      </c>
      <c r="CZ83" s="229">
        <v>-1.4E-3</v>
      </c>
      <c r="DA83" s="228">
        <v>24.26</v>
      </c>
      <c r="DB83" s="228">
        <v>24.28</v>
      </c>
      <c r="DC83" s="228">
        <v>-0.02</v>
      </c>
      <c r="DD83" s="228">
        <v>-0.02</v>
      </c>
      <c r="DE83" s="228">
        <v>30.78</v>
      </c>
      <c r="DF83" s="228">
        <v>30.84</v>
      </c>
      <c r="DG83" s="228">
        <v>-6.52</v>
      </c>
      <c r="DH83" s="228">
        <v>-0.06</v>
      </c>
      <c r="DI83" s="228">
        <v>24.99</v>
      </c>
      <c r="DJ83" s="228">
        <v>24.89</v>
      </c>
      <c r="DK83" s="228">
        <v>0.1</v>
      </c>
      <c r="DL83" s="228">
        <v>0.1</v>
      </c>
      <c r="DM83" s="228">
        <v>22.14</v>
      </c>
      <c r="DN83" s="228">
        <v>22.53</v>
      </c>
      <c r="DO83" s="228">
        <v>-0.39</v>
      </c>
      <c r="DP83" s="228">
        <v>-0.39</v>
      </c>
      <c r="DQ83" s="228">
        <v>0.38</v>
      </c>
      <c r="DR83" s="228">
        <v>0.39</v>
      </c>
      <c r="DS83" s="228">
        <v>-0.01</v>
      </c>
      <c r="DT83" s="229">
        <v>-2.5600000000000001E-2</v>
      </c>
      <c r="DU83" s="231">
        <v>1600</v>
      </c>
      <c r="DV83" s="231">
        <v>1600</v>
      </c>
      <c r="DW83" s="228">
        <v>0.34</v>
      </c>
      <c r="DX83" s="228">
        <v>0.35</v>
      </c>
      <c r="DY83" s="228">
        <v>-0.01</v>
      </c>
      <c r="DZ83" s="229">
        <v>-2.86E-2</v>
      </c>
      <c r="EA83" s="229">
        <v>0.15840000000000001</v>
      </c>
      <c r="EB83" s="230">
        <v>2852500</v>
      </c>
      <c r="EC83" s="229">
        <v>4.7000000000000002E-3</v>
      </c>
      <c r="ED83" s="229">
        <v>0.15840000000000001</v>
      </c>
      <c r="EE83" s="228">
        <v>6.43</v>
      </c>
      <c r="EF83" s="229">
        <v>4.1999999999999997E-3</v>
      </c>
      <c r="EG83" s="230">
        <v>2586751</v>
      </c>
      <c r="EH83" s="230">
        <v>2542136</v>
      </c>
      <c r="EI83" s="229">
        <v>1.7600000000000001E-2</v>
      </c>
      <c r="EJ83" s="229">
        <v>0.79600000000000004</v>
      </c>
      <c r="EK83" s="231">
        <v>1832.03</v>
      </c>
      <c r="EL83" s="228">
        <v>600.21</v>
      </c>
      <c r="EM83" s="228">
        <v>343.79</v>
      </c>
      <c r="EN83" s="228">
        <v>0</v>
      </c>
      <c r="EO83" s="231">
        <v>2776.02</v>
      </c>
      <c r="EP83" s="231">
        <v>3783.01</v>
      </c>
      <c r="EQ83" s="231">
        <v>-1006.98</v>
      </c>
      <c r="ER83" s="229">
        <v>-0.26619999999999999</v>
      </c>
      <c r="ES83" s="231">
        <v>2928.55</v>
      </c>
      <c r="ET83" s="231">
        <v>1030.23</v>
      </c>
      <c r="EU83" s="231">
        <v>3013.29</v>
      </c>
      <c r="EV83" s="231">
        <v>211721976</v>
      </c>
      <c r="EW83" s="231">
        <v>6972.08</v>
      </c>
      <c r="EX83" s="231">
        <v>7010</v>
      </c>
      <c r="EY83" s="228">
        <v>-37.92</v>
      </c>
      <c r="EZ83" s="229">
        <v>-5.4000000000000003E-3</v>
      </c>
      <c r="FA83" s="229">
        <v>0.20649999999999999</v>
      </c>
      <c r="FB83" s="227" t="s">
        <v>568</v>
      </c>
      <c r="FC83">
        <f t="shared" si="1"/>
        <v>570</v>
      </c>
    </row>
    <row r="84" spans="1:159" ht="17.25" thickBot="1" x14ac:dyDescent="0.3">
      <c r="A84" s="226">
        <v>45860</v>
      </c>
      <c r="B84" s="227" t="s">
        <v>175</v>
      </c>
      <c r="C84" s="227" t="s">
        <v>475</v>
      </c>
      <c r="D84" s="228">
        <v>150</v>
      </c>
      <c r="E84" s="228">
        <v>9</v>
      </c>
      <c r="F84" s="231">
        <v>5593.5</v>
      </c>
      <c r="G84" s="231">
        <v>5626.5</v>
      </c>
      <c r="H84" s="228">
        <v>-33</v>
      </c>
      <c r="I84" s="229">
        <v>-5.8999999999999999E-3</v>
      </c>
      <c r="J84" s="231">
        <v>5592.5</v>
      </c>
      <c r="K84" s="231">
        <v>5622</v>
      </c>
      <c r="L84" s="228">
        <v>-29.5</v>
      </c>
      <c r="M84" s="229">
        <v>-5.1999999999999998E-3</v>
      </c>
      <c r="N84" s="231">
        <v>5593.5</v>
      </c>
      <c r="O84" s="231">
        <v>5626.5</v>
      </c>
      <c r="P84" s="228">
        <v>-33</v>
      </c>
      <c r="Q84" s="229">
        <v>-5.8999999999999999E-3</v>
      </c>
      <c r="R84" s="231">
        <v>5621</v>
      </c>
      <c r="S84" s="231">
        <v>5650</v>
      </c>
      <c r="T84" s="228">
        <v>-29</v>
      </c>
      <c r="U84" s="229">
        <v>-5.1000000000000004E-3</v>
      </c>
      <c r="V84" s="228">
        <v>0</v>
      </c>
      <c r="W84" s="228">
        <v>0</v>
      </c>
      <c r="X84" s="228">
        <v>0</v>
      </c>
      <c r="Y84" s="229">
        <v>0</v>
      </c>
      <c r="Z84" s="228">
        <v>1</v>
      </c>
      <c r="AA84" s="228">
        <v>4.5</v>
      </c>
      <c r="AB84" s="228">
        <v>-3.5</v>
      </c>
      <c r="AC84" s="229">
        <v>2.0000000000000001E-4</v>
      </c>
      <c r="AD84" s="228">
        <v>1</v>
      </c>
      <c r="AE84" s="228">
        <v>4.5</v>
      </c>
      <c r="AF84" s="228">
        <v>-3.5</v>
      </c>
      <c r="AG84" s="229">
        <v>2.0000000000000001E-4</v>
      </c>
      <c r="AH84" s="228">
        <v>28.5</v>
      </c>
      <c r="AI84" s="228">
        <v>28</v>
      </c>
      <c r="AJ84" s="228">
        <v>0.5</v>
      </c>
      <c r="AK84" s="229">
        <v>5.1000000000000004E-3</v>
      </c>
      <c r="AL84" s="228">
        <v>0</v>
      </c>
      <c r="AM84" s="228">
        <v>0</v>
      </c>
      <c r="AN84" s="228">
        <v>0</v>
      </c>
      <c r="AO84" s="229">
        <v>0</v>
      </c>
      <c r="AP84" s="231">
        <v>5593.09</v>
      </c>
      <c r="AQ84" s="231">
        <v>5620.51</v>
      </c>
      <c r="AR84" s="228">
        <v>0</v>
      </c>
      <c r="AS84" s="228">
        <v>252</v>
      </c>
      <c r="AT84" s="228">
        <v>455</v>
      </c>
      <c r="AU84" s="228">
        <v>-202</v>
      </c>
      <c r="AV84" s="229">
        <v>-0.44519999999999998</v>
      </c>
      <c r="AW84" s="228">
        <v>226</v>
      </c>
      <c r="AX84" s="228">
        <v>402</v>
      </c>
      <c r="AY84" s="228">
        <v>-176</v>
      </c>
      <c r="AZ84" s="229">
        <v>-0.43740000000000001</v>
      </c>
      <c r="BA84" s="228">
        <v>25</v>
      </c>
      <c r="BB84" s="228">
        <v>49</v>
      </c>
      <c r="BC84" s="228">
        <v>-24</v>
      </c>
      <c r="BD84" s="229">
        <v>-0.49409999999999998</v>
      </c>
      <c r="BE84" s="228">
        <v>0</v>
      </c>
      <c r="BF84" s="228">
        <v>0</v>
      </c>
      <c r="BG84" s="228">
        <v>0</v>
      </c>
      <c r="BH84" s="229">
        <v>0</v>
      </c>
      <c r="BI84" s="228">
        <v>943</v>
      </c>
      <c r="BJ84" s="230">
        <v>2008</v>
      </c>
      <c r="BK84" s="230">
        <v>-1064</v>
      </c>
      <c r="BL84" s="229">
        <v>-0.53010000000000002</v>
      </c>
      <c r="BM84" s="228">
        <v>725</v>
      </c>
      <c r="BN84" s="230">
        <v>1142</v>
      </c>
      <c r="BO84" s="228">
        <v>-417</v>
      </c>
      <c r="BP84" s="229">
        <v>-0.36509999999999998</v>
      </c>
      <c r="BQ84" s="230">
        <v>1920</v>
      </c>
      <c r="BR84" s="230">
        <v>3604</v>
      </c>
      <c r="BS84" s="230">
        <v>-1683</v>
      </c>
      <c r="BT84" s="229">
        <v>-0.46710000000000002</v>
      </c>
      <c r="BU84" s="230">
        <v>309602</v>
      </c>
      <c r="BV84" s="230">
        <v>419609</v>
      </c>
      <c r="BW84" s="230">
        <v>-110007</v>
      </c>
      <c r="BX84" s="229">
        <v>-0.26219999999999999</v>
      </c>
      <c r="BY84" s="230">
        <v>1553</v>
      </c>
      <c r="BZ84" s="230">
        <v>1576</v>
      </c>
      <c r="CA84" s="228">
        <v>-23</v>
      </c>
      <c r="CB84" s="229">
        <v>-1.4500000000000001E-2</v>
      </c>
      <c r="CC84" s="230">
        <v>1404</v>
      </c>
      <c r="CD84" s="230">
        <v>1438</v>
      </c>
      <c r="CE84" s="228">
        <v>-33</v>
      </c>
      <c r="CF84" s="229">
        <v>-2.3099999999999999E-2</v>
      </c>
      <c r="CG84" s="228">
        <v>138</v>
      </c>
      <c r="CH84" s="228">
        <v>128</v>
      </c>
      <c r="CI84" s="228">
        <v>10</v>
      </c>
      <c r="CJ84" s="229">
        <v>7.8600000000000003E-2</v>
      </c>
      <c r="CK84" s="228">
        <v>0</v>
      </c>
      <c r="CL84" s="228">
        <v>0</v>
      </c>
      <c r="CM84" s="228">
        <v>0</v>
      </c>
      <c r="CN84" s="229">
        <v>0</v>
      </c>
      <c r="CO84" s="230">
        <v>1126</v>
      </c>
      <c r="CP84" s="230">
        <v>1167</v>
      </c>
      <c r="CQ84" s="228">
        <v>-40</v>
      </c>
      <c r="CR84" s="229">
        <v>-3.44E-2</v>
      </c>
      <c r="CS84" s="228">
        <v>792</v>
      </c>
      <c r="CT84" s="228">
        <v>838</v>
      </c>
      <c r="CU84" s="228">
        <v>-46</v>
      </c>
      <c r="CV84" s="229">
        <v>-5.5E-2</v>
      </c>
      <c r="CW84" s="230">
        <v>3472</v>
      </c>
      <c r="CX84" s="230">
        <v>3581</v>
      </c>
      <c r="CY84" s="228">
        <v>-109</v>
      </c>
      <c r="CZ84" s="229">
        <v>-3.0499999999999999E-2</v>
      </c>
      <c r="DA84" s="228">
        <v>23.62</v>
      </c>
      <c r="DB84" s="228">
        <v>23.71</v>
      </c>
      <c r="DC84" s="228">
        <v>-0.09</v>
      </c>
      <c r="DD84" s="228">
        <v>-0.09</v>
      </c>
      <c r="DE84" s="228">
        <v>37.58</v>
      </c>
      <c r="DF84" s="228">
        <v>37.67</v>
      </c>
      <c r="DG84" s="228">
        <v>-13.96</v>
      </c>
      <c r="DH84" s="228">
        <v>-0.09</v>
      </c>
      <c r="DI84" s="228">
        <v>22.39</v>
      </c>
      <c r="DJ84" s="228">
        <v>22.8</v>
      </c>
      <c r="DK84" s="228">
        <v>-0.41</v>
      </c>
      <c r="DL84" s="228">
        <v>-0.41</v>
      </c>
      <c r="DM84" s="228">
        <v>25.23</v>
      </c>
      <c r="DN84" s="228">
        <v>25.32</v>
      </c>
      <c r="DO84" s="228">
        <v>-0.09</v>
      </c>
      <c r="DP84" s="228">
        <v>-0.09</v>
      </c>
      <c r="DQ84" s="228">
        <v>0.7</v>
      </c>
      <c r="DR84" s="228">
        <v>0.72</v>
      </c>
      <c r="DS84" s="228">
        <v>-0.02</v>
      </c>
      <c r="DT84" s="229">
        <v>-2.7799999999999998E-2</v>
      </c>
      <c r="DU84" s="231">
        <v>5600</v>
      </c>
      <c r="DV84" s="231">
        <v>5500</v>
      </c>
      <c r="DW84" s="228">
        <v>0.77</v>
      </c>
      <c r="DX84" s="228">
        <v>0.56999999999999995</v>
      </c>
      <c r="DY84" s="228">
        <v>0.2</v>
      </c>
      <c r="DZ84" s="229">
        <v>0.35089999999999999</v>
      </c>
      <c r="EA84" s="229">
        <v>8.8900000000000007E-2</v>
      </c>
      <c r="EB84" s="230">
        <v>228900</v>
      </c>
      <c r="EC84" s="229">
        <v>4.8999999999999998E-3</v>
      </c>
      <c r="ED84" s="229">
        <v>8.8900000000000007E-2</v>
      </c>
      <c r="EE84" s="228">
        <v>27.42</v>
      </c>
      <c r="EF84" s="229">
        <v>4.8999999999999998E-3</v>
      </c>
      <c r="EG84" s="230">
        <v>211227</v>
      </c>
      <c r="EH84" s="230">
        <v>199143</v>
      </c>
      <c r="EI84" s="229">
        <v>6.0699999999999997E-2</v>
      </c>
      <c r="EJ84" s="229">
        <v>0.68230000000000002</v>
      </c>
      <c r="EK84" s="228">
        <v>975.93</v>
      </c>
      <c r="EL84" s="228">
        <v>706.74</v>
      </c>
      <c r="EM84" s="228">
        <v>252.32</v>
      </c>
      <c r="EN84" s="228">
        <v>0</v>
      </c>
      <c r="EO84" s="231">
        <v>1934.99</v>
      </c>
      <c r="EP84" s="231">
        <v>3646.02</v>
      </c>
      <c r="EQ84" s="231">
        <v>-1711.03</v>
      </c>
      <c r="ER84" s="229">
        <v>-0.46929999999999999</v>
      </c>
      <c r="ES84" s="231">
        <v>1122.79</v>
      </c>
      <c r="ET84" s="228">
        <v>744.81</v>
      </c>
      <c r="EU84" s="231">
        <v>1554.22</v>
      </c>
      <c r="EV84" s="231">
        <v>20322651</v>
      </c>
      <c r="EW84" s="231">
        <v>3421.81</v>
      </c>
      <c r="EX84" s="231">
        <v>3537.32</v>
      </c>
      <c r="EY84" s="228">
        <v>-115.51</v>
      </c>
      <c r="EZ84" s="229">
        <v>-3.27E-2</v>
      </c>
      <c r="FA84" s="229">
        <v>0.3054</v>
      </c>
      <c r="FB84" s="227" t="s">
        <v>568</v>
      </c>
      <c r="FC84">
        <f t="shared" si="1"/>
        <v>149</v>
      </c>
    </row>
    <row r="85" spans="1:159" ht="17.25" thickBot="1" x14ac:dyDescent="0.3">
      <c r="A85" s="226">
        <v>45860</v>
      </c>
      <c r="B85" s="227" t="s">
        <v>172</v>
      </c>
      <c r="C85" s="227" t="s">
        <v>224</v>
      </c>
      <c r="D85" s="228">
        <v>550</v>
      </c>
      <c r="E85" s="228">
        <v>9</v>
      </c>
      <c r="F85" s="231">
        <v>2004</v>
      </c>
      <c r="G85" s="231">
        <v>1997.3</v>
      </c>
      <c r="H85" s="228">
        <v>6.7</v>
      </c>
      <c r="I85" s="229">
        <v>3.3999999999999998E-3</v>
      </c>
      <c r="J85" s="231">
        <v>2007.1</v>
      </c>
      <c r="K85" s="231">
        <v>2000.5</v>
      </c>
      <c r="L85" s="228">
        <v>6.6</v>
      </c>
      <c r="M85" s="229">
        <v>3.3E-3</v>
      </c>
      <c r="N85" s="231">
        <v>2004</v>
      </c>
      <c r="O85" s="231">
        <v>1997.3</v>
      </c>
      <c r="P85" s="228">
        <v>6.7</v>
      </c>
      <c r="Q85" s="229">
        <v>3.3999999999999998E-3</v>
      </c>
      <c r="R85" s="231">
        <v>2014.3</v>
      </c>
      <c r="S85" s="231">
        <v>2007.2</v>
      </c>
      <c r="T85" s="228">
        <v>7.1</v>
      </c>
      <c r="U85" s="229">
        <v>3.5000000000000001E-3</v>
      </c>
      <c r="V85" s="228">
        <v>0</v>
      </c>
      <c r="W85" s="228">
        <v>0</v>
      </c>
      <c r="X85" s="228">
        <v>0</v>
      </c>
      <c r="Y85" s="229">
        <v>0</v>
      </c>
      <c r="Z85" s="228">
        <v>-3.1</v>
      </c>
      <c r="AA85" s="228">
        <v>-3.2</v>
      </c>
      <c r="AB85" s="228">
        <v>0.1</v>
      </c>
      <c r="AC85" s="229">
        <v>-1.5E-3</v>
      </c>
      <c r="AD85" s="228">
        <v>-3.1</v>
      </c>
      <c r="AE85" s="228">
        <v>-3.2</v>
      </c>
      <c r="AF85" s="228">
        <v>0.1</v>
      </c>
      <c r="AG85" s="229">
        <v>-1.5E-3</v>
      </c>
      <c r="AH85" s="228">
        <v>7.2</v>
      </c>
      <c r="AI85" s="228">
        <v>6.7</v>
      </c>
      <c r="AJ85" s="228">
        <v>0.5</v>
      </c>
      <c r="AK85" s="229">
        <v>3.5999999999999999E-3</v>
      </c>
      <c r="AL85" s="228">
        <v>0</v>
      </c>
      <c r="AM85" s="228">
        <v>0</v>
      </c>
      <c r="AN85" s="228">
        <v>0</v>
      </c>
      <c r="AO85" s="229">
        <v>0</v>
      </c>
      <c r="AP85" s="231">
        <v>2005.94</v>
      </c>
      <c r="AQ85" s="231">
        <v>2016.88</v>
      </c>
      <c r="AR85" s="228">
        <v>0</v>
      </c>
      <c r="AS85" s="230">
        <v>2309</v>
      </c>
      <c r="AT85" s="230">
        <v>5242</v>
      </c>
      <c r="AU85" s="230">
        <v>-2933</v>
      </c>
      <c r="AV85" s="229">
        <v>-0.5595</v>
      </c>
      <c r="AW85" s="230">
        <v>1908</v>
      </c>
      <c r="AX85" s="230">
        <v>4146</v>
      </c>
      <c r="AY85" s="230">
        <v>-2238</v>
      </c>
      <c r="AZ85" s="229">
        <v>-0.53979999999999995</v>
      </c>
      <c r="BA85" s="228">
        <v>372</v>
      </c>
      <c r="BB85" s="230">
        <v>1050</v>
      </c>
      <c r="BC85" s="228">
        <v>-678</v>
      </c>
      <c r="BD85" s="229">
        <v>-0.64559999999999995</v>
      </c>
      <c r="BE85" s="228">
        <v>0</v>
      </c>
      <c r="BF85" s="228">
        <v>0</v>
      </c>
      <c r="BG85" s="228">
        <v>0</v>
      </c>
      <c r="BH85" s="229">
        <v>0</v>
      </c>
      <c r="BI85" s="230">
        <v>11230</v>
      </c>
      <c r="BJ85" s="230">
        <v>25893</v>
      </c>
      <c r="BK85" s="230">
        <v>-14662</v>
      </c>
      <c r="BL85" s="229">
        <v>-0.56630000000000003</v>
      </c>
      <c r="BM85" s="230">
        <v>7706</v>
      </c>
      <c r="BN85" s="230">
        <v>19662</v>
      </c>
      <c r="BO85" s="230">
        <v>-11956</v>
      </c>
      <c r="BP85" s="229">
        <v>-0.60809999999999997</v>
      </c>
      <c r="BQ85" s="230">
        <v>21245</v>
      </c>
      <c r="BR85" s="230">
        <v>50796</v>
      </c>
      <c r="BS85" s="230">
        <v>-29551</v>
      </c>
      <c r="BT85" s="229">
        <v>-0.58179999999999998</v>
      </c>
      <c r="BU85" s="230">
        <v>9373344</v>
      </c>
      <c r="BV85" s="230">
        <v>12276743</v>
      </c>
      <c r="BW85" s="230">
        <v>-2903399</v>
      </c>
      <c r="BX85" s="229">
        <v>-0.23649999999999999</v>
      </c>
      <c r="BY85" s="230">
        <v>20972</v>
      </c>
      <c r="BZ85" s="230">
        <v>21274</v>
      </c>
      <c r="CA85" s="228">
        <v>-302</v>
      </c>
      <c r="CB85" s="229">
        <v>-1.4200000000000001E-2</v>
      </c>
      <c r="CC85" s="230">
        <v>17161</v>
      </c>
      <c r="CD85" s="230">
        <v>17626</v>
      </c>
      <c r="CE85" s="228">
        <v>-465</v>
      </c>
      <c r="CF85" s="229">
        <v>-2.64E-2</v>
      </c>
      <c r="CG85" s="230">
        <v>3731</v>
      </c>
      <c r="CH85" s="230">
        <v>3577</v>
      </c>
      <c r="CI85" s="228">
        <v>154</v>
      </c>
      <c r="CJ85" s="229">
        <v>4.2999999999999997E-2</v>
      </c>
      <c r="CK85" s="228">
        <v>0</v>
      </c>
      <c r="CL85" s="228">
        <v>0</v>
      </c>
      <c r="CM85" s="228">
        <v>0</v>
      </c>
      <c r="CN85" s="229">
        <v>0</v>
      </c>
      <c r="CO85" s="230">
        <v>7248</v>
      </c>
      <c r="CP85" s="230">
        <v>7630</v>
      </c>
      <c r="CQ85" s="228">
        <v>-382</v>
      </c>
      <c r="CR85" s="229">
        <v>-5.0099999999999999E-2</v>
      </c>
      <c r="CS85" s="230">
        <v>4290</v>
      </c>
      <c r="CT85" s="230">
        <v>4184</v>
      </c>
      <c r="CU85" s="228">
        <v>106</v>
      </c>
      <c r="CV85" s="229">
        <v>2.5399999999999999E-2</v>
      </c>
      <c r="CW85" s="230">
        <v>32511</v>
      </c>
      <c r="CX85" s="230">
        <v>33088</v>
      </c>
      <c r="CY85" s="228">
        <v>-578</v>
      </c>
      <c r="CZ85" s="229">
        <v>-1.7500000000000002E-2</v>
      </c>
      <c r="DA85" s="228">
        <v>14.52</v>
      </c>
      <c r="DB85" s="228">
        <v>16.8</v>
      </c>
      <c r="DC85" s="228">
        <v>-2.2799999999999998</v>
      </c>
      <c r="DD85" s="228">
        <v>-2.2799999999999998</v>
      </c>
      <c r="DE85" s="228">
        <v>23.35</v>
      </c>
      <c r="DF85" s="228">
        <v>23.4</v>
      </c>
      <c r="DG85" s="228">
        <v>-8.83</v>
      </c>
      <c r="DH85" s="228">
        <v>-0.05</v>
      </c>
      <c r="DI85" s="228">
        <v>13.48</v>
      </c>
      <c r="DJ85" s="228">
        <v>15.48</v>
      </c>
      <c r="DK85" s="228">
        <v>-2</v>
      </c>
      <c r="DL85" s="228">
        <v>-2</v>
      </c>
      <c r="DM85" s="228">
        <v>16.02</v>
      </c>
      <c r="DN85" s="228">
        <v>18.54</v>
      </c>
      <c r="DO85" s="228">
        <v>-2.52</v>
      </c>
      <c r="DP85" s="228">
        <v>-2.52</v>
      </c>
      <c r="DQ85" s="228">
        <v>0.59</v>
      </c>
      <c r="DR85" s="228">
        <v>0.55000000000000004</v>
      </c>
      <c r="DS85" s="228">
        <v>0.04</v>
      </c>
      <c r="DT85" s="229">
        <v>7.2700000000000001E-2</v>
      </c>
      <c r="DU85" s="231">
        <v>2020</v>
      </c>
      <c r="DV85" s="231">
        <v>2000</v>
      </c>
      <c r="DW85" s="228">
        <v>0.69</v>
      </c>
      <c r="DX85" s="228">
        <v>0.76</v>
      </c>
      <c r="DY85" s="228">
        <v>-7.0000000000000007E-2</v>
      </c>
      <c r="DZ85" s="229">
        <v>-9.2100000000000001E-2</v>
      </c>
      <c r="EA85" s="229">
        <v>0.1779</v>
      </c>
      <c r="EB85" s="230">
        <v>17850800</v>
      </c>
      <c r="EC85" s="229">
        <v>5.1000000000000004E-3</v>
      </c>
      <c r="ED85" s="229">
        <v>0.1779</v>
      </c>
      <c r="EE85" s="228">
        <v>10.94</v>
      </c>
      <c r="EF85" s="229">
        <v>5.4999999999999997E-3</v>
      </c>
      <c r="EG85" s="230">
        <v>5956545</v>
      </c>
      <c r="EH85" s="230">
        <v>6891624</v>
      </c>
      <c r="EI85" s="229">
        <v>-0.13569999999999999</v>
      </c>
      <c r="EJ85" s="229">
        <v>0.63549999999999995</v>
      </c>
      <c r="EK85" s="231">
        <v>11465.77</v>
      </c>
      <c r="EL85" s="231">
        <v>7620.1</v>
      </c>
      <c r="EM85" s="231">
        <v>2313.2600000000002</v>
      </c>
      <c r="EN85" s="228">
        <v>0</v>
      </c>
      <c r="EO85" s="231">
        <v>21399.13</v>
      </c>
      <c r="EP85" s="231">
        <v>50729.06</v>
      </c>
      <c r="EQ85" s="231">
        <v>-29329.93</v>
      </c>
      <c r="ER85" s="229">
        <v>-0.57820000000000005</v>
      </c>
      <c r="ES85" s="231">
        <v>7415.97</v>
      </c>
      <c r="ET85" s="231">
        <v>4134.09</v>
      </c>
      <c r="EU85" s="231">
        <v>20992.14</v>
      </c>
      <c r="EV85" s="231">
        <v>1324758679</v>
      </c>
      <c r="EW85" s="231">
        <v>32542.2</v>
      </c>
      <c r="EX85" s="231">
        <v>33040.660000000003</v>
      </c>
      <c r="EY85" s="228">
        <v>-498.46</v>
      </c>
      <c r="EZ85" s="229">
        <v>-1.5100000000000001E-2</v>
      </c>
      <c r="FA85" s="229">
        <v>0.1225</v>
      </c>
      <c r="FB85" s="227" t="s">
        <v>556</v>
      </c>
      <c r="FC85">
        <f t="shared" si="1"/>
        <v>3811</v>
      </c>
    </row>
    <row r="86" spans="1:159" ht="17.25" thickBot="1" x14ac:dyDescent="0.3">
      <c r="A86" s="226">
        <v>45860</v>
      </c>
      <c r="B86" s="227" t="s">
        <v>175</v>
      </c>
      <c r="C86" s="227" t="s">
        <v>225</v>
      </c>
      <c r="D86" s="228">
        <v>1100</v>
      </c>
      <c r="E86" s="228">
        <v>9</v>
      </c>
      <c r="F86" s="228">
        <v>763.8</v>
      </c>
      <c r="G86" s="228">
        <v>752.95</v>
      </c>
      <c r="H86" s="228">
        <v>10.85</v>
      </c>
      <c r="I86" s="229">
        <v>1.44E-2</v>
      </c>
      <c r="J86" s="228">
        <v>763.3</v>
      </c>
      <c r="K86" s="228">
        <v>752.3</v>
      </c>
      <c r="L86" s="228">
        <v>11</v>
      </c>
      <c r="M86" s="229">
        <v>1.46E-2</v>
      </c>
      <c r="N86" s="228">
        <v>763.8</v>
      </c>
      <c r="O86" s="228">
        <v>752.95</v>
      </c>
      <c r="P86" s="228">
        <v>10.85</v>
      </c>
      <c r="Q86" s="229">
        <v>1.44E-2</v>
      </c>
      <c r="R86" s="228">
        <v>767.9</v>
      </c>
      <c r="S86" s="228">
        <v>756.9</v>
      </c>
      <c r="T86" s="228">
        <v>11</v>
      </c>
      <c r="U86" s="229">
        <v>1.4500000000000001E-2</v>
      </c>
      <c r="V86" s="228">
        <v>0</v>
      </c>
      <c r="W86" s="228">
        <v>0</v>
      </c>
      <c r="X86" s="228">
        <v>0</v>
      </c>
      <c r="Y86" s="229">
        <v>0</v>
      </c>
      <c r="Z86" s="228">
        <v>0.5</v>
      </c>
      <c r="AA86" s="228">
        <v>0.65</v>
      </c>
      <c r="AB86" s="228">
        <v>-0.15</v>
      </c>
      <c r="AC86" s="229">
        <v>6.9999999999999999E-4</v>
      </c>
      <c r="AD86" s="228">
        <v>0.5</v>
      </c>
      <c r="AE86" s="228">
        <v>0.65</v>
      </c>
      <c r="AF86" s="228">
        <v>-0.15</v>
      </c>
      <c r="AG86" s="229">
        <v>6.9999999999999999E-4</v>
      </c>
      <c r="AH86" s="228">
        <v>4.5999999999999996</v>
      </c>
      <c r="AI86" s="228">
        <v>4.5999999999999996</v>
      </c>
      <c r="AJ86" s="228">
        <v>0</v>
      </c>
      <c r="AK86" s="229">
        <v>6.0000000000000001E-3</v>
      </c>
      <c r="AL86" s="228">
        <v>0</v>
      </c>
      <c r="AM86" s="228">
        <v>0</v>
      </c>
      <c r="AN86" s="228">
        <v>0</v>
      </c>
      <c r="AO86" s="229">
        <v>0</v>
      </c>
      <c r="AP86" s="228">
        <v>761.44</v>
      </c>
      <c r="AQ86" s="228">
        <v>764.45</v>
      </c>
      <c r="AR86" s="228">
        <v>0</v>
      </c>
      <c r="AS86" s="228">
        <v>608</v>
      </c>
      <c r="AT86" s="228">
        <v>328</v>
      </c>
      <c r="AU86" s="228">
        <v>280</v>
      </c>
      <c r="AV86" s="229">
        <v>0.85189999999999999</v>
      </c>
      <c r="AW86" s="228">
        <v>506</v>
      </c>
      <c r="AX86" s="228">
        <v>274</v>
      </c>
      <c r="AY86" s="228">
        <v>231</v>
      </c>
      <c r="AZ86" s="229">
        <v>0.84289999999999998</v>
      </c>
      <c r="BA86" s="228">
        <v>98</v>
      </c>
      <c r="BB86" s="228">
        <v>52</v>
      </c>
      <c r="BC86" s="228">
        <v>47</v>
      </c>
      <c r="BD86" s="229">
        <v>0.90080000000000005</v>
      </c>
      <c r="BE86" s="228">
        <v>0</v>
      </c>
      <c r="BF86" s="228">
        <v>0</v>
      </c>
      <c r="BG86" s="228">
        <v>0</v>
      </c>
      <c r="BH86" s="229">
        <v>0</v>
      </c>
      <c r="BI86" s="230">
        <v>3055</v>
      </c>
      <c r="BJ86" s="230">
        <v>1385</v>
      </c>
      <c r="BK86" s="230">
        <v>1670</v>
      </c>
      <c r="BL86" s="229">
        <v>1.2058</v>
      </c>
      <c r="BM86" s="230">
        <v>1170</v>
      </c>
      <c r="BN86" s="228">
        <v>589</v>
      </c>
      <c r="BO86" s="228">
        <v>581</v>
      </c>
      <c r="BP86" s="229">
        <v>0.9859</v>
      </c>
      <c r="BQ86" s="230">
        <v>4833</v>
      </c>
      <c r="BR86" s="230">
        <v>2303</v>
      </c>
      <c r="BS86" s="230">
        <v>2531</v>
      </c>
      <c r="BT86" s="229">
        <v>1.099</v>
      </c>
      <c r="BU86" s="230">
        <v>4450466</v>
      </c>
      <c r="BV86" s="230">
        <v>2093401</v>
      </c>
      <c r="BW86" s="230">
        <v>2357065</v>
      </c>
      <c r="BX86" s="229">
        <v>1.1259999999999999</v>
      </c>
      <c r="BY86" s="230">
        <v>2221</v>
      </c>
      <c r="BZ86" s="230">
        <v>2262</v>
      </c>
      <c r="CA86" s="228">
        <v>-40</v>
      </c>
      <c r="CB86" s="229">
        <v>-1.7899999999999999E-2</v>
      </c>
      <c r="CC86" s="230">
        <v>2005</v>
      </c>
      <c r="CD86" s="230">
        <v>2071</v>
      </c>
      <c r="CE86" s="228">
        <v>-66</v>
      </c>
      <c r="CF86" s="229">
        <v>-3.1800000000000002E-2</v>
      </c>
      <c r="CG86" s="228">
        <v>206</v>
      </c>
      <c r="CH86" s="228">
        <v>179</v>
      </c>
      <c r="CI86" s="228">
        <v>27</v>
      </c>
      <c r="CJ86" s="229">
        <v>0.14990000000000001</v>
      </c>
      <c r="CK86" s="228">
        <v>0</v>
      </c>
      <c r="CL86" s="228">
        <v>0</v>
      </c>
      <c r="CM86" s="228">
        <v>0</v>
      </c>
      <c r="CN86" s="229">
        <v>0</v>
      </c>
      <c r="CO86" s="230">
        <v>1571</v>
      </c>
      <c r="CP86" s="230">
        <v>1805</v>
      </c>
      <c r="CQ86" s="228">
        <v>-233</v>
      </c>
      <c r="CR86" s="229">
        <v>-0.12920000000000001</v>
      </c>
      <c r="CS86" s="228">
        <v>797</v>
      </c>
      <c r="CT86" s="228">
        <v>847</v>
      </c>
      <c r="CU86" s="228">
        <v>-50</v>
      </c>
      <c r="CV86" s="229">
        <v>-5.91E-2</v>
      </c>
      <c r="CW86" s="230">
        <v>4589</v>
      </c>
      <c r="CX86" s="230">
        <v>4913</v>
      </c>
      <c r="CY86" s="228">
        <v>-324</v>
      </c>
      <c r="CZ86" s="229">
        <v>-6.59E-2</v>
      </c>
      <c r="DA86" s="228">
        <v>21.52</v>
      </c>
      <c r="DB86" s="228">
        <v>22.86</v>
      </c>
      <c r="DC86" s="228">
        <v>-1.34</v>
      </c>
      <c r="DD86" s="228">
        <v>-1.34</v>
      </c>
      <c r="DE86" s="228">
        <v>27.93</v>
      </c>
      <c r="DF86" s="228">
        <v>27.93</v>
      </c>
      <c r="DG86" s="228">
        <v>-6.41</v>
      </c>
      <c r="DH86" s="228">
        <v>0</v>
      </c>
      <c r="DI86" s="228">
        <v>21.45</v>
      </c>
      <c r="DJ86" s="228">
        <v>23.14</v>
      </c>
      <c r="DK86" s="228">
        <v>-1.69</v>
      </c>
      <c r="DL86" s="228">
        <v>-1.69</v>
      </c>
      <c r="DM86" s="228">
        <v>21.71</v>
      </c>
      <c r="DN86" s="228">
        <v>22.2</v>
      </c>
      <c r="DO86" s="228">
        <v>-0.49</v>
      </c>
      <c r="DP86" s="228">
        <v>-0.49</v>
      </c>
      <c r="DQ86" s="228">
        <v>0.51</v>
      </c>
      <c r="DR86" s="228">
        <v>0.47</v>
      </c>
      <c r="DS86" s="228">
        <v>0.04</v>
      </c>
      <c r="DT86" s="229">
        <v>8.5099999999999995E-2</v>
      </c>
      <c r="DU86" s="228">
        <v>820</v>
      </c>
      <c r="DV86" s="228">
        <v>740</v>
      </c>
      <c r="DW86" s="228">
        <v>0.38</v>
      </c>
      <c r="DX86" s="228">
        <v>0.43</v>
      </c>
      <c r="DY86" s="228">
        <v>-0.05</v>
      </c>
      <c r="DZ86" s="229">
        <v>-0.1163</v>
      </c>
      <c r="EA86" s="229">
        <v>9.2600000000000002E-2</v>
      </c>
      <c r="EB86" s="230">
        <v>2340800</v>
      </c>
      <c r="EC86" s="229">
        <v>5.4000000000000003E-3</v>
      </c>
      <c r="ED86" s="229">
        <v>9.2600000000000002E-2</v>
      </c>
      <c r="EE86" s="228">
        <v>3.01</v>
      </c>
      <c r="EF86" s="229">
        <v>4.0000000000000001E-3</v>
      </c>
      <c r="EG86" s="230">
        <v>2559832</v>
      </c>
      <c r="EH86" s="230">
        <v>1284008</v>
      </c>
      <c r="EI86" s="229">
        <v>0.99360000000000004</v>
      </c>
      <c r="EJ86" s="229">
        <v>0.57520000000000004</v>
      </c>
      <c r="EK86" s="231">
        <v>3121.34</v>
      </c>
      <c r="EL86" s="231">
        <v>1148.19</v>
      </c>
      <c r="EM86" s="228">
        <v>606.77</v>
      </c>
      <c r="EN86" s="228">
        <v>0</v>
      </c>
      <c r="EO86" s="231">
        <v>4876.3</v>
      </c>
      <c r="EP86" s="231">
        <v>2304.48</v>
      </c>
      <c r="EQ86" s="231">
        <v>2571.8200000000002</v>
      </c>
      <c r="ER86" s="229">
        <v>1.1160000000000001</v>
      </c>
      <c r="ES86" s="231">
        <v>1666.52</v>
      </c>
      <c r="ET86" s="228">
        <v>773.14</v>
      </c>
      <c r="EU86" s="231">
        <v>2222.4</v>
      </c>
      <c r="EV86" s="231">
        <v>213821216</v>
      </c>
      <c r="EW86" s="231">
        <v>4662.05</v>
      </c>
      <c r="EX86" s="231">
        <v>4952.1499999999996</v>
      </c>
      <c r="EY86" s="228">
        <v>-290.10000000000002</v>
      </c>
      <c r="EZ86" s="229">
        <v>-5.8599999999999999E-2</v>
      </c>
      <c r="FA86" s="229">
        <v>0.28100000000000003</v>
      </c>
      <c r="FB86" s="227" t="s">
        <v>556</v>
      </c>
      <c r="FC86">
        <f t="shared" si="1"/>
        <v>216</v>
      </c>
    </row>
    <row r="87" spans="1:159" ht="17.25" thickBot="1" x14ac:dyDescent="0.3">
      <c r="A87" s="226">
        <v>45860</v>
      </c>
      <c r="B87" s="227" t="s">
        <v>162</v>
      </c>
      <c r="C87" s="227" t="s">
        <v>226</v>
      </c>
      <c r="D87" s="228">
        <v>150</v>
      </c>
      <c r="E87" s="228">
        <v>9</v>
      </c>
      <c r="F87" s="231">
        <v>4262.8</v>
      </c>
      <c r="G87" s="231">
        <v>4342.2</v>
      </c>
      <c r="H87" s="228">
        <v>-79.400000000000006</v>
      </c>
      <c r="I87" s="229">
        <v>-1.83E-2</v>
      </c>
      <c r="J87" s="231">
        <v>4342.3999999999996</v>
      </c>
      <c r="K87" s="231">
        <v>4408.2</v>
      </c>
      <c r="L87" s="228">
        <v>-65.8</v>
      </c>
      <c r="M87" s="229">
        <v>-1.49E-2</v>
      </c>
      <c r="N87" s="231">
        <v>4262.8</v>
      </c>
      <c r="O87" s="231">
        <v>4342.2</v>
      </c>
      <c r="P87" s="228">
        <v>-79.400000000000006</v>
      </c>
      <c r="Q87" s="229">
        <v>-1.83E-2</v>
      </c>
      <c r="R87" s="231">
        <v>4271.2</v>
      </c>
      <c r="S87" s="231">
        <v>4352.8</v>
      </c>
      <c r="T87" s="228">
        <v>-81.599999999999994</v>
      </c>
      <c r="U87" s="229">
        <v>-1.8700000000000001E-2</v>
      </c>
      <c r="V87" s="228">
        <v>0</v>
      </c>
      <c r="W87" s="228">
        <v>0</v>
      </c>
      <c r="X87" s="228">
        <v>0</v>
      </c>
      <c r="Y87" s="229">
        <v>0</v>
      </c>
      <c r="Z87" s="228">
        <v>-79.599999999999994</v>
      </c>
      <c r="AA87" s="228">
        <v>-66</v>
      </c>
      <c r="AB87" s="228">
        <v>-13.6</v>
      </c>
      <c r="AC87" s="229">
        <v>-1.83E-2</v>
      </c>
      <c r="AD87" s="228">
        <v>-79.599999999999994</v>
      </c>
      <c r="AE87" s="228">
        <v>-66</v>
      </c>
      <c r="AF87" s="228">
        <v>-13.6</v>
      </c>
      <c r="AG87" s="229">
        <v>-1.83E-2</v>
      </c>
      <c r="AH87" s="228">
        <v>-71.2</v>
      </c>
      <c r="AI87" s="228">
        <v>-55.4</v>
      </c>
      <c r="AJ87" s="228">
        <v>-15.8</v>
      </c>
      <c r="AK87" s="229">
        <v>-1.6400000000000001E-2</v>
      </c>
      <c r="AL87" s="228">
        <v>0</v>
      </c>
      <c r="AM87" s="228">
        <v>0</v>
      </c>
      <c r="AN87" s="228">
        <v>0</v>
      </c>
      <c r="AO87" s="229">
        <v>0</v>
      </c>
      <c r="AP87" s="231">
        <v>4292.9799999999996</v>
      </c>
      <c r="AQ87" s="231">
        <v>4306.8100000000004</v>
      </c>
      <c r="AR87" s="228">
        <v>0</v>
      </c>
      <c r="AS87" s="228">
        <v>477</v>
      </c>
      <c r="AT87" s="228">
        <v>283</v>
      </c>
      <c r="AU87" s="228">
        <v>194</v>
      </c>
      <c r="AV87" s="229">
        <v>0.68489999999999995</v>
      </c>
      <c r="AW87" s="228">
        <v>350</v>
      </c>
      <c r="AX87" s="228">
        <v>234</v>
      </c>
      <c r="AY87" s="228">
        <v>116</v>
      </c>
      <c r="AZ87" s="229">
        <v>0.49580000000000002</v>
      </c>
      <c r="BA87" s="228">
        <v>120</v>
      </c>
      <c r="BB87" s="228">
        <v>47</v>
      </c>
      <c r="BC87" s="228">
        <v>73</v>
      </c>
      <c r="BD87" s="229">
        <v>1.5571999999999999</v>
      </c>
      <c r="BE87" s="228">
        <v>0</v>
      </c>
      <c r="BF87" s="228">
        <v>0</v>
      </c>
      <c r="BG87" s="228">
        <v>0</v>
      </c>
      <c r="BH87" s="229">
        <v>0</v>
      </c>
      <c r="BI87" s="230">
        <v>2618</v>
      </c>
      <c r="BJ87" s="230">
        <v>2023</v>
      </c>
      <c r="BK87" s="228">
        <v>595</v>
      </c>
      <c r="BL87" s="229">
        <v>0.29409999999999997</v>
      </c>
      <c r="BM87" s="228">
        <v>960</v>
      </c>
      <c r="BN87" s="228">
        <v>724</v>
      </c>
      <c r="BO87" s="228">
        <v>236</v>
      </c>
      <c r="BP87" s="229">
        <v>0.3266</v>
      </c>
      <c r="BQ87" s="230">
        <v>4055</v>
      </c>
      <c r="BR87" s="230">
        <v>3030</v>
      </c>
      <c r="BS87" s="230">
        <v>1025</v>
      </c>
      <c r="BT87" s="229">
        <v>0.33839999999999998</v>
      </c>
      <c r="BU87" s="230">
        <v>486927</v>
      </c>
      <c r="BV87" s="230">
        <v>286730</v>
      </c>
      <c r="BW87" s="230">
        <v>200197</v>
      </c>
      <c r="BX87" s="229">
        <v>0.69820000000000004</v>
      </c>
      <c r="BY87" s="230">
        <v>2847</v>
      </c>
      <c r="BZ87" s="230">
        <v>2705</v>
      </c>
      <c r="CA87" s="228">
        <v>142</v>
      </c>
      <c r="CB87" s="229">
        <v>5.2600000000000001E-2</v>
      </c>
      <c r="CC87" s="230">
        <v>2554</v>
      </c>
      <c r="CD87" s="230">
        <v>2482</v>
      </c>
      <c r="CE87" s="228">
        <v>72</v>
      </c>
      <c r="CF87" s="229">
        <v>2.9000000000000001E-2</v>
      </c>
      <c r="CG87" s="228">
        <v>279</v>
      </c>
      <c r="CH87" s="228">
        <v>212</v>
      </c>
      <c r="CI87" s="228">
        <v>67</v>
      </c>
      <c r="CJ87" s="229">
        <v>0.31809999999999999</v>
      </c>
      <c r="CK87" s="228">
        <v>0</v>
      </c>
      <c r="CL87" s="228">
        <v>0</v>
      </c>
      <c r="CM87" s="228">
        <v>0</v>
      </c>
      <c r="CN87" s="229">
        <v>0</v>
      </c>
      <c r="CO87" s="230">
        <v>1786</v>
      </c>
      <c r="CP87" s="230">
        <v>1658</v>
      </c>
      <c r="CQ87" s="228">
        <v>128</v>
      </c>
      <c r="CR87" s="229">
        <v>7.7200000000000005E-2</v>
      </c>
      <c r="CS87" s="228">
        <v>966</v>
      </c>
      <c r="CT87" s="228">
        <v>970</v>
      </c>
      <c r="CU87" s="228">
        <v>-3</v>
      </c>
      <c r="CV87" s="229">
        <v>-3.3999999999999998E-3</v>
      </c>
      <c r="CW87" s="230">
        <v>5600</v>
      </c>
      <c r="CX87" s="230">
        <v>5333</v>
      </c>
      <c r="CY87" s="228">
        <v>267</v>
      </c>
      <c r="CZ87" s="229">
        <v>5.0099999999999999E-2</v>
      </c>
      <c r="DA87" s="228">
        <v>27.36</v>
      </c>
      <c r="DB87" s="228">
        <v>26.62</v>
      </c>
      <c r="DC87" s="228">
        <v>0.74</v>
      </c>
      <c r="DD87" s="228">
        <v>0.74</v>
      </c>
      <c r="DE87" s="228">
        <v>30.64</v>
      </c>
      <c r="DF87" s="228">
        <v>30.65</v>
      </c>
      <c r="DG87" s="228">
        <v>-3.28</v>
      </c>
      <c r="DH87" s="228">
        <v>-0.01</v>
      </c>
      <c r="DI87" s="228">
        <v>28.24</v>
      </c>
      <c r="DJ87" s="228">
        <v>26.9</v>
      </c>
      <c r="DK87" s="228">
        <v>1.34</v>
      </c>
      <c r="DL87" s="228">
        <v>1.34</v>
      </c>
      <c r="DM87" s="228">
        <v>24.94</v>
      </c>
      <c r="DN87" s="228">
        <v>25.85</v>
      </c>
      <c r="DO87" s="228">
        <v>-0.91</v>
      </c>
      <c r="DP87" s="228">
        <v>-0.91</v>
      </c>
      <c r="DQ87" s="228">
        <v>0.54</v>
      </c>
      <c r="DR87" s="228">
        <v>0.57999999999999996</v>
      </c>
      <c r="DS87" s="228">
        <v>-0.04</v>
      </c>
      <c r="DT87" s="229">
        <v>-6.9000000000000006E-2</v>
      </c>
      <c r="DU87" s="231">
        <v>4500</v>
      </c>
      <c r="DV87" s="231">
        <v>4300</v>
      </c>
      <c r="DW87" s="228">
        <v>0.37</v>
      </c>
      <c r="DX87" s="228">
        <v>0.36</v>
      </c>
      <c r="DY87" s="228">
        <v>0.01</v>
      </c>
      <c r="DZ87" s="229">
        <v>2.7799999999999998E-2</v>
      </c>
      <c r="EA87" s="229">
        <v>9.8000000000000004E-2</v>
      </c>
      <c r="EB87" s="230">
        <v>496500</v>
      </c>
      <c r="EC87" s="229">
        <v>2E-3</v>
      </c>
      <c r="ED87" s="229">
        <v>9.8000000000000004E-2</v>
      </c>
      <c r="EE87" s="228">
        <v>13.83</v>
      </c>
      <c r="EF87" s="229">
        <v>3.2000000000000002E-3</v>
      </c>
      <c r="EG87" s="230">
        <v>249863</v>
      </c>
      <c r="EH87" s="230">
        <v>119278</v>
      </c>
      <c r="EI87" s="229">
        <v>1.0948</v>
      </c>
      <c r="EJ87" s="229">
        <v>0.5131</v>
      </c>
      <c r="EK87" s="231">
        <v>2769.28</v>
      </c>
      <c r="EL87" s="228">
        <v>962.63</v>
      </c>
      <c r="EM87" s="228">
        <v>480.75</v>
      </c>
      <c r="EN87" s="228">
        <v>0</v>
      </c>
      <c r="EO87" s="231">
        <v>4212.66</v>
      </c>
      <c r="EP87" s="231">
        <v>3159.1</v>
      </c>
      <c r="EQ87" s="231">
        <v>1053.56</v>
      </c>
      <c r="ER87" s="229">
        <v>0.33350000000000002</v>
      </c>
      <c r="ES87" s="231">
        <v>1893.3</v>
      </c>
      <c r="ET87" s="228">
        <v>929.58</v>
      </c>
      <c r="EU87" s="231">
        <v>2847.97</v>
      </c>
      <c r="EV87" s="231">
        <v>26104531</v>
      </c>
      <c r="EW87" s="231">
        <v>5670.85</v>
      </c>
      <c r="EX87" s="231">
        <v>5456.3</v>
      </c>
      <c r="EY87" s="228">
        <v>214.55</v>
      </c>
      <c r="EZ87" s="229">
        <v>3.9300000000000002E-2</v>
      </c>
      <c r="FA87" s="229">
        <v>0.50319999999999998</v>
      </c>
      <c r="FB87" s="227" t="s">
        <v>567</v>
      </c>
      <c r="FC87">
        <f t="shared" si="1"/>
        <v>293</v>
      </c>
    </row>
    <row r="88" spans="1:159" ht="17.25" thickBot="1" x14ac:dyDescent="0.3">
      <c r="A88" s="226">
        <v>45860</v>
      </c>
      <c r="B88" s="227" t="s">
        <v>221</v>
      </c>
      <c r="C88" s="227" t="s">
        <v>577</v>
      </c>
      <c r="D88" s="228">
        <v>6450</v>
      </c>
      <c r="E88" s="228">
        <v>9</v>
      </c>
      <c r="F88" s="228">
        <v>80.69</v>
      </c>
      <c r="G88" s="228">
        <v>81.98</v>
      </c>
      <c r="H88" s="228">
        <v>-1.29</v>
      </c>
      <c r="I88" s="229">
        <v>-1.5699999999999999E-2</v>
      </c>
      <c r="J88" s="228">
        <v>80.319999999999993</v>
      </c>
      <c r="K88" s="228">
        <v>81.73</v>
      </c>
      <c r="L88" s="228">
        <v>-1.41</v>
      </c>
      <c r="M88" s="229">
        <v>-1.7299999999999999E-2</v>
      </c>
      <c r="N88" s="228">
        <v>80.69</v>
      </c>
      <c r="O88" s="228">
        <v>81.98</v>
      </c>
      <c r="P88" s="228">
        <v>-1.29</v>
      </c>
      <c r="Q88" s="229">
        <v>-1.5699999999999999E-2</v>
      </c>
      <c r="R88" s="228">
        <v>81</v>
      </c>
      <c r="S88" s="228">
        <v>82.43</v>
      </c>
      <c r="T88" s="228">
        <v>-1.43</v>
      </c>
      <c r="U88" s="229">
        <v>-1.7299999999999999E-2</v>
      </c>
      <c r="V88" s="228">
        <v>0</v>
      </c>
      <c r="W88" s="228">
        <v>0</v>
      </c>
      <c r="X88" s="228">
        <v>0</v>
      </c>
      <c r="Y88" s="229">
        <v>0</v>
      </c>
      <c r="Z88" s="228">
        <v>0.37</v>
      </c>
      <c r="AA88" s="228">
        <v>0.25</v>
      </c>
      <c r="AB88" s="228">
        <v>0.12</v>
      </c>
      <c r="AC88" s="229">
        <v>4.5999999999999999E-3</v>
      </c>
      <c r="AD88" s="228">
        <v>0.37</v>
      </c>
      <c r="AE88" s="228">
        <v>0.25</v>
      </c>
      <c r="AF88" s="228">
        <v>0.12</v>
      </c>
      <c r="AG88" s="229">
        <v>4.5999999999999999E-3</v>
      </c>
      <c r="AH88" s="228">
        <v>0.68</v>
      </c>
      <c r="AI88" s="228">
        <v>0.7</v>
      </c>
      <c r="AJ88" s="228">
        <v>-0.02</v>
      </c>
      <c r="AK88" s="229">
        <v>8.5000000000000006E-3</v>
      </c>
      <c r="AL88" s="228">
        <v>0</v>
      </c>
      <c r="AM88" s="228">
        <v>0</v>
      </c>
      <c r="AN88" s="228">
        <v>0</v>
      </c>
      <c r="AO88" s="229">
        <v>0</v>
      </c>
      <c r="AP88" s="228">
        <v>81.319999999999993</v>
      </c>
      <c r="AQ88" s="228">
        <v>81.790000000000006</v>
      </c>
      <c r="AR88" s="228">
        <v>0</v>
      </c>
      <c r="AS88" s="228">
        <v>146</v>
      </c>
      <c r="AT88" s="228">
        <v>57</v>
      </c>
      <c r="AU88" s="228">
        <v>90</v>
      </c>
      <c r="AV88" s="229">
        <v>1.5760000000000001</v>
      </c>
      <c r="AW88" s="228">
        <v>105</v>
      </c>
      <c r="AX88" s="228">
        <v>42</v>
      </c>
      <c r="AY88" s="228">
        <v>63</v>
      </c>
      <c r="AZ88" s="229">
        <v>1.4902</v>
      </c>
      <c r="BA88" s="228">
        <v>38</v>
      </c>
      <c r="BB88" s="228">
        <v>14</v>
      </c>
      <c r="BC88" s="228">
        <v>24</v>
      </c>
      <c r="BD88" s="229">
        <v>1.7218</v>
      </c>
      <c r="BE88" s="228">
        <v>0</v>
      </c>
      <c r="BF88" s="228">
        <v>0</v>
      </c>
      <c r="BG88" s="228">
        <v>0</v>
      </c>
      <c r="BH88" s="229">
        <v>0</v>
      </c>
      <c r="BI88" s="228">
        <v>149</v>
      </c>
      <c r="BJ88" s="228">
        <v>73</v>
      </c>
      <c r="BK88" s="228">
        <v>76</v>
      </c>
      <c r="BL88" s="229">
        <v>1.0333000000000001</v>
      </c>
      <c r="BM88" s="228">
        <v>61</v>
      </c>
      <c r="BN88" s="228">
        <v>34</v>
      </c>
      <c r="BO88" s="228">
        <v>27</v>
      </c>
      <c r="BP88" s="229">
        <v>0.78049999999999997</v>
      </c>
      <c r="BQ88" s="228">
        <v>356</v>
      </c>
      <c r="BR88" s="228">
        <v>164</v>
      </c>
      <c r="BS88" s="228">
        <v>192</v>
      </c>
      <c r="BT88" s="229">
        <v>1.1685000000000001</v>
      </c>
      <c r="BU88" s="230">
        <v>7842353</v>
      </c>
      <c r="BV88" s="230">
        <v>4768390</v>
      </c>
      <c r="BW88" s="230">
        <v>3073963</v>
      </c>
      <c r="BX88" s="229">
        <v>0.64470000000000005</v>
      </c>
      <c r="BY88" s="228">
        <v>674</v>
      </c>
      <c r="BZ88" s="228">
        <v>639</v>
      </c>
      <c r="CA88" s="228">
        <v>34</v>
      </c>
      <c r="CB88" s="229">
        <v>5.3600000000000002E-2</v>
      </c>
      <c r="CC88" s="228">
        <v>579</v>
      </c>
      <c r="CD88" s="228">
        <v>565</v>
      </c>
      <c r="CE88" s="228">
        <v>13</v>
      </c>
      <c r="CF88" s="229">
        <v>2.35E-2</v>
      </c>
      <c r="CG88" s="228">
        <v>87</v>
      </c>
      <c r="CH88" s="228">
        <v>68</v>
      </c>
      <c r="CI88" s="228">
        <v>19</v>
      </c>
      <c r="CJ88" s="229">
        <v>0.27379999999999999</v>
      </c>
      <c r="CK88" s="228">
        <v>0</v>
      </c>
      <c r="CL88" s="228">
        <v>0</v>
      </c>
      <c r="CM88" s="228">
        <v>0</v>
      </c>
      <c r="CN88" s="229">
        <v>0</v>
      </c>
      <c r="CO88" s="228">
        <v>263</v>
      </c>
      <c r="CP88" s="228">
        <v>261</v>
      </c>
      <c r="CQ88" s="228">
        <v>3</v>
      </c>
      <c r="CR88" s="229">
        <v>1.04E-2</v>
      </c>
      <c r="CS88" s="228">
        <v>172</v>
      </c>
      <c r="CT88" s="228">
        <v>167</v>
      </c>
      <c r="CU88" s="228">
        <v>5</v>
      </c>
      <c r="CV88" s="229">
        <v>2.8000000000000001E-2</v>
      </c>
      <c r="CW88" s="230">
        <v>1109</v>
      </c>
      <c r="CX88" s="230">
        <v>1067</v>
      </c>
      <c r="CY88" s="228">
        <v>42</v>
      </c>
      <c r="CZ88" s="229">
        <v>3.9E-2</v>
      </c>
      <c r="DA88" s="228">
        <v>44.31</v>
      </c>
      <c r="DB88" s="228">
        <v>42.99</v>
      </c>
      <c r="DC88" s="228">
        <v>1.32</v>
      </c>
      <c r="DD88" s="228">
        <v>1.32</v>
      </c>
      <c r="DE88" s="228">
        <v>58.28</v>
      </c>
      <c r="DF88" s="228">
        <v>58.38</v>
      </c>
      <c r="DG88" s="228">
        <v>-13.97</v>
      </c>
      <c r="DH88" s="228">
        <v>-0.1</v>
      </c>
      <c r="DI88" s="228">
        <v>45.3</v>
      </c>
      <c r="DJ88" s="228">
        <v>43.97</v>
      </c>
      <c r="DK88" s="228">
        <v>1.33</v>
      </c>
      <c r="DL88" s="228">
        <v>1.33</v>
      </c>
      <c r="DM88" s="228">
        <v>41.86</v>
      </c>
      <c r="DN88" s="228">
        <v>40.869999999999997</v>
      </c>
      <c r="DO88" s="228">
        <v>0.99</v>
      </c>
      <c r="DP88" s="228">
        <v>0.99</v>
      </c>
      <c r="DQ88" s="228">
        <v>0.65</v>
      </c>
      <c r="DR88" s="228">
        <v>0.64</v>
      </c>
      <c r="DS88" s="228">
        <v>0.01</v>
      </c>
      <c r="DT88" s="229">
        <v>1.5599999999999999E-2</v>
      </c>
      <c r="DU88" s="228">
        <v>90</v>
      </c>
      <c r="DV88" s="228">
        <v>80</v>
      </c>
      <c r="DW88" s="228">
        <v>0.41</v>
      </c>
      <c r="DX88" s="228">
        <v>0.47</v>
      </c>
      <c r="DY88" s="228">
        <v>-0.06</v>
      </c>
      <c r="DZ88" s="229">
        <v>-0.12770000000000001</v>
      </c>
      <c r="EA88" s="229">
        <v>0.12939999999999999</v>
      </c>
      <c r="EB88" s="230">
        <v>8481750</v>
      </c>
      <c r="EC88" s="229">
        <v>3.8E-3</v>
      </c>
      <c r="ED88" s="229">
        <v>0.12939999999999999</v>
      </c>
      <c r="EE88" s="228">
        <v>0.47</v>
      </c>
      <c r="EF88" s="229">
        <v>5.7999999999999996E-3</v>
      </c>
      <c r="EG88" s="230">
        <v>2822037</v>
      </c>
      <c r="EH88" s="230">
        <v>1421032</v>
      </c>
      <c r="EI88" s="229">
        <v>0.9859</v>
      </c>
      <c r="EJ88" s="229">
        <v>0.35980000000000001</v>
      </c>
      <c r="EK88" s="228">
        <v>160.85</v>
      </c>
      <c r="EL88" s="228">
        <v>63.3</v>
      </c>
      <c r="EM88" s="228">
        <v>147.79</v>
      </c>
      <c r="EN88" s="228">
        <v>0</v>
      </c>
      <c r="EO88" s="228">
        <v>371.94</v>
      </c>
      <c r="EP88" s="228">
        <v>172.55</v>
      </c>
      <c r="EQ88" s="228">
        <v>199.39</v>
      </c>
      <c r="ER88" s="229">
        <v>1.1556</v>
      </c>
      <c r="ES88" s="228">
        <v>290.32</v>
      </c>
      <c r="ET88" s="228">
        <v>175.43</v>
      </c>
      <c r="EU88" s="228">
        <v>673.99</v>
      </c>
      <c r="EV88" s="231">
        <v>189248684</v>
      </c>
      <c r="EW88" s="231">
        <v>1139.74</v>
      </c>
      <c r="EX88" s="231">
        <v>1109.6099999999999</v>
      </c>
      <c r="EY88" s="228">
        <v>30.13</v>
      </c>
      <c r="EZ88" s="229">
        <v>2.7199999999999998E-2</v>
      </c>
      <c r="FA88" s="229">
        <v>0.72629999999999995</v>
      </c>
      <c r="FB88" s="227" t="s">
        <v>567</v>
      </c>
      <c r="FC88">
        <f t="shared" si="1"/>
        <v>95</v>
      </c>
    </row>
    <row r="89" spans="1:159" ht="17.25" thickBot="1" x14ac:dyDescent="0.3">
      <c r="A89" s="226">
        <v>45860</v>
      </c>
      <c r="B89" s="227" t="s">
        <v>227</v>
      </c>
      <c r="C89" s="227" t="s">
        <v>228</v>
      </c>
      <c r="D89" s="228">
        <v>1400</v>
      </c>
      <c r="E89" s="228">
        <v>9</v>
      </c>
      <c r="F89" s="228">
        <v>690</v>
      </c>
      <c r="G89" s="228">
        <v>684.9</v>
      </c>
      <c r="H89" s="228">
        <v>5.0999999999999996</v>
      </c>
      <c r="I89" s="229">
        <v>7.4000000000000003E-3</v>
      </c>
      <c r="J89" s="228">
        <v>690.05</v>
      </c>
      <c r="K89" s="228">
        <v>682.7</v>
      </c>
      <c r="L89" s="228">
        <v>7.35</v>
      </c>
      <c r="M89" s="229">
        <v>1.0800000000000001E-2</v>
      </c>
      <c r="N89" s="228">
        <v>690</v>
      </c>
      <c r="O89" s="228">
        <v>684.9</v>
      </c>
      <c r="P89" s="228">
        <v>5.0999999999999996</v>
      </c>
      <c r="Q89" s="229">
        <v>7.4000000000000003E-3</v>
      </c>
      <c r="R89" s="228">
        <v>688.7</v>
      </c>
      <c r="S89" s="228">
        <v>683.5</v>
      </c>
      <c r="T89" s="228">
        <v>5.2</v>
      </c>
      <c r="U89" s="229">
        <v>7.6E-3</v>
      </c>
      <c r="V89" s="228">
        <v>0</v>
      </c>
      <c r="W89" s="228">
        <v>0</v>
      </c>
      <c r="X89" s="228">
        <v>0</v>
      </c>
      <c r="Y89" s="229">
        <v>0</v>
      </c>
      <c r="Z89" s="228">
        <v>-0.05</v>
      </c>
      <c r="AA89" s="228">
        <v>2.2000000000000002</v>
      </c>
      <c r="AB89" s="228">
        <v>-2.25</v>
      </c>
      <c r="AC89" s="229">
        <v>-1E-4</v>
      </c>
      <c r="AD89" s="228">
        <v>-0.05</v>
      </c>
      <c r="AE89" s="228">
        <v>2.2000000000000002</v>
      </c>
      <c r="AF89" s="228">
        <v>-2.25</v>
      </c>
      <c r="AG89" s="229">
        <v>-1E-4</v>
      </c>
      <c r="AH89" s="228">
        <v>-1.35</v>
      </c>
      <c r="AI89" s="228">
        <v>0.8</v>
      </c>
      <c r="AJ89" s="228">
        <v>-2.15</v>
      </c>
      <c r="AK89" s="229">
        <v>-2E-3</v>
      </c>
      <c r="AL89" s="228">
        <v>0</v>
      </c>
      <c r="AM89" s="228">
        <v>0</v>
      </c>
      <c r="AN89" s="228">
        <v>0</v>
      </c>
      <c r="AO89" s="229">
        <v>0</v>
      </c>
      <c r="AP89" s="228">
        <v>689.35</v>
      </c>
      <c r="AQ89" s="228">
        <v>688.25</v>
      </c>
      <c r="AR89" s="228">
        <v>0</v>
      </c>
      <c r="AS89" s="228">
        <v>502</v>
      </c>
      <c r="AT89" s="228">
        <v>666</v>
      </c>
      <c r="AU89" s="228">
        <v>-163</v>
      </c>
      <c r="AV89" s="229">
        <v>-0.2455</v>
      </c>
      <c r="AW89" s="228">
        <v>379</v>
      </c>
      <c r="AX89" s="228">
        <v>547</v>
      </c>
      <c r="AY89" s="228">
        <v>-168</v>
      </c>
      <c r="AZ89" s="229">
        <v>-0.30740000000000001</v>
      </c>
      <c r="BA89" s="228">
        <v>117</v>
      </c>
      <c r="BB89" s="228">
        <v>113</v>
      </c>
      <c r="BC89" s="228">
        <v>4</v>
      </c>
      <c r="BD89" s="229">
        <v>3.15E-2</v>
      </c>
      <c r="BE89" s="228">
        <v>0</v>
      </c>
      <c r="BF89" s="228">
        <v>0</v>
      </c>
      <c r="BG89" s="228">
        <v>0</v>
      </c>
      <c r="BH89" s="229">
        <v>0</v>
      </c>
      <c r="BI89" s="230">
        <v>1875</v>
      </c>
      <c r="BJ89" s="230">
        <v>1816</v>
      </c>
      <c r="BK89" s="228">
        <v>59</v>
      </c>
      <c r="BL89" s="229">
        <v>3.2300000000000002E-2</v>
      </c>
      <c r="BM89" s="228">
        <v>833</v>
      </c>
      <c r="BN89" s="228">
        <v>916</v>
      </c>
      <c r="BO89" s="228">
        <v>-83</v>
      </c>
      <c r="BP89" s="229">
        <v>-9.0800000000000006E-2</v>
      </c>
      <c r="BQ89" s="230">
        <v>3210</v>
      </c>
      <c r="BR89" s="230">
        <v>3398</v>
      </c>
      <c r="BS89" s="228">
        <v>-188</v>
      </c>
      <c r="BT89" s="229">
        <v>-5.5300000000000002E-2</v>
      </c>
      <c r="BU89" s="230">
        <v>3880243</v>
      </c>
      <c r="BV89" s="230">
        <v>5036530</v>
      </c>
      <c r="BW89" s="230">
        <v>-1156287</v>
      </c>
      <c r="BX89" s="229">
        <v>-0.2296</v>
      </c>
      <c r="BY89" s="230">
        <v>3725</v>
      </c>
      <c r="BZ89" s="230">
        <v>3721</v>
      </c>
      <c r="CA89" s="228">
        <v>3</v>
      </c>
      <c r="CB89" s="229">
        <v>8.9999999999999998E-4</v>
      </c>
      <c r="CC89" s="230">
        <v>3441</v>
      </c>
      <c r="CD89" s="230">
        <v>3488</v>
      </c>
      <c r="CE89" s="228">
        <v>-47</v>
      </c>
      <c r="CF89" s="229">
        <v>-1.34E-2</v>
      </c>
      <c r="CG89" s="228">
        <v>273</v>
      </c>
      <c r="CH89" s="228">
        <v>223</v>
      </c>
      <c r="CI89" s="228">
        <v>50</v>
      </c>
      <c r="CJ89" s="229">
        <v>0.22320000000000001</v>
      </c>
      <c r="CK89" s="228">
        <v>0</v>
      </c>
      <c r="CL89" s="228">
        <v>0</v>
      </c>
      <c r="CM89" s="228">
        <v>0</v>
      </c>
      <c r="CN89" s="229">
        <v>0</v>
      </c>
      <c r="CO89" s="230">
        <v>1286</v>
      </c>
      <c r="CP89" s="230">
        <v>1227</v>
      </c>
      <c r="CQ89" s="228">
        <v>59</v>
      </c>
      <c r="CR89" s="229">
        <v>4.8099999999999997E-2</v>
      </c>
      <c r="CS89" s="228">
        <v>708</v>
      </c>
      <c r="CT89" s="228">
        <v>684</v>
      </c>
      <c r="CU89" s="228">
        <v>23</v>
      </c>
      <c r="CV89" s="229">
        <v>3.4200000000000001E-2</v>
      </c>
      <c r="CW89" s="230">
        <v>5718</v>
      </c>
      <c r="CX89" s="230">
        <v>5632</v>
      </c>
      <c r="CY89" s="228">
        <v>86</v>
      </c>
      <c r="CZ89" s="229">
        <v>1.52E-2</v>
      </c>
      <c r="DA89" s="228">
        <v>23.22</v>
      </c>
      <c r="DB89" s="228">
        <v>23.3</v>
      </c>
      <c r="DC89" s="228">
        <v>-0.08</v>
      </c>
      <c r="DD89" s="228">
        <v>-0.08</v>
      </c>
      <c r="DE89" s="228">
        <v>35.85</v>
      </c>
      <c r="DF89" s="228">
        <v>35.909999999999997</v>
      </c>
      <c r="DG89" s="228">
        <v>-12.63</v>
      </c>
      <c r="DH89" s="228">
        <v>-0.06</v>
      </c>
      <c r="DI89" s="228">
        <v>22.85</v>
      </c>
      <c r="DJ89" s="228">
        <v>22.88</v>
      </c>
      <c r="DK89" s="228">
        <v>-0.03</v>
      </c>
      <c r="DL89" s="228">
        <v>-0.03</v>
      </c>
      <c r="DM89" s="228">
        <v>24.04</v>
      </c>
      <c r="DN89" s="228">
        <v>24.12</v>
      </c>
      <c r="DO89" s="228">
        <v>-0.08</v>
      </c>
      <c r="DP89" s="228">
        <v>-0.08</v>
      </c>
      <c r="DQ89" s="228">
        <v>0.55000000000000004</v>
      </c>
      <c r="DR89" s="228">
        <v>0.56000000000000005</v>
      </c>
      <c r="DS89" s="228">
        <v>-0.01</v>
      </c>
      <c r="DT89" s="229">
        <v>-1.7899999999999999E-2</v>
      </c>
      <c r="DU89" s="228">
        <v>700</v>
      </c>
      <c r="DV89" s="228">
        <v>670</v>
      </c>
      <c r="DW89" s="228">
        <v>0.44</v>
      </c>
      <c r="DX89" s="228">
        <v>0.5</v>
      </c>
      <c r="DY89" s="228">
        <v>-0.06</v>
      </c>
      <c r="DZ89" s="229">
        <v>-0.12</v>
      </c>
      <c r="EA89" s="229">
        <v>7.3300000000000004E-2</v>
      </c>
      <c r="EB89" s="230">
        <v>3236800</v>
      </c>
      <c r="EC89" s="229">
        <v>-1.9E-3</v>
      </c>
      <c r="ED89" s="229">
        <v>7.3300000000000004E-2</v>
      </c>
      <c r="EE89" s="228">
        <v>-1.1000000000000001</v>
      </c>
      <c r="EF89" s="229">
        <v>-1.6000000000000001E-3</v>
      </c>
      <c r="EG89" s="230">
        <v>2153881</v>
      </c>
      <c r="EH89" s="230">
        <v>2748904</v>
      </c>
      <c r="EI89" s="229">
        <v>-0.2165</v>
      </c>
      <c r="EJ89" s="229">
        <v>0.55510000000000004</v>
      </c>
      <c r="EK89" s="231">
        <v>1920.41</v>
      </c>
      <c r="EL89" s="228">
        <v>816.66</v>
      </c>
      <c r="EM89" s="228">
        <v>501.59</v>
      </c>
      <c r="EN89" s="228">
        <v>0</v>
      </c>
      <c r="EO89" s="231">
        <v>3238.66</v>
      </c>
      <c r="EP89" s="231">
        <v>3410.81</v>
      </c>
      <c r="EQ89" s="228">
        <v>-172.15</v>
      </c>
      <c r="ER89" s="229">
        <v>-5.0500000000000003E-2</v>
      </c>
      <c r="ES89" s="231">
        <v>1329.88</v>
      </c>
      <c r="ET89" s="228">
        <v>674.82</v>
      </c>
      <c r="EU89" s="231">
        <v>3724.03</v>
      </c>
      <c r="EV89" s="231">
        <v>291659008</v>
      </c>
      <c r="EW89" s="231">
        <v>5728.72</v>
      </c>
      <c r="EX89" s="231">
        <v>5612.25</v>
      </c>
      <c r="EY89" s="228">
        <v>116.47</v>
      </c>
      <c r="EZ89" s="229">
        <v>2.0799999999999999E-2</v>
      </c>
      <c r="FA89" s="229">
        <v>0.28410000000000002</v>
      </c>
      <c r="FB89" s="227" t="s">
        <v>555</v>
      </c>
      <c r="FC89">
        <f t="shared" si="1"/>
        <v>284</v>
      </c>
    </row>
    <row r="90" spans="1:159" ht="17.25" thickBot="1" x14ac:dyDescent="0.3">
      <c r="A90" s="226">
        <v>45860</v>
      </c>
      <c r="B90" s="227" t="s">
        <v>227</v>
      </c>
      <c r="C90" s="227" t="s">
        <v>547</v>
      </c>
      <c r="D90" s="228">
        <v>2650</v>
      </c>
      <c r="E90" s="228">
        <v>9</v>
      </c>
      <c r="F90" s="228">
        <v>273.05</v>
      </c>
      <c r="G90" s="228">
        <v>274.10000000000002</v>
      </c>
      <c r="H90" s="228">
        <v>-1.05</v>
      </c>
      <c r="I90" s="229">
        <v>-3.8E-3</v>
      </c>
      <c r="J90" s="228">
        <v>271.95</v>
      </c>
      <c r="K90" s="228">
        <v>273.8</v>
      </c>
      <c r="L90" s="228">
        <v>-1.85</v>
      </c>
      <c r="M90" s="229">
        <v>-6.7999999999999996E-3</v>
      </c>
      <c r="N90" s="228">
        <v>273.05</v>
      </c>
      <c r="O90" s="228">
        <v>274.10000000000002</v>
      </c>
      <c r="P90" s="228">
        <v>-1.05</v>
      </c>
      <c r="Q90" s="229">
        <v>-3.8E-3</v>
      </c>
      <c r="R90" s="228">
        <v>0</v>
      </c>
      <c r="S90" s="228">
        <v>0</v>
      </c>
      <c r="T90" s="228">
        <v>0</v>
      </c>
      <c r="U90" s="229">
        <v>0</v>
      </c>
      <c r="V90" s="228">
        <v>0</v>
      </c>
      <c r="W90" s="228">
        <v>0</v>
      </c>
      <c r="X90" s="228">
        <v>0</v>
      </c>
      <c r="Y90" s="229">
        <v>0</v>
      </c>
      <c r="Z90" s="228">
        <v>1.1000000000000001</v>
      </c>
      <c r="AA90" s="228">
        <v>0.3</v>
      </c>
      <c r="AB90" s="228">
        <v>0.8</v>
      </c>
      <c r="AC90" s="229">
        <v>4.0000000000000001E-3</v>
      </c>
      <c r="AD90" s="228">
        <v>1.1000000000000001</v>
      </c>
      <c r="AE90" s="228">
        <v>0.3</v>
      </c>
      <c r="AF90" s="228">
        <v>0.8</v>
      </c>
      <c r="AG90" s="229">
        <v>4.0000000000000001E-3</v>
      </c>
      <c r="AH90" s="228">
        <v>0</v>
      </c>
      <c r="AI90" s="228">
        <v>0</v>
      </c>
      <c r="AJ90" s="228">
        <v>0</v>
      </c>
      <c r="AK90" s="229">
        <v>0</v>
      </c>
      <c r="AL90" s="228">
        <v>0</v>
      </c>
      <c r="AM90" s="228">
        <v>0</v>
      </c>
      <c r="AN90" s="228">
        <v>0</v>
      </c>
      <c r="AO90" s="229">
        <v>0</v>
      </c>
      <c r="AP90" s="228">
        <v>277.82</v>
      </c>
      <c r="AQ90" s="228">
        <v>0</v>
      </c>
      <c r="AR90" s="228">
        <v>0</v>
      </c>
      <c r="AS90" s="228">
        <v>224</v>
      </c>
      <c r="AT90" s="228">
        <v>39</v>
      </c>
      <c r="AU90" s="228">
        <v>185</v>
      </c>
      <c r="AV90" s="229">
        <v>4.7954999999999997</v>
      </c>
      <c r="AW90" s="228">
        <v>224</v>
      </c>
      <c r="AX90" s="228">
        <v>39</v>
      </c>
      <c r="AY90" s="228">
        <v>185</v>
      </c>
      <c r="AZ90" s="229">
        <v>4.7954999999999997</v>
      </c>
      <c r="BA90" s="228">
        <v>0</v>
      </c>
      <c r="BB90" s="228">
        <v>0</v>
      </c>
      <c r="BC90" s="228">
        <v>0</v>
      </c>
      <c r="BD90" s="229">
        <v>0</v>
      </c>
      <c r="BE90" s="228">
        <v>0</v>
      </c>
      <c r="BF90" s="228">
        <v>0</v>
      </c>
      <c r="BG90" s="228">
        <v>0</v>
      </c>
      <c r="BH90" s="229">
        <v>0</v>
      </c>
      <c r="BI90" s="228">
        <v>508</v>
      </c>
      <c r="BJ90" s="228">
        <v>27</v>
      </c>
      <c r="BK90" s="228">
        <v>480</v>
      </c>
      <c r="BL90" s="229">
        <v>17.465800000000002</v>
      </c>
      <c r="BM90" s="228">
        <v>193</v>
      </c>
      <c r="BN90" s="228">
        <v>12</v>
      </c>
      <c r="BO90" s="228">
        <v>181</v>
      </c>
      <c r="BP90" s="229">
        <v>15.767300000000001</v>
      </c>
      <c r="BQ90" s="228">
        <v>924</v>
      </c>
      <c r="BR90" s="228">
        <v>78</v>
      </c>
      <c r="BS90" s="228">
        <v>847</v>
      </c>
      <c r="BT90" s="229">
        <v>10.914199999999999</v>
      </c>
      <c r="BU90" s="230">
        <v>5903512</v>
      </c>
      <c r="BV90" s="230">
        <v>4931756</v>
      </c>
      <c r="BW90" s="230">
        <v>971756</v>
      </c>
      <c r="BX90" s="229">
        <v>0.19700000000000001</v>
      </c>
      <c r="BY90" s="228">
        <v>854</v>
      </c>
      <c r="BZ90" s="228">
        <v>888</v>
      </c>
      <c r="CA90" s="228">
        <v>-34</v>
      </c>
      <c r="CB90" s="229">
        <v>-3.8199999999999998E-2</v>
      </c>
      <c r="CC90" s="228">
        <v>854</v>
      </c>
      <c r="CD90" s="228">
        <v>888</v>
      </c>
      <c r="CE90" s="228">
        <v>-34</v>
      </c>
      <c r="CF90" s="229">
        <v>-3.8199999999999998E-2</v>
      </c>
      <c r="CG90" s="228">
        <v>0</v>
      </c>
      <c r="CH90" s="228">
        <v>0</v>
      </c>
      <c r="CI90" s="228">
        <v>0</v>
      </c>
      <c r="CJ90" s="229">
        <v>0</v>
      </c>
      <c r="CK90" s="228">
        <v>0</v>
      </c>
      <c r="CL90" s="228">
        <v>0</v>
      </c>
      <c r="CM90" s="228">
        <v>0</v>
      </c>
      <c r="CN90" s="229">
        <v>0</v>
      </c>
      <c r="CO90" s="228">
        <v>335</v>
      </c>
      <c r="CP90" s="228">
        <v>344</v>
      </c>
      <c r="CQ90" s="228">
        <v>-9</v>
      </c>
      <c r="CR90" s="229">
        <v>-2.7300000000000001E-2</v>
      </c>
      <c r="CS90" s="228">
        <v>162</v>
      </c>
      <c r="CT90" s="228">
        <v>192</v>
      </c>
      <c r="CU90" s="228">
        <v>-30</v>
      </c>
      <c r="CV90" s="229">
        <v>-0.15690000000000001</v>
      </c>
      <c r="CW90" s="230">
        <v>1351</v>
      </c>
      <c r="CX90" s="230">
        <v>1424</v>
      </c>
      <c r="CY90" s="228">
        <v>-73</v>
      </c>
      <c r="CZ90" s="229">
        <v>-5.16E-2</v>
      </c>
      <c r="DA90" s="228">
        <v>38.43</v>
      </c>
      <c r="DB90" s="228">
        <v>37.4</v>
      </c>
      <c r="DC90" s="228">
        <v>1.03</v>
      </c>
      <c r="DD90" s="228">
        <v>1.03</v>
      </c>
      <c r="DE90" s="228">
        <v>55.3</v>
      </c>
      <c r="DF90" s="228">
        <v>55.44</v>
      </c>
      <c r="DG90" s="228">
        <v>-16.87</v>
      </c>
      <c r="DH90" s="228">
        <v>-0.14000000000000001</v>
      </c>
      <c r="DI90" s="228">
        <v>38.58</v>
      </c>
      <c r="DJ90" s="228">
        <v>36.39</v>
      </c>
      <c r="DK90" s="228">
        <v>2.19</v>
      </c>
      <c r="DL90" s="228">
        <v>2.19</v>
      </c>
      <c r="DM90" s="228">
        <v>38.049999999999997</v>
      </c>
      <c r="DN90" s="228">
        <v>39.82</v>
      </c>
      <c r="DO90" s="228">
        <v>-1.77</v>
      </c>
      <c r="DP90" s="228">
        <v>-1.77</v>
      </c>
      <c r="DQ90" s="228">
        <v>0.48</v>
      </c>
      <c r="DR90" s="228">
        <v>0.56000000000000005</v>
      </c>
      <c r="DS90" s="228">
        <v>-0.08</v>
      </c>
      <c r="DT90" s="229">
        <v>-0.1429</v>
      </c>
      <c r="DU90" s="228">
        <v>280</v>
      </c>
      <c r="DV90" s="228">
        <v>260</v>
      </c>
      <c r="DW90" s="228">
        <v>0.38</v>
      </c>
      <c r="DX90" s="228">
        <v>0.42</v>
      </c>
      <c r="DY90" s="228">
        <v>-0.04</v>
      </c>
      <c r="DZ90" s="229">
        <v>-9.5200000000000007E-2</v>
      </c>
      <c r="EA90" s="229">
        <v>0</v>
      </c>
      <c r="EB90" s="228">
        <v>0</v>
      </c>
      <c r="EC90" s="229">
        <v>0</v>
      </c>
      <c r="ED90" s="229">
        <v>0</v>
      </c>
      <c r="EE90" s="228">
        <v>0</v>
      </c>
      <c r="EF90" s="229">
        <v>0</v>
      </c>
      <c r="EG90" s="230">
        <v>2097800</v>
      </c>
      <c r="EH90" s="230">
        <v>1924165</v>
      </c>
      <c r="EI90" s="229">
        <v>9.0200000000000002E-2</v>
      </c>
      <c r="EJ90" s="229">
        <v>0.3553</v>
      </c>
      <c r="EK90" s="228">
        <v>535.28</v>
      </c>
      <c r="EL90" s="228">
        <v>190.71</v>
      </c>
      <c r="EM90" s="228">
        <v>227.42</v>
      </c>
      <c r="EN90" s="228">
        <v>0</v>
      </c>
      <c r="EO90" s="228">
        <v>953.41</v>
      </c>
      <c r="EP90" s="228">
        <v>78.010000000000005</v>
      </c>
      <c r="EQ90" s="228">
        <v>875.41</v>
      </c>
      <c r="ER90" s="229">
        <v>11.2224</v>
      </c>
      <c r="ES90" s="228">
        <v>347.77</v>
      </c>
      <c r="ET90" s="228">
        <v>154.58000000000001</v>
      </c>
      <c r="EU90" s="228">
        <v>854.12</v>
      </c>
      <c r="EV90" s="231">
        <v>65482129</v>
      </c>
      <c r="EW90" s="231">
        <v>1356.47</v>
      </c>
      <c r="EX90" s="231">
        <v>1430.94</v>
      </c>
      <c r="EY90" s="228">
        <v>-74.47</v>
      </c>
      <c r="EZ90" s="229">
        <v>-5.1999999999999998E-2</v>
      </c>
      <c r="FA90" s="229">
        <v>0.75539999999999996</v>
      </c>
      <c r="FB90" s="227" t="s">
        <v>568</v>
      </c>
      <c r="FC90">
        <f t="shared" si="1"/>
        <v>0</v>
      </c>
    </row>
    <row r="91" spans="1:159" ht="17.25" thickBot="1" x14ac:dyDescent="0.3">
      <c r="A91" s="226">
        <v>45860</v>
      </c>
      <c r="B91" s="227" t="s">
        <v>193</v>
      </c>
      <c r="C91" s="227" t="s">
        <v>229</v>
      </c>
      <c r="D91" s="228">
        <v>2025</v>
      </c>
      <c r="E91" s="228">
        <v>9</v>
      </c>
      <c r="F91" s="228">
        <v>429.6</v>
      </c>
      <c r="G91" s="228">
        <v>432.8</v>
      </c>
      <c r="H91" s="228">
        <v>-3.2</v>
      </c>
      <c r="I91" s="229">
        <v>-7.4000000000000003E-3</v>
      </c>
      <c r="J91" s="228">
        <v>429.25</v>
      </c>
      <c r="K91" s="228">
        <v>431.7</v>
      </c>
      <c r="L91" s="228">
        <v>-2.4500000000000002</v>
      </c>
      <c r="M91" s="229">
        <v>-5.7000000000000002E-3</v>
      </c>
      <c r="N91" s="228">
        <v>429.6</v>
      </c>
      <c r="O91" s="228">
        <v>432.8</v>
      </c>
      <c r="P91" s="228">
        <v>-3.2</v>
      </c>
      <c r="Q91" s="229">
        <v>-7.4000000000000003E-3</v>
      </c>
      <c r="R91" s="228">
        <v>431.65</v>
      </c>
      <c r="S91" s="228">
        <v>434.75</v>
      </c>
      <c r="T91" s="228">
        <v>-3.1</v>
      </c>
      <c r="U91" s="229">
        <v>-7.1000000000000004E-3</v>
      </c>
      <c r="V91" s="228">
        <v>0</v>
      </c>
      <c r="W91" s="228">
        <v>0</v>
      </c>
      <c r="X91" s="228">
        <v>0</v>
      </c>
      <c r="Y91" s="229">
        <v>0</v>
      </c>
      <c r="Z91" s="228">
        <v>0.35</v>
      </c>
      <c r="AA91" s="228">
        <v>1.1000000000000001</v>
      </c>
      <c r="AB91" s="228">
        <v>-0.75</v>
      </c>
      <c r="AC91" s="229">
        <v>8.0000000000000004E-4</v>
      </c>
      <c r="AD91" s="228">
        <v>0.35</v>
      </c>
      <c r="AE91" s="228">
        <v>1.1000000000000001</v>
      </c>
      <c r="AF91" s="228">
        <v>-0.75</v>
      </c>
      <c r="AG91" s="229">
        <v>8.0000000000000004E-4</v>
      </c>
      <c r="AH91" s="228">
        <v>2.4</v>
      </c>
      <c r="AI91" s="228">
        <v>3.05</v>
      </c>
      <c r="AJ91" s="228">
        <v>-0.65</v>
      </c>
      <c r="AK91" s="229">
        <v>5.5999999999999999E-3</v>
      </c>
      <c r="AL91" s="228">
        <v>0</v>
      </c>
      <c r="AM91" s="228">
        <v>0</v>
      </c>
      <c r="AN91" s="228">
        <v>0</v>
      </c>
      <c r="AO91" s="229">
        <v>0</v>
      </c>
      <c r="AP91" s="228">
        <v>432.1</v>
      </c>
      <c r="AQ91" s="228">
        <v>434.19</v>
      </c>
      <c r="AR91" s="228">
        <v>0</v>
      </c>
      <c r="AS91" s="228">
        <v>219</v>
      </c>
      <c r="AT91" s="228">
        <v>191</v>
      </c>
      <c r="AU91" s="228">
        <v>28</v>
      </c>
      <c r="AV91" s="229">
        <v>0.14599999999999999</v>
      </c>
      <c r="AW91" s="228">
        <v>180</v>
      </c>
      <c r="AX91" s="228">
        <v>176</v>
      </c>
      <c r="AY91" s="228">
        <v>4</v>
      </c>
      <c r="AZ91" s="229">
        <v>2.1700000000000001E-2</v>
      </c>
      <c r="BA91" s="228">
        <v>38</v>
      </c>
      <c r="BB91" s="228">
        <v>13</v>
      </c>
      <c r="BC91" s="228">
        <v>26</v>
      </c>
      <c r="BD91" s="229">
        <v>2.0205000000000002</v>
      </c>
      <c r="BE91" s="228">
        <v>0</v>
      </c>
      <c r="BF91" s="228">
        <v>0</v>
      </c>
      <c r="BG91" s="228">
        <v>0</v>
      </c>
      <c r="BH91" s="229">
        <v>0</v>
      </c>
      <c r="BI91" s="228">
        <v>353</v>
      </c>
      <c r="BJ91" s="228">
        <v>349</v>
      </c>
      <c r="BK91" s="228">
        <v>4</v>
      </c>
      <c r="BL91" s="229">
        <v>1.0699999999999999E-2</v>
      </c>
      <c r="BM91" s="228">
        <v>203</v>
      </c>
      <c r="BN91" s="228">
        <v>250</v>
      </c>
      <c r="BO91" s="228">
        <v>-47</v>
      </c>
      <c r="BP91" s="229">
        <v>-0.1865</v>
      </c>
      <c r="BQ91" s="228">
        <v>776</v>
      </c>
      <c r="BR91" s="228">
        <v>791</v>
      </c>
      <c r="BS91" s="228">
        <v>-15</v>
      </c>
      <c r="BT91" s="229">
        <v>-1.89E-2</v>
      </c>
      <c r="BU91" s="230">
        <v>4320470</v>
      </c>
      <c r="BV91" s="230">
        <v>3573914</v>
      </c>
      <c r="BW91" s="230">
        <v>746556</v>
      </c>
      <c r="BX91" s="229">
        <v>0.2089</v>
      </c>
      <c r="BY91" s="230">
        <v>2351</v>
      </c>
      <c r="BZ91" s="230">
        <v>2333</v>
      </c>
      <c r="CA91" s="228">
        <v>18</v>
      </c>
      <c r="CB91" s="229">
        <v>7.6E-3</v>
      </c>
      <c r="CC91" s="230">
        <v>2212</v>
      </c>
      <c r="CD91" s="230">
        <v>2220</v>
      </c>
      <c r="CE91" s="228">
        <v>-8</v>
      </c>
      <c r="CF91" s="229">
        <v>-3.8E-3</v>
      </c>
      <c r="CG91" s="228">
        <v>132</v>
      </c>
      <c r="CH91" s="228">
        <v>105</v>
      </c>
      <c r="CI91" s="228">
        <v>26</v>
      </c>
      <c r="CJ91" s="229">
        <v>0.24959999999999999</v>
      </c>
      <c r="CK91" s="228">
        <v>0</v>
      </c>
      <c r="CL91" s="228">
        <v>0</v>
      </c>
      <c r="CM91" s="228">
        <v>0</v>
      </c>
      <c r="CN91" s="229">
        <v>0</v>
      </c>
      <c r="CO91" s="228">
        <v>720</v>
      </c>
      <c r="CP91" s="228">
        <v>714</v>
      </c>
      <c r="CQ91" s="228">
        <v>6</v>
      </c>
      <c r="CR91" s="229">
        <v>8.0000000000000002E-3</v>
      </c>
      <c r="CS91" s="228">
        <v>495</v>
      </c>
      <c r="CT91" s="228">
        <v>505</v>
      </c>
      <c r="CU91" s="228">
        <v>-10</v>
      </c>
      <c r="CV91" s="229">
        <v>-2.0299999999999999E-2</v>
      </c>
      <c r="CW91" s="230">
        <v>3566</v>
      </c>
      <c r="CX91" s="230">
        <v>3553</v>
      </c>
      <c r="CY91" s="228">
        <v>13</v>
      </c>
      <c r="CZ91" s="229">
        <v>3.7000000000000002E-3</v>
      </c>
      <c r="DA91" s="228">
        <v>33.75</v>
      </c>
      <c r="DB91" s="228">
        <v>35.64</v>
      </c>
      <c r="DC91" s="228">
        <v>-1.89</v>
      </c>
      <c r="DD91" s="228">
        <v>-1.89</v>
      </c>
      <c r="DE91" s="228">
        <v>44.22</v>
      </c>
      <c r="DF91" s="228">
        <v>44.32</v>
      </c>
      <c r="DG91" s="228">
        <v>-10.47</v>
      </c>
      <c r="DH91" s="228">
        <v>-0.1</v>
      </c>
      <c r="DI91" s="228">
        <v>34.51</v>
      </c>
      <c r="DJ91" s="228">
        <v>35.700000000000003</v>
      </c>
      <c r="DK91" s="228">
        <v>-1.19</v>
      </c>
      <c r="DL91" s="228">
        <v>-1.19</v>
      </c>
      <c r="DM91" s="228">
        <v>32.409999999999997</v>
      </c>
      <c r="DN91" s="228">
        <v>35.549999999999997</v>
      </c>
      <c r="DO91" s="228">
        <v>-3.14</v>
      </c>
      <c r="DP91" s="228">
        <v>-3.14</v>
      </c>
      <c r="DQ91" s="228">
        <v>0.69</v>
      </c>
      <c r="DR91" s="228">
        <v>0.71</v>
      </c>
      <c r="DS91" s="228">
        <v>-0.02</v>
      </c>
      <c r="DT91" s="229">
        <v>-2.8199999999999999E-2</v>
      </c>
      <c r="DU91" s="228">
        <v>450</v>
      </c>
      <c r="DV91" s="228">
        <v>420</v>
      </c>
      <c r="DW91" s="228">
        <v>0.57999999999999996</v>
      </c>
      <c r="DX91" s="228">
        <v>0.72</v>
      </c>
      <c r="DY91" s="228">
        <v>-0.14000000000000001</v>
      </c>
      <c r="DZ91" s="229">
        <v>-0.19439999999999999</v>
      </c>
      <c r="EA91" s="229">
        <v>5.6000000000000001E-2</v>
      </c>
      <c r="EB91" s="230">
        <v>2450250</v>
      </c>
      <c r="EC91" s="229">
        <v>4.7999999999999996E-3</v>
      </c>
      <c r="ED91" s="229">
        <v>5.6000000000000001E-2</v>
      </c>
      <c r="EE91" s="228">
        <v>2.09</v>
      </c>
      <c r="EF91" s="229">
        <v>4.7999999999999996E-3</v>
      </c>
      <c r="EG91" s="230">
        <v>2846410</v>
      </c>
      <c r="EH91" s="230">
        <v>1977752</v>
      </c>
      <c r="EI91" s="229">
        <v>0.43919999999999998</v>
      </c>
      <c r="EJ91" s="229">
        <v>0.65880000000000005</v>
      </c>
      <c r="EK91" s="228">
        <v>370.71</v>
      </c>
      <c r="EL91" s="228">
        <v>202.58</v>
      </c>
      <c r="EM91" s="228">
        <v>220.61</v>
      </c>
      <c r="EN91" s="228">
        <v>0</v>
      </c>
      <c r="EO91" s="228">
        <v>793.9</v>
      </c>
      <c r="EP91" s="228">
        <v>809.12</v>
      </c>
      <c r="EQ91" s="228">
        <v>-15.22</v>
      </c>
      <c r="ER91" s="229">
        <v>-1.8800000000000001E-2</v>
      </c>
      <c r="ES91" s="228">
        <v>758.39</v>
      </c>
      <c r="ET91" s="228">
        <v>477.51</v>
      </c>
      <c r="EU91" s="231">
        <v>2351.63</v>
      </c>
      <c r="EV91" s="231">
        <v>191910891</v>
      </c>
      <c r="EW91" s="231">
        <v>3587.54</v>
      </c>
      <c r="EX91" s="231">
        <v>3592.09</v>
      </c>
      <c r="EY91" s="228">
        <v>-4.55</v>
      </c>
      <c r="EZ91" s="229">
        <v>-1.2999999999999999E-3</v>
      </c>
      <c r="FA91" s="229">
        <v>0.4325</v>
      </c>
      <c r="FB91" s="227" t="s">
        <v>567</v>
      </c>
      <c r="FC91">
        <f t="shared" si="1"/>
        <v>139</v>
      </c>
    </row>
    <row r="92" spans="1:159" ht="17.25" thickBot="1" x14ac:dyDescent="0.3">
      <c r="A92" s="226">
        <v>45860</v>
      </c>
      <c r="B92" s="227" t="s">
        <v>168</v>
      </c>
      <c r="C92" s="227" t="s">
        <v>230</v>
      </c>
      <c r="D92" s="228">
        <v>300</v>
      </c>
      <c r="E92" s="228">
        <v>9</v>
      </c>
      <c r="F92" s="231">
        <v>2480.6999999999998</v>
      </c>
      <c r="G92" s="231">
        <v>2467.1</v>
      </c>
      <c r="H92" s="228">
        <v>13.6</v>
      </c>
      <c r="I92" s="229">
        <v>5.4999999999999997E-3</v>
      </c>
      <c r="J92" s="231">
        <v>2479.6999999999998</v>
      </c>
      <c r="K92" s="231">
        <v>2464.9</v>
      </c>
      <c r="L92" s="228">
        <v>14.8</v>
      </c>
      <c r="M92" s="229">
        <v>6.0000000000000001E-3</v>
      </c>
      <c r="N92" s="231">
        <v>2480.6999999999998</v>
      </c>
      <c r="O92" s="231">
        <v>2467.1</v>
      </c>
      <c r="P92" s="228">
        <v>13.6</v>
      </c>
      <c r="Q92" s="229">
        <v>5.4999999999999997E-3</v>
      </c>
      <c r="R92" s="231">
        <v>2493.9</v>
      </c>
      <c r="S92" s="231">
        <v>2479.4</v>
      </c>
      <c r="T92" s="228">
        <v>14.5</v>
      </c>
      <c r="U92" s="229">
        <v>5.7999999999999996E-3</v>
      </c>
      <c r="V92" s="228">
        <v>0</v>
      </c>
      <c r="W92" s="228">
        <v>0</v>
      </c>
      <c r="X92" s="228">
        <v>0</v>
      </c>
      <c r="Y92" s="229">
        <v>0</v>
      </c>
      <c r="Z92" s="228">
        <v>1</v>
      </c>
      <c r="AA92" s="228">
        <v>2.2000000000000002</v>
      </c>
      <c r="AB92" s="228">
        <v>-1.2</v>
      </c>
      <c r="AC92" s="229">
        <v>4.0000000000000002E-4</v>
      </c>
      <c r="AD92" s="228">
        <v>1</v>
      </c>
      <c r="AE92" s="228">
        <v>2.2000000000000002</v>
      </c>
      <c r="AF92" s="228">
        <v>-1.2</v>
      </c>
      <c r="AG92" s="229">
        <v>4.0000000000000002E-4</v>
      </c>
      <c r="AH92" s="228">
        <v>14.2</v>
      </c>
      <c r="AI92" s="228">
        <v>14.5</v>
      </c>
      <c r="AJ92" s="228">
        <v>-0.3</v>
      </c>
      <c r="AK92" s="229">
        <v>5.7000000000000002E-3</v>
      </c>
      <c r="AL92" s="228">
        <v>0</v>
      </c>
      <c r="AM92" s="228">
        <v>0</v>
      </c>
      <c r="AN92" s="228">
        <v>0</v>
      </c>
      <c r="AO92" s="229">
        <v>0</v>
      </c>
      <c r="AP92" s="231">
        <v>2472.11</v>
      </c>
      <c r="AQ92" s="231">
        <v>2486.29</v>
      </c>
      <c r="AR92" s="228">
        <v>0</v>
      </c>
      <c r="AS92" s="228">
        <v>347</v>
      </c>
      <c r="AT92" s="228">
        <v>538</v>
      </c>
      <c r="AU92" s="228">
        <v>-191</v>
      </c>
      <c r="AV92" s="229">
        <v>-0.35520000000000002</v>
      </c>
      <c r="AW92" s="228">
        <v>319</v>
      </c>
      <c r="AX92" s="228">
        <v>487</v>
      </c>
      <c r="AY92" s="228">
        <v>-168</v>
      </c>
      <c r="AZ92" s="229">
        <v>-0.34420000000000001</v>
      </c>
      <c r="BA92" s="228">
        <v>26</v>
      </c>
      <c r="BB92" s="228">
        <v>45</v>
      </c>
      <c r="BC92" s="228">
        <v>-19</v>
      </c>
      <c r="BD92" s="229">
        <v>-0.41749999999999998</v>
      </c>
      <c r="BE92" s="228">
        <v>0</v>
      </c>
      <c r="BF92" s="228">
        <v>0</v>
      </c>
      <c r="BG92" s="228">
        <v>0</v>
      </c>
      <c r="BH92" s="229">
        <v>0</v>
      </c>
      <c r="BI92" s="230">
        <v>1547</v>
      </c>
      <c r="BJ92" s="230">
        <v>2094</v>
      </c>
      <c r="BK92" s="228">
        <v>-547</v>
      </c>
      <c r="BL92" s="229">
        <v>-0.26119999999999999</v>
      </c>
      <c r="BM92" s="228">
        <v>725</v>
      </c>
      <c r="BN92" s="230">
        <v>1771</v>
      </c>
      <c r="BO92" s="230">
        <v>-1046</v>
      </c>
      <c r="BP92" s="229">
        <v>-0.59079999999999999</v>
      </c>
      <c r="BQ92" s="230">
        <v>2618</v>
      </c>
      <c r="BR92" s="230">
        <v>4403</v>
      </c>
      <c r="BS92" s="230">
        <v>-1784</v>
      </c>
      <c r="BT92" s="229">
        <v>-0.40529999999999999</v>
      </c>
      <c r="BU92" s="230">
        <v>869826</v>
      </c>
      <c r="BV92" s="230">
        <v>1200501</v>
      </c>
      <c r="BW92" s="230">
        <v>-330675</v>
      </c>
      <c r="BX92" s="229">
        <v>-0.27539999999999998</v>
      </c>
      <c r="BY92" s="230">
        <v>4009</v>
      </c>
      <c r="BZ92" s="230">
        <v>4069</v>
      </c>
      <c r="CA92" s="228">
        <v>-60</v>
      </c>
      <c r="CB92" s="229">
        <v>-1.4800000000000001E-2</v>
      </c>
      <c r="CC92" s="230">
        <v>3576</v>
      </c>
      <c r="CD92" s="230">
        <v>3649</v>
      </c>
      <c r="CE92" s="228">
        <v>-73</v>
      </c>
      <c r="CF92" s="229">
        <v>-1.9900000000000001E-2</v>
      </c>
      <c r="CG92" s="228">
        <v>417</v>
      </c>
      <c r="CH92" s="228">
        <v>405</v>
      </c>
      <c r="CI92" s="228">
        <v>12</v>
      </c>
      <c r="CJ92" s="229">
        <v>3.04E-2</v>
      </c>
      <c r="CK92" s="228">
        <v>0</v>
      </c>
      <c r="CL92" s="228">
        <v>0</v>
      </c>
      <c r="CM92" s="228">
        <v>0</v>
      </c>
      <c r="CN92" s="229">
        <v>0</v>
      </c>
      <c r="CO92" s="230">
        <v>2486</v>
      </c>
      <c r="CP92" s="230">
        <v>2520</v>
      </c>
      <c r="CQ92" s="228">
        <v>-34</v>
      </c>
      <c r="CR92" s="229">
        <v>-1.37E-2</v>
      </c>
      <c r="CS92" s="230">
        <v>1762</v>
      </c>
      <c r="CT92" s="230">
        <v>1767</v>
      </c>
      <c r="CU92" s="228">
        <v>-4</v>
      </c>
      <c r="CV92" s="229">
        <v>-2.5000000000000001E-3</v>
      </c>
      <c r="CW92" s="230">
        <v>8256</v>
      </c>
      <c r="CX92" s="230">
        <v>8356</v>
      </c>
      <c r="CY92" s="228">
        <v>-99</v>
      </c>
      <c r="CZ92" s="229">
        <v>-1.1900000000000001E-2</v>
      </c>
      <c r="DA92" s="228">
        <v>14.77</v>
      </c>
      <c r="DB92" s="228">
        <v>14.75</v>
      </c>
      <c r="DC92" s="228">
        <v>0.02</v>
      </c>
      <c r="DD92" s="228">
        <v>0.02</v>
      </c>
      <c r="DE92" s="228">
        <v>23.14</v>
      </c>
      <c r="DF92" s="228">
        <v>23.18</v>
      </c>
      <c r="DG92" s="228">
        <v>-8.3699999999999992</v>
      </c>
      <c r="DH92" s="228">
        <v>-0.04</v>
      </c>
      <c r="DI92" s="228">
        <v>14.72</v>
      </c>
      <c r="DJ92" s="228">
        <v>15.19</v>
      </c>
      <c r="DK92" s="228">
        <v>-0.47</v>
      </c>
      <c r="DL92" s="228">
        <v>-0.47</v>
      </c>
      <c r="DM92" s="228">
        <v>14.89</v>
      </c>
      <c r="DN92" s="228">
        <v>14.23</v>
      </c>
      <c r="DO92" s="228">
        <v>0.66</v>
      </c>
      <c r="DP92" s="228">
        <v>0.66</v>
      </c>
      <c r="DQ92" s="228">
        <v>0.71</v>
      </c>
      <c r="DR92" s="228">
        <v>0.7</v>
      </c>
      <c r="DS92" s="228">
        <v>0.01</v>
      </c>
      <c r="DT92" s="229">
        <v>1.43E-2</v>
      </c>
      <c r="DU92" s="231">
        <v>2560</v>
      </c>
      <c r="DV92" s="231">
        <v>2400</v>
      </c>
      <c r="DW92" s="228">
        <v>0.47</v>
      </c>
      <c r="DX92" s="228">
        <v>0.85</v>
      </c>
      <c r="DY92" s="228">
        <v>-0.38</v>
      </c>
      <c r="DZ92" s="229">
        <v>-0.4471</v>
      </c>
      <c r="EA92" s="229">
        <v>0.104</v>
      </c>
      <c r="EB92" s="230">
        <v>1630800</v>
      </c>
      <c r="EC92" s="229">
        <v>5.3E-3</v>
      </c>
      <c r="ED92" s="229">
        <v>0.104</v>
      </c>
      <c r="EE92" s="228">
        <v>14.18</v>
      </c>
      <c r="EF92" s="229">
        <v>5.7000000000000002E-3</v>
      </c>
      <c r="EG92" s="230">
        <v>613296</v>
      </c>
      <c r="EH92" s="230">
        <v>823668</v>
      </c>
      <c r="EI92" s="229">
        <v>-0.25540000000000002</v>
      </c>
      <c r="EJ92" s="229">
        <v>0.70509999999999995</v>
      </c>
      <c r="EK92" s="231">
        <v>1581.27</v>
      </c>
      <c r="EL92" s="228">
        <v>713.93</v>
      </c>
      <c r="EM92" s="228">
        <v>345.91</v>
      </c>
      <c r="EN92" s="228">
        <v>0</v>
      </c>
      <c r="EO92" s="231">
        <v>2641.12</v>
      </c>
      <c r="EP92" s="231">
        <v>4437.05</v>
      </c>
      <c r="EQ92" s="231">
        <v>-1795.94</v>
      </c>
      <c r="ER92" s="229">
        <v>-0.40479999999999999</v>
      </c>
      <c r="ES92" s="231">
        <v>2506.86</v>
      </c>
      <c r="ET92" s="231">
        <v>1671.03</v>
      </c>
      <c r="EU92" s="231">
        <v>4010.92</v>
      </c>
      <c r="EV92" s="231">
        <v>179035680</v>
      </c>
      <c r="EW92" s="231">
        <v>8188.81</v>
      </c>
      <c r="EX92" s="231">
        <v>8266.02</v>
      </c>
      <c r="EY92" s="228">
        <v>-77.209999999999994</v>
      </c>
      <c r="EZ92" s="229">
        <v>-9.2999999999999992E-3</v>
      </c>
      <c r="FA92" s="229">
        <v>0.18590000000000001</v>
      </c>
      <c r="FB92" s="227" t="s">
        <v>556</v>
      </c>
      <c r="FC92">
        <f t="shared" si="1"/>
        <v>433</v>
      </c>
    </row>
    <row r="93" spans="1:159" ht="17.25" thickBot="1" x14ac:dyDescent="0.3">
      <c r="A93" s="226">
        <v>45860</v>
      </c>
      <c r="B93" s="227" t="s">
        <v>227</v>
      </c>
      <c r="C93" s="227" t="s">
        <v>670</v>
      </c>
      <c r="D93" s="228">
        <v>1225</v>
      </c>
      <c r="E93" s="228">
        <v>9</v>
      </c>
      <c r="F93" s="228">
        <v>443.4</v>
      </c>
      <c r="G93" s="228">
        <v>445.05</v>
      </c>
      <c r="H93" s="228">
        <v>-1.65</v>
      </c>
      <c r="I93" s="229">
        <v>-3.7000000000000002E-3</v>
      </c>
      <c r="J93" s="228">
        <v>443.2</v>
      </c>
      <c r="K93" s="228">
        <v>444.65</v>
      </c>
      <c r="L93" s="228">
        <v>-1.45</v>
      </c>
      <c r="M93" s="229">
        <v>-3.3E-3</v>
      </c>
      <c r="N93" s="228">
        <v>443.4</v>
      </c>
      <c r="O93" s="228">
        <v>445.05</v>
      </c>
      <c r="P93" s="228">
        <v>-1.65</v>
      </c>
      <c r="Q93" s="229">
        <v>-3.7000000000000002E-3</v>
      </c>
      <c r="R93" s="228">
        <v>445.75</v>
      </c>
      <c r="S93" s="228">
        <v>447.4</v>
      </c>
      <c r="T93" s="228">
        <v>-1.65</v>
      </c>
      <c r="U93" s="229">
        <v>-3.7000000000000002E-3</v>
      </c>
      <c r="V93" s="228">
        <v>0</v>
      </c>
      <c r="W93" s="228">
        <v>0</v>
      </c>
      <c r="X93" s="228">
        <v>0</v>
      </c>
      <c r="Y93" s="229">
        <v>0</v>
      </c>
      <c r="Z93" s="228">
        <v>0.2</v>
      </c>
      <c r="AA93" s="228">
        <v>0.4</v>
      </c>
      <c r="AB93" s="228">
        <v>-0.2</v>
      </c>
      <c r="AC93" s="229">
        <v>5.0000000000000001E-4</v>
      </c>
      <c r="AD93" s="228">
        <v>0.2</v>
      </c>
      <c r="AE93" s="228">
        <v>0.4</v>
      </c>
      <c r="AF93" s="228">
        <v>-0.2</v>
      </c>
      <c r="AG93" s="229">
        <v>5.0000000000000001E-4</v>
      </c>
      <c r="AH93" s="228">
        <v>2.5499999999999998</v>
      </c>
      <c r="AI93" s="228">
        <v>2.75</v>
      </c>
      <c r="AJ93" s="228">
        <v>-0.2</v>
      </c>
      <c r="AK93" s="229">
        <v>5.7999999999999996E-3</v>
      </c>
      <c r="AL93" s="228">
        <v>0</v>
      </c>
      <c r="AM93" s="228">
        <v>0</v>
      </c>
      <c r="AN93" s="228">
        <v>0</v>
      </c>
      <c r="AO93" s="229">
        <v>0</v>
      </c>
      <c r="AP93" s="228">
        <v>445.1</v>
      </c>
      <c r="AQ93" s="228">
        <v>447.67</v>
      </c>
      <c r="AR93" s="228">
        <v>0</v>
      </c>
      <c r="AS93" s="228">
        <v>140</v>
      </c>
      <c r="AT93" s="228">
        <v>316</v>
      </c>
      <c r="AU93" s="228">
        <v>-176</v>
      </c>
      <c r="AV93" s="229">
        <v>-0.55659999999999998</v>
      </c>
      <c r="AW93" s="228">
        <v>109</v>
      </c>
      <c r="AX93" s="228">
        <v>252</v>
      </c>
      <c r="AY93" s="228">
        <v>-143</v>
      </c>
      <c r="AZ93" s="229">
        <v>-0.56699999999999995</v>
      </c>
      <c r="BA93" s="228">
        <v>30</v>
      </c>
      <c r="BB93" s="228">
        <v>61</v>
      </c>
      <c r="BC93" s="228">
        <v>-31</v>
      </c>
      <c r="BD93" s="229">
        <v>-0.50939999999999996</v>
      </c>
      <c r="BE93" s="228">
        <v>0</v>
      </c>
      <c r="BF93" s="228">
        <v>0</v>
      </c>
      <c r="BG93" s="228">
        <v>0</v>
      </c>
      <c r="BH93" s="229">
        <v>0</v>
      </c>
      <c r="BI93" s="228">
        <v>293</v>
      </c>
      <c r="BJ93" s="228">
        <v>779</v>
      </c>
      <c r="BK93" s="228">
        <v>-485</v>
      </c>
      <c r="BL93" s="229">
        <v>-0.62350000000000005</v>
      </c>
      <c r="BM93" s="228">
        <v>149</v>
      </c>
      <c r="BN93" s="228">
        <v>504</v>
      </c>
      <c r="BO93" s="228">
        <v>-355</v>
      </c>
      <c r="BP93" s="229">
        <v>-0.70369999999999999</v>
      </c>
      <c r="BQ93" s="228">
        <v>583</v>
      </c>
      <c r="BR93" s="230">
        <v>1599</v>
      </c>
      <c r="BS93" s="230">
        <v>-1016</v>
      </c>
      <c r="BT93" s="229">
        <v>-0.63549999999999995</v>
      </c>
      <c r="BU93" s="230">
        <v>2071239</v>
      </c>
      <c r="BV93" s="230">
        <v>4214869</v>
      </c>
      <c r="BW93" s="230">
        <v>-2143630</v>
      </c>
      <c r="BX93" s="229">
        <v>-0.50860000000000005</v>
      </c>
      <c r="BY93" s="230">
        <v>1685</v>
      </c>
      <c r="BZ93" s="230">
        <v>1701</v>
      </c>
      <c r="CA93" s="228">
        <v>-16</v>
      </c>
      <c r="CB93" s="229">
        <v>-9.4999999999999998E-3</v>
      </c>
      <c r="CC93" s="230">
        <v>1522</v>
      </c>
      <c r="CD93" s="230">
        <v>1549</v>
      </c>
      <c r="CE93" s="228">
        <v>-27</v>
      </c>
      <c r="CF93" s="229">
        <v>-1.77E-2</v>
      </c>
      <c r="CG93" s="228">
        <v>155</v>
      </c>
      <c r="CH93" s="228">
        <v>143</v>
      </c>
      <c r="CI93" s="228">
        <v>12</v>
      </c>
      <c r="CJ93" s="229">
        <v>8.0699999999999994E-2</v>
      </c>
      <c r="CK93" s="228">
        <v>0</v>
      </c>
      <c r="CL93" s="228">
        <v>0</v>
      </c>
      <c r="CM93" s="228">
        <v>0</v>
      </c>
      <c r="CN93" s="229">
        <v>0</v>
      </c>
      <c r="CO93" s="228">
        <v>978</v>
      </c>
      <c r="CP93" s="230">
        <v>1002</v>
      </c>
      <c r="CQ93" s="228">
        <v>-24</v>
      </c>
      <c r="CR93" s="229">
        <v>-2.35E-2</v>
      </c>
      <c r="CS93" s="228">
        <v>573</v>
      </c>
      <c r="CT93" s="228">
        <v>607</v>
      </c>
      <c r="CU93" s="228">
        <v>-34</v>
      </c>
      <c r="CV93" s="229">
        <v>-5.6800000000000003E-2</v>
      </c>
      <c r="CW93" s="230">
        <v>3237</v>
      </c>
      <c r="CX93" s="230">
        <v>3311</v>
      </c>
      <c r="CY93" s="228">
        <v>-74</v>
      </c>
      <c r="CZ93" s="229">
        <v>-2.24E-2</v>
      </c>
      <c r="DA93" s="228">
        <v>28.17</v>
      </c>
      <c r="DB93" s="228">
        <v>27.46</v>
      </c>
      <c r="DC93" s="228">
        <v>0.71</v>
      </c>
      <c r="DD93" s="228">
        <v>0.71</v>
      </c>
      <c r="DE93" s="228">
        <v>47.43</v>
      </c>
      <c r="DF93" s="228">
        <v>47.55</v>
      </c>
      <c r="DG93" s="228">
        <v>-19.260000000000002</v>
      </c>
      <c r="DH93" s="228">
        <v>-0.12</v>
      </c>
      <c r="DI93" s="228">
        <v>28.31</v>
      </c>
      <c r="DJ93" s="228">
        <v>27.49</v>
      </c>
      <c r="DK93" s="228">
        <v>0.82</v>
      </c>
      <c r="DL93" s="228">
        <v>0.82</v>
      </c>
      <c r="DM93" s="228">
        <v>27.88</v>
      </c>
      <c r="DN93" s="228">
        <v>27.42</v>
      </c>
      <c r="DO93" s="228">
        <v>0.46</v>
      </c>
      <c r="DP93" s="228">
        <v>0.46</v>
      </c>
      <c r="DQ93" s="228">
        <v>0.59</v>
      </c>
      <c r="DR93" s="228">
        <v>0.61</v>
      </c>
      <c r="DS93" s="228">
        <v>-0.02</v>
      </c>
      <c r="DT93" s="229">
        <v>-3.2800000000000003E-2</v>
      </c>
      <c r="DU93" s="228">
        <v>450</v>
      </c>
      <c r="DV93" s="228">
        <v>440</v>
      </c>
      <c r="DW93" s="228">
        <v>0.51</v>
      </c>
      <c r="DX93" s="228">
        <v>0.65</v>
      </c>
      <c r="DY93" s="228">
        <v>-0.14000000000000001</v>
      </c>
      <c r="DZ93" s="229">
        <v>-0.21540000000000001</v>
      </c>
      <c r="EA93" s="229">
        <v>9.1999999999999998E-2</v>
      </c>
      <c r="EB93" s="230">
        <v>3234000</v>
      </c>
      <c r="EC93" s="229">
        <v>5.3E-3</v>
      </c>
      <c r="ED93" s="229">
        <v>9.1999999999999998E-2</v>
      </c>
      <c r="EE93" s="228">
        <v>2.57</v>
      </c>
      <c r="EF93" s="229">
        <v>5.7999999999999996E-3</v>
      </c>
      <c r="EG93" s="230">
        <v>1129835</v>
      </c>
      <c r="EH93" s="230">
        <v>2074684</v>
      </c>
      <c r="EI93" s="229">
        <v>-0.45540000000000003</v>
      </c>
      <c r="EJ93" s="229">
        <v>0.54549999999999998</v>
      </c>
      <c r="EK93" s="228">
        <v>308.24</v>
      </c>
      <c r="EL93" s="228">
        <v>145.66999999999999</v>
      </c>
      <c r="EM93" s="228">
        <v>140.97</v>
      </c>
      <c r="EN93" s="228">
        <v>0</v>
      </c>
      <c r="EO93" s="228">
        <v>594.88</v>
      </c>
      <c r="EP93" s="231">
        <v>1622.03</v>
      </c>
      <c r="EQ93" s="231">
        <v>-1027.1600000000001</v>
      </c>
      <c r="ER93" s="229">
        <v>-0.63329999999999997</v>
      </c>
      <c r="ES93" s="231">
        <v>1043.01</v>
      </c>
      <c r="ET93" s="228">
        <v>568.17999999999995</v>
      </c>
      <c r="EU93" s="231">
        <v>1686.09</v>
      </c>
      <c r="EV93" s="231">
        <v>309154116</v>
      </c>
      <c r="EW93" s="231">
        <v>3297.29</v>
      </c>
      <c r="EX93" s="231">
        <v>3377.32</v>
      </c>
      <c r="EY93" s="228">
        <v>-80.03</v>
      </c>
      <c r="EZ93" s="229">
        <v>-2.3699999999999999E-2</v>
      </c>
      <c r="FA93" s="229">
        <v>0.2361</v>
      </c>
      <c r="FB93" s="227" t="s">
        <v>568</v>
      </c>
      <c r="FC93">
        <f t="shared" si="1"/>
        <v>163</v>
      </c>
    </row>
    <row r="94" spans="1:159" ht="17.25" thickBot="1" x14ac:dyDescent="0.3">
      <c r="A94" s="226">
        <v>45860</v>
      </c>
      <c r="B94" s="227" t="s">
        <v>206</v>
      </c>
      <c r="C94" s="227" t="s">
        <v>609</v>
      </c>
      <c r="D94" s="228">
        <v>2775</v>
      </c>
      <c r="E94" s="228">
        <v>9</v>
      </c>
      <c r="F94" s="228">
        <v>225.45</v>
      </c>
      <c r="G94" s="228">
        <v>228.5</v>
      </c>
      <c r="H94" s="228">
        <v>-3.05</v>
      </c>
      <c r="I94" s="229">
        <v>-1.3299999999999999E-2</v>
      </c>
      <c r="J94" s="228">
        <v>225.46</v>
      </c>
      <c r="K94" s="228">
        <v>227.61</v>
      </c>
      <c r="L94" s="228">
        <v>-2.15</v>
      </c>
      <c r="M94" s="229">
        <v>-9.4000000000000004E-3</v>
      </c>
      <c r="N94" s="228">
        <v>225.45</v>
      </c>
      <c r="O94" s="228">
        <v>228.5</v>
      </c>
      <c r="P94" s="228">
        <v>-3.05</v>
      </c>
      <c r="Q94" s="229">
        <v>-1.3299999999999999E-2</v>
      </c>
      <c r="R94" s="228">
        <v>226.65</v>
      </c>
      <c r="S94" s="228">
        <v>229.51</v>
      </c>
      <c r="T94" s="228">
        <v>-2.86</v>
      </c>
      <c r="U94" s="229">
        <v>-1.2500000000000001E-2</v>
      </c>
      <c r="V94" s="228">
        <v>0</v>
      </c>
      <c r="W94" s="228">
        <v>0</v>
      </c>
      <c r="X94" s="228">
        <v>0</v>
      </c>
      <c r="Y94" s="229">
        <v>0</v>
      </c>
      <c r="Z94" s="228">
        <v>-0.01</v>
      </c>
      <c r="AA94" s="228">
        <v>0.89</v>
      </c>
      <c r="AB94" s="228">
        <v>-0.9</v>
      </c>
      <c r="AC94" s="229">
        <v>0</v>
      </c>
      <c r="AD94" s="228">
        <v>-0.01</v>
      </c>
      <c r="AE94" s="228">
        <v>0.89</v>
      </c>
      <c r="AF94" s="228">
        <v>-0.9</v>
      </c>
      <c r="AG94" s="229">
        <v>0</v>
      </c>
      <c r="AH94" s="228">
        <v>1.19</v>
      </c>
      <c r="AI94" s="228">
        <v>1.9</v>
      </c>
      <c r="AJ94" s="228">
        <v>-0.71</v>
      </c>
      <c r="AK94" s="229">
        <v>5.3E-3</v>
      </c>
      <c r="AL94" s="228">
        <v>0</v>
      </c>
      <c r="AM94" s="228">
        <v>0</v>
      </c>
      <c r="AN94" s="228">
        <v>0</v>
      </c>
      <c r="AO94" s="229">
        <v>0</v>
      </c>
      <c r="AP94" s="228">
        <v>227.07</v>
      </c>
      <c r="AQ94" s="228">
        <v>228.27</v>
      </c>
      <c r="AR94" s="228">
        <v>0</v>
      </c>
      <c r="AS94" s="228">
        <v>91</v>
      </c>
      <c r="AT94" s="228">
        <v>121</v>
      </c>
      <c r="AU94" s="228">
        <v>-30</v>
      </c>
      <c r="AV94" s="229">
        <v>-0.24479999999999999</v>
      </c>
      <c r="AW94" s="228">
        <v>75</v>
      </c>
      <c r="AX94" s="228">
        <v>101</v>
      </c>
      <c r="AY94" s="228">
        <v>-26</v>
      </c>
      <c r="AZ94" s="229">
        <v>-0.2616</v>
      </c>
      <c r="BA94" s="228">
        <v>16</v>
      </c>
      <c r="BB94" s="228">
        <v>19</v>
      </c>
      <c r="BC94" s="228">
        <v>-3</v>
      </c>
      <c r="BD94" s="229">
        <v>-0.15859999999999999</v>
      </c>
      <c r="BE94" s="228">
        <v>0</v>
      </c>
      <c r="BF94" s="228">
        <v>0</v>
      </c>
      <c r="BG94" s="228">
        <v>0</v>
      </c>
      <c r="BH94" s="229">
        <v>0</v>
      </c>
      <c r="BI94" s="228">
        <v>202</v>
      </c>
      <c r="BJ94" s="228">
        <v>244</v>
      </c>
      <c r="BK94" s="228">
        <v>-41</v>
      </c>
      <c r="BL94" s="229">
        <v>-0.16969999999999999</v>
      </c>
      <c r="BM94" s="228">
        <v>91</v>
      </c>
      <c r="BN94" s="228">
        <v>113</v>
      </c>
      <c r="BO94" s="228">
        <v>-22</v>
      </c>
      <c r="BP94" s="229">
        <v>-0.19189999999999999</v>
      </c>
      <c r="BQ94" s="228">
        <v>385</v>
      </c>
      <c r="BR94" s="228">
        <v>478</v>
      </c>
      <c r="BS94" s="228">
        <v>-93</v>
      </c>
      <c r="BT94" s="229">
        <v>-0.19389999999999999</v>
      </c>
      <c r="BU94" s="230">
        <v>1969591</v>
      </c>
      <c r="BV94" s="230">
        <v>2365624</v>
      </c>
      <c r="BW94" s="230">
        <v>-396033</v>
      </c>
      <c r="BX94" s="229">
        <v>-0.16739999999999999</v>
      </c>
      <c r="BY94" s="228">
        <v>965</v>
      </c>
      <c r="BZ94" s="228">
        <v>953</v>
      </c>
      <c r="CA94" s="228">
        <v>11</v>
      </c>
      <c r="CB94" s="229">
        <v>1.1900000000000001E-2</v>
      </c>
      <c r="CC94" s="228">
        <v>888</v>
      </c>
      <c r="CD94" s="228">
        <v>885</v>
      </c>
      <c r="CE94" s="228">
        <v>3</v>
      </c>
      <c r="CF94" s="229">
        <v>3.0000000000000001E-3</v>
      </c>
      <c r="CG94" s="228">
        <v>71</v>
      </c>
      <c r="CH94" s="228">
        <v>63</v>
      </c>
      <c r="CI94" s="228">
        <v>9</v>
      </c>
      <c r="CJ94" s="229">
        <v>0.13750000000000001</v>
      </c>
      <c r="CK94" s="228">
        <v>0</v>
      </c>
      <c r="CL94" s="228">
        <v>0</v>
      </c>
      <c r="CM94" s="228">
        <v>0</v>
      </c>
      <c r="CN94" s="229">
        <v>0</v>
      </c>
      <c r="CO94" s="228">
        <v>382</v>
      </c>
      <c r="CP94" s="228">
        <v>391</v>
      </c>
      <c r="CQ94" s="228">
        <v>-9</v>
      </c>
      <c r="CR94" s="229">
        <v>-2.2599999999999999E-2</v>
      </c>
      <c r="CS94" s="228">
        <v>205</v>
      </c>
      <c r="CT94" s="228">
        <v>215</v>
      </c>
      <c r="CU94" s="228">
        <v>-9</v>
      </c>
      <c r="CV94" s="229">
        <v>-4.3700000000000003E-2</v>
      </c>
      <c r="CW94" s="230">
        <v>1552</v>
      </c>
      <c r="CX94" s="230">
        <v>1559</v>
      </c>
      <c r="CY94" s="228">
        <v>-7</v>
      </c>
      <c r="CZ94" s="229">
        <v>-4.4000000000000003E-3</v>
      </c>
      <c r="DA94" s="228">
        <v>38.74</v>
      </c>
      <c r="DB94" s="228">
        <v>35.81</v>
      </c>
      <c r="DC94" s="228">
        <v>2.93</v>
      </c>
      <c r="DD94" s="228">
        <v>2.93</v>
      </c>
      <c r="DE94" s="228">
        <v>58.46</v>
      </c>
      <c r="DF94" s="228">
        <v>58.58</v>
      </c>
      <c r="DG94" s="228">
        <v>-19.72</v>
      </c>
      <c r="DH94" s="228">
        <v>-0.12</v>
      </c>
      <c r="DI94" s="228">
        <v>39.49</v>
      </c>
      <c r="DJ94" s="228">
        <v>36.11</v>
      </c>
      <c r="DK94" s="228">
        <v>3.38</v>
      </c>
      <c r="DL94" s="228">
        <v>3.38</v>
      </c>
      <c r="DM94" s="228">
        <v>37.08</v>
      </c>
      <c r="DN94" s="228">
        <v>35.18</v>
      </c>
      <c r="DO94" s="228">
        <v>1.9</v>
      </c>
      <c r="DP94" s="228">
        <v>1.9</v>
      </c>
      <c r="DQ94" s="228">
        <v>0.54</v>
      </c>
      <c r="DR94" s="228">
        <v>0.55000000000000004</v>
      </c>
      <c r="DS94" s="228">
        <v>-0.01</v>
      </c>
      <c r="DT94" s="229">
        <v>-1.8200000000000001E-2</v>
      </c>
      <c r="DU94" s="228">
        <v>240</v>
      </c>
      <c r="DV94" s="228">
        <v>240</v>
      </c>
      <c r="DW94" s="228">
        <v>0.45</v>
      </c>
      <c r="DX94" s="228">
        <v>0.46</v>
      </c>
      <c r="DY94" s="228">
        <v>-0.01</v>
      </c>
      <c r="DZ94" s="229">
        <v>-2.1700000000000001E-2</v>
      </c>
      <c r="EA94" s="229">
        <v>7.4099999999999999E-2</v>
      </c>
      <c r="EB94" s="230">
        <v>2786100</v>
      </c>
      <c r="EC94" s="229">
        <v>5.3E-3</v>
      </c>
      <c r="ED94" s="229">
        <v>7.4099999999999999E-2</v>
      </c>
      <c r="EE94" s="228">
        <v>1.2</v>
      </c>
      <c r="EF94" s="229">
        <v>5.3E-3</v>
      </c>
      <c r="EG94" s="230">
        <v>718321</v>
      </c>
      <c r="EH94" s="230">
        <v>693839</v>
      </c>
      <c r="EI94" s="229">
        <v>3.5299999999999998E-2</v>
      </c>
      <c r="EJ94" s="229">
        <v>0.36470000000000002</v>
      </c>
      <c r="EK94" s="228">
        <v>216.33</v>
      </c>
      <c r="EL94" s="228">
        <v>95.51</v>
      </c>
      <c r="EM94" s="228">
        <v>92.02</v>
      </c>
      <c r="EN94" s="228">
        <v>0</v>
      </c>
      <c r="EO94" s="228">
        <v>403.86</v>
      </c>
      <c r="EP94" s="228">
        <v>496.29</v>
      </c>
      <c r="EQ94" s="228">
        <v>-92.44</v>
      </c>
      <c r="ER94" s="229">
        <v>-0.18629999999999999</v>
      </c>
      <c r="ES94" s="228">
        <v>412.09</v>
      </c>
      <c r="ET94" s="228">
        <v>207.97</v>
      </c>
      <c r="EU94" s="228">
        <v>965.12</v>
      </c>
      <c r="EV94" s="231">
        <v>100095000</v>
      </c>
      <c r="EW94" s="231">
        <v>1585.19</v>
      </c>
      <c r="EX94" s="231">
        <v>1606.58</v>
      </c>
      <c r="EY94" s="228">
        <v>-21.39</v>
      </c>
      <c r="EZ94" s="229">
        <v>-1.3299999999999999E-2</v>
      </c>
      <c r="FA94" s="229">
        <v>0.68799999999999994</v>
      </c>
      <c r="FB94" s="227" t="s">
        <v>567</v>
      </c>
      <c r="FC94">
        <f t="shared" si="1"/>
        <v>77</v>
      </c>
    </row>
    <row r="95" spans="1:159" ht="17.25" thickBot="1" x14ac:dyDescent="0.3">
      <c r="A95" s="226">
        <v>45860</v>
      </c>
      <c r="B95" s="227" t="s">
        <v>172</v>
      </c>
      <c r="C95" s="227" t="s">
        <v>232</v>
      </c>
      <c r="D95" s="228">
        <v>700</v>
      </c>
      <c r="E95" s="228">
        <v>9</v>
      </c>
      <c r="F95" s="231">
        <v>1474.3</v>
      </c>
      <c r="G95" s="231">
        <v>1467.2</v>
      </c>
      <c r="H95" s="228">
        <v>7.1</v>
      </c>
      <c r="I95" s="229">
        <v>4.7999999999999996E-3</v>
      </c>
      <c r="J95" s="231">
        <v>1473.6</v>
      </c>
      <c r="K95" s="231">
        <v>1465.8</v>
      </c>
      <c r="L95" s="228">
        <v>7.8</v>
      </c>
      <c r="M95" s="229">
        <v>5.3E-3</v>
      </c>
      <c r="N95" s="231">
        <v>1474.3</v>
      </c>
      <c r="O95" s="231">
        <v>1467.2</v>
      </c>
      <c r="P95" s="228">
        <v>7.1</v>
      </c>
      <c r="Q95" s="229">
        <v>4.7999999999999996E-3</v>
      </c>
      <c r="R95" s="231">
        <v>1470.9</v>
      </c>
      <c r="S95" s="231">
        <v>1463.4</v>
      </c>
      <c r="T95" s="228">
        <v>7.5</v>
      </c>
      <c r="U95" s="229">
        <v>5.1000000000000004E-3</v>
      </c>
      <c r="V95" s="228">
        <v>0</v>
      </c>
      <c r="W95" s="228">
        <v>0</v>
      </c>
      <c r="X95" s="228">
        <v>0</v>
      </c>
      <c r="Y95" s="229">
        <v>0</v>
      </c>
      <c r="Z95" s="228">
        <v>0.7</v>
      </c>
      <c r="AA95" s="228">
        <v>1.4</v>
      </c>
      <c r="AB95" s="228">
        <v>-0.7</v>
      </c>
      <c r="AC95" s="229">
        <v>5.0000000000000001E-4</v>
      </c>
      <c r="AD95" s="228">
        <v>0.7</v>
      </c>
      <c r="AE95" s="228">
        <v>1.4</v>
      </c>
      <c r="AF95" s="228">
        <v>-0.7</v>
      </c>
      <c r="AG95" s="229">
        <v>5.0000000000000001E-4</v>
      </c>
      <c r="AH95" s="228">
        <v>-2.7</v>
      </c>
      <c r="AI95" s="228">
        <v>-2.4</v>
      </c>
      <c r="AJ95" s="228">
        <v>-0.3</v>
      </c>
      <c r="AK95" s="229">
        <v>-1.8E-3</v>
      </c>
      <c r="AL95" s="228">
        <v>0</v>
      </c>
      <c r="AM95" s="228">
        <v>0</v>
      </c>
      <c r="AN95" s="228">
        <v>0</v>
      </c>
      <c r="AO95" s="229">
        <v>0</v>
      </c>
      <c r="AP95" s="231">
        <v>1476.22</v>
      </c>
      <c r="AQ95" s="231">
        <v>1472.88</v>
      </c>
      <c r="AR95" s="228">
        <v>0</v>
      </c>
      <c r="AS95" s="230">
        <v>1967</v>
      </c>
      <c r="AT95" s="230">
        <v>3921</v>
      </c>
      <c r="AU95" s="230">
        <v>-1953</v>
      </c>
      <c r="AV95" s="229">
        <v>-0.49819999999999998</v>
      </c>
      <c r="AW95" s="230">
        <v>1666</v>
      </c>
      <c r="AX95" s="230">
        <v>3400</v>
      </c>
      <c r="AY95" s="230">
        <v>-1734</v>
      </c>
      <c r="AZ95" s="229">
        <v>-0.51</v>
      </c>
      <c r="BA95" s="228">
        <v>289</v>
      </c>
      <c r="BB95" s="228">
        <v>495</v>
      </c>
      <c r="BC95" s="228">
        <v>-205</v>
      </c>
      <c r="BD95" s="229">
        <v>-0.41510000000000002</v>
      </c>
      <c r="BE95" s="228">
        <v>0</v>
      </c>
      <c r="BF95" s="228">
        <v>0</v>
      </c>
      <c r="BG95" s="228">
        <v>0</v>
      </c>
      <c r="BH95" s="229">
        <v>0</v>
      </c>
      <c r="BI95" s="230">
        <v>9852</v>
      </c>
      <c r="BJ95" s="230">
        <v>22104</v>
      </c>
      <c r="BK95" s="230">
        <v>-12252</v>
      </c>
      <c r="BL95" s="229">
        <v>-0.55430000000000001</v>
      </c>
      <c r="BM95" s="230">
        <v>6292</v>
      </c>
      <c r="BN95" s="230">
        <v>12460</v>
      </c>
      <c r="BO95" s="230">
        <v>-6168</v>
      </c>
      <c r="BP95" s="229">
        <v>-0.495</v>
      </c>
      <c r="BQ95" s="230">
        <v>18111</v>
      </c>
      <c r="BR95" s="230">
        <v>38484</v>
      </c>
      <c r="BS95" s="230">
        <v>-20373</v>
      </c>
      <c r="BT95" s="229">
        <v>-0.52939999999999998</v>
      </c>
      <c r="BU95" s="230">
        <v>10678808</v>
      </c>
      <c r="BV95" s="230">
        <v>14539689</v>
      </c>
      <c r="BW95" s="230">
        <v>-3860881</v>
      </c>
      <c r="BX95" s="229">
        <v>-0.26550000000000001</v>
      </c>
      <c r="BY95" s="230">
        <v>15981</v>
      </c>
      <c r="BZ95" s="230">
        <v>16254</v>
      </c>
      <c r="CA95" s="228">
        <v>-273</v>
      </c>
      <c r="CB95" s="229">
        <v>-1.6799999999999999E-2</v>
      </c>
      <c r="CC95" s="230">
        <v>8718</v>
      </c>
      <c r="CD95" s="230">
        <v>9049</v>
      </c>
      <c r="CE95" s="228">
        <v>-331</v>
      </c>
      <c r="CF95" s="229">
        <v>-3.6600000000000001E-2</v>
      </c>
      <c r="CG95" s="230">
        <v>7233</v>
      </c>
      <c r="CH95" s="230">
        <v>7178</v>
      </c>
      <c r="CI95" s="228">
        <v>55</v>
      </c>
      <c r="CJ95" s="229">
        <v>7.7000000000000002E-3</v>
      </c>
      <c r="CK95" s="228">
        <v>0</v>
      </c>
      <c r="CL95" s="228">
        <v>0</v>
      </c>
      <c r="CM95" s="228">
        <v>0</v>
      </c>
      <c r="CN95" s="229">
        <v>0</v>
      </c>
      <c r="CO95" s="230">
        <v>3624</v>
      </c>
      <c r="CP95" s="230">
        <v>3704</v>
      </c>
      <c r="CQ95" s="228">
        <v>-80</v>
      </c>
      <c r="CR95" s="229">
        <v>-2.1499999999999998E-2</v>
      </c>
      <c r="CS95" s="230">
        <v>3233</v>
      </c>
      <c r="CT95" s="230">
        <v>3049</v>
      </c>
      <c r="CU95" s="228">
        <v>185</v>
      </c>
      <c r="CV95" s="229">
        <v>6.0499999999999998E-2</v>
      </c>
      <c r="CW95" s="230">
        <v>22838</v>
      </c>
      <c r="CX95" s="230">
        <v>23007</v>
      </c>
      <c r="CY95" s="228">
        <v>-168</v>
      </c>
      <c r="CZ95" s="229">
        <v>-7.3000000000000001E-3</v>
      </c>
      <c r="DA95" s="228">
        <v>14.74</v>
      </c>
      <c r="DB95" s="228">
        <v>17.25</v>
      </c>
      <c r="DC95" s="228">
        <v>-2.5099999999999998</v>
      </c>
      <c r="DD95" s="228">
        <v>-2.5099999999999998</v>
      </c>
      <c r="DE95" s="228">
        <v>22.98</v>
      </c>
      <c r="DF95" s="228">
        <v>23.03</v>
      </c>
      <c r="DG95" s="228">
        <v>-8.24</v>
      </c>
      <c r="DH95" s="228">
        <v>-0.05</v>
      </c>
      <c r="DI95" s="228">
        <v>13.96</v>
      </c>
      <c r="DJ95" s="228">
        <v>16.09</v>
      </c>
      <c r="DK95" s="228">
        <v>-2.13</v>
      </c>
      <c r="DL95" s="228">
        <v>-2.13</v>
      </c>
      <c r="DM95" s="228">
        <v>15.95</v>
      </c>
      <c r="DN95" s="228">
        <v>19.3</v>
      </c>
      <c r="DO95" s="228">
        <v>-3.35</v>
      </c>
      <c r="DP95" s="228">
        <v>-3.35</v>
      </c>
      <c r="DQ95" s="228">
        <v>0.89</v>
      </c>
      <c r="DR95" s="228">
        <v>0.82</v>
      </c>
      <c r="DS95" s="228">
        <v>7.0000000000000007E-2</v>
      </c>
      <c r="DT95" s="229">
        <v>8.5400000000000004E-2</v>
      </c>
      <c r="DU95" s="231">
        <v>1470</v>
      </c>
      <c r="DV95" s="231">
        <v>1400</v>
      </c>
      <c r="DW95" s="228">
        <v>0.64</v>
      </c>
      <c r="DX95" s="228">
        <v>0.56000000000000005</v>
      </c>
      <c r="DY95" s="228">
        <v>0.08</v>
      </c>
      <c r="DZ95" s="229">
        <v>0.1429</v>
      </c>
      <c r="EA95" s="229">
        <v>0.4526</v>
      </c>
      <c r="EB95" s="230">
        <v>48687100</v>
      </c>
      <c r="EC95" s="229">
        <v>-2.3E-3</v>
      </c>
      <c r="ED95" s="229">
        <v>0.4526</v>
      </c>
      <c r="EE95" s="228">
        <v>-3.34</v>
      </c>
      <c r="EF95" s="229">
        <v>-2.3E-3</v>
      </c>
      <c r="EG95" s="230">
        <v>6815905</v>
      </c>
      <c r="EH95" s="230">
        <v>8599311</v>
      </c>
      <c r="EI95" s="229">
        <v>-0.2074</v>
      </c>
      <c r="EJ95" s="229">
        <v>0.63829999999999998</v>
      </c>
      <c r="EK95" s="231">
        <v>10023.81</v>
      </c>
      <c r="EL95" s="231">
        <v>6220.9</v>
      </c>
      <c r="EM95" s="231">
        <v>1969.37</v>
      </c>
      <c r="EN95" s="228">
        <v>0</v>
      </c>
      <c r="EO95" s="231">
        <v>18214.080000000002</v>
      </c>
      <c r="EP95" s="231">
        <v>38191.61</v>
      </c>
      <c r="EQ95" s="231">
        <v>-19977.52</v>
      </c>
      <c r="ER95" s="229">
        <v>-0.52310000000000001</v>
      </c>
      <c r="ES95" s="231">
        <v>3660.57</v>
      </c>
      <c r="ET95" s="231">
        <v>3089.98</v>
      </c>
      <c r="EU95" s="231">
        <v>15964.57</v>
      </c>
      <c r="EV95" s="231">
        <v>1159424540</v>
      </c>
      <c r="EW95" s="231">
        <v>22715.13</v>
      </c>
      <c r="EX95" s="231">
        <v>22789.200000000001</v>
      </c>
      <c r="EY95" s="228">
        <v>-74.069999999999993</v>
      </c>
      <c r="EZ95" s="229">
        <v>-3.3E-3</v>
      </c>
      <c r="FA95" s="229">
        <v>0.1336</v>
      </c>
      <c r="FB95" s="227" t="s">
        <v>556</v>
      </c>
      <c r="FC95">
        <f t="shared" si="1"/>
        <v>7263</v>
      </c>
    </row>
    <row r="96" spans="1:159" ht="17.25" thickBot="1" x14ac:dyDescent="0.3">
      <c r="A96" s="226">
        <v>45860</v>
      </c>
      <c r="B96" s="227" t="s">
        <v>175</v>
      </c>
      <c r="C96" s="227" t="s">
        <v>472</v>
      </c>
      <c r="D96" s="228">
        <v>325</v>
      </c>
      <c r="E96" s="228">
        <v>9</v>
      </c>
      <c r="F96" s="231">
        <v>1961.9</v>
      </c>
      <c r="G96" s="231">
        <v>1954.4</v>
      </c>
      <c r="H96" s="228">
        <v>7.5</v>
      </c>
      <c r="I96" s="229">
        <v>3.8E-3</v>
      </c>
      <c r="J96" s="231">
        <v>1962.3</v>
      </c>
      <c r="K96" s="231">
        <v>1952.2</v>
      </c>
      <c r="L96" s="228">
        <v>10.1</v>
      </c>
      <c r="M96" s="229">
        <v>5.1999999999999998E-3</v>
      </c>
      <c r="N96" s="231">
        <v>1961.9</v>
      </c>
      <c r="O96" s="231">
        <v>1954.4</v>
      </c>
      <c r="P96" s="228">
        <v>7.5</v>
      </c>
      <c r="Q96" s="229">
        <v>3.8E-3</v>
      </c>
      <c r="R96" s="231">
        <v>1972</v>
      </c>
      <c r="S96" s="231">
        <v>1964.5</v>
      </c>
      <c r="T96" s="228">
        <v>7.5</v>
      </c>
      <c r="U96" s="229">
        <v>3.8E-3</v>
      </c>
      <c r="V96" s="228">
        <v>0</v>
      </c>
      <c r="W96" s="228">
        <v>0</v>
      </c>
      <c r="X96" s="228">
        <v>0</v>
      </c>
      <c r="Y96" s="229">
        <v>0</v>
      </c>
      <c r="Z96" s="228">
        <v>-0.4</v>
      </c>
      <c r="AA96" s="228">
        <v>2.2000000000000002</v>
      </c>
      <c r="AB96" s="228">
        <v>-2.6</v>
      </c>
      <c r="AC96" s="229">
        <v>-2.0000000000000001E-4</v>
      </c>
      <c r="AD96" s="228">
        <v>-0.4</v>
      </c>
      <c r="AE96" s="228">
        <v>2.2000000000000002</v>
      </c>
      <c r="AF96" s="228">
        <v>-2.6</v>
      </c>
      <c r="AG96" s="229">
        <v>-2.0000000000000001E-4</v>
      </c>
      <c r="AH96" s="228">
        <v>9.6999999999999993</v>
      </c>
      <c r="AI96" s="228">
        <v>12.3</v>
      </c>
      <c r="AJ96" s="228">
        <v>-2.6</v>
      </c>
      <c r="AK96" s="229">
        <v>4.8999999999999998E-3</v>
      </c>
      <c r="AL96" s="228">
        <v>0</v>
      </c>
      <c r="AM96" s="228">
        <v>0</v>
      </c>
      <c r="AN96" s="228">
        <v>0</v>
      </c>
      <c r="AO96" s="229">
        <v>0</v>
      </c>
      <c r="AP96" s="231">
        <v>1962.16</v>
      </c>
      <c r="AQ96" s="231">
        <v>1970.92</v>
      </c>
      <c r="AR96" s="228">
        <v>0</v>
      </c>
      <c r="AS96" s="228">
        <v>134</v>
      </c>
      <c r="AT96" s="228">
        <v>119</v>
      </c>
      <c r="AU96" s="228">
        <v>14</v>
      </c>
      <c r="AV96" s="229">
        <v>0.1192</v>
      </c>
      <c r="AW96" s="228">
        <v>116</v>
      </c>
      <c r="AX96" s="228">
        <v>114</v>
      </c>
      <c r="AY96" s="228">
        <v>2</v>
      </c>
      <c r="AZ96" s="229">
        <v>2.1299999999999999E-2</v>
      </c>
      <c r="BA96" s="228">
        <v>17</v>
      </c>
      <c r="BB96" s="228">
        <v>5</v>
      </c>
      <c r="BC96" s="228">
        <v>12</v>
      </c>
      <c r="BD96" s="229">
        <v>2.2999999999999998</v>
      </c>
      <c r="BE96" s="228">
        <v>0</v>
      </c>
      <c r="BF96" s="228">
        <v>0</v>
      </c>
      <c r="BG96" s="228">
        <v>0</v>
      </c>
      <c r="BH96" s="229">
        <v>0</v>
      </c>
      <c r="BI96" s="228">
        <v>371</v>
      </c>
      <c r="BJ96" s="228">
        <v>528</v>
      </c>
      <c r="BK96" s="228">
        <v>-157</v>
      </c>
      <c r="BL96" s="229">
        <v>-0.29780000000000001</v>
      </c>
      <c r="BM96" s="228">
        <v>142</v>
      </c>
      <c r="BN96" s="228">
        <v>139</v>
      </c>
      <c r="BO96" s="228">
        <v>4</v>
      </c>
      <c r="BP96" s="229">
        <v>2.7099999999999999E-2</v>
      </c>
      <c r="BQ96" s="228">
        <v>647</v>
      </c>
      <c r="BR96" s="228">
        <v>786</v>
      </c>
      <c r="BS96" s="228">
        <v>-139</v>
      </c>
      <c r="BT96" s="229">
        <v>-0.1772</v>
      </c>
      <c r="BU96" s="230">
        <v>516082</v>
      </c>
      <c r="BV96" s="230">
        <v>439058</v>
      </c>
      <c r="BW96" s="230">
        <v>77024</v>
      </c>
      <c r="BX96" s="229">
        <v>0.1754</v>
      </c>
      <c r="BY96" s="230">
        <v>1043</v>
      </c>
      <c r="BZ96" s="230">
        <v>1046</v>
      </c>
      <c r="CA96" s="228">
        <v>-3</v>
      </c>
      <c r="CB96" s="229">
        <v>-2.7000000000000001E-3</v>
      </c>
      <c r="CC96" s="230">
        <v>1009</v>
      </c>
      <c r="CD96" s="230">
        <v>1017</v>
      </c>
      <c r="CE96" s="228">
        <v>-7</v>
      </c>
      <c r="CF96" s="229">
        <v>-7.1999999999999998E-3</v>
      </c>
      <c r="CG96" s="228">
        <v>31</v>
      </c>
      <c r="CH96" s="228">
        <v>27</v>
      </c>
      <c r="CI96" s="228">
        <v>4</v>
      </c>
      <c r="CJ96" s="229">
        <v>0.16</v>
      </c>
      <c r="CK96" s="228">
        <v>0</v>
      </c>
      <c r="CL96" s="228">
        <v>0</v>
      </c>
      <c r="CM96" s="228">
        <v>0</v>
      </c>
      <c r="CN96" s="229">
        <v>0</v>
      </c>
      <c r="CO96" s="228">
        <v>571</v>
      </c>
      <c r="CP96" s="228">
        <v>646</v>
      </c>
      <c r="CQ96" s="228">
        <v>-75</v>
      </c>
      <c r="CR96" s="229">
        <v>-0.11650000000000001</v>
      </c>
      <c r="CS96" s="228">
        <v>215</v>
      </c>
      <c r="CT96" s="228">
        <v>238</v>
      </c>
      <c r="CU96" s="228">
        <v>-24</v>
      </c>
      <c r="CV96" s="229">
        <v>-9.9500000000000005E-2</v>
      </c>
      <c r="CW96" s="230">
        <v>1828</v>
      </c>
      <c r="CX96" s="230">
        <v>1930</v>
      </c>
      <c r="CY96" s="228">
        <v>-102</v>
      </c>
      <c r="CZ96" s="229">
        <v>-5.28E-2</v>
      </c>
      <c r="DA96" s="228">
        <v>23.28</v>
      </c>
      <c r="DB96" s="228">
        <v>25.11</v>
      </c>
      <c r="DC96" s="228">
        <v>-1.83</v>
      </c>
      <c r="DD96" s="228">
        <v>-1.83</v>
      </c>
      <c r="DE96" s="228">
        <v>29.81</v>
      </c>
      <c r="DF96" s="228">
        <v>29.88</v>
      </c>
      <c r="DG96" s="228">
        <v>-6.53</v>
      </c>
      <c r="DH96" s="228">
        <v>-7.0000000000000007E-2</v>
      </c>
      <c r="DI96" s="228">
        <v>23.6</v>
      </c>
      <c r="DJ96" s="228">
        <v>25.24</v>
      </c>
      <c r="DK96" s="228">
        <v>-1.64</v>
      </c>
      <c r="DL96" s="228">
        <v>-1.64</v>
      </c>
      <c r="DM96" s="228">
        <v>22.47</v>
      </c>
      <c r="DN96" s="228">
        <v>24.62</v>
      </c>
      <c r="DO96" s="228">
        <v>-2.15</v>
      </c>
      <c r="DP96" s="228">
        <v>-2.15</v>
      </c>
      <c r="DQ96" s="228">
        <v>0.38</v>
      </c>
      <c r="DR96" s="228">
        <v>0.37</v>
      </c>
      <c r="DS96" s="228">
        <v>0.01</v>
      </c>
      <c r="DT96" s="229">
        <v>2.7E-2</v>
      </c>
      <c r="DU96" s="231">
        <v>2060</v>
      </c>
      <c r="DV96" s="231">
        <v>2000</v>
      </c>
      <c r="DW96" s="228">
        <v>0.38</v>
      </c>
      <c r="DX96" s="228">
        <v>0.26</v>
      </c>
      <c r="DY96" s="228">
        <v>0.12</v>
      </c>
      <c r="DZ96" s="229">
        <v>0.46150000000000002</v>
      </c>
      <c r="EA96" s="229">
        <v>3.0099999999999998E-2</v>
      </c>
      <c r="EB96" s="230">
        <v>138125</v>
      </c>
      <c r="EC96" s="229">
        <v>5.1000000000000004E-3</v>
      </c>
      <c r="ED96" s="229">
        <v>3.0099999999999998E-2</v>
      </c>
      <c r="EE96" s="228">
        <v>8.76</v>
      </c>
      <c r="EF96" s="229">
        <v>4.4999999999999997E-3</v>
      </c>
      <c r="EG96" s="230">
        <v>353690</v>
      </c>
      <c r="EH96" s="230">
        <v>251635</v>
      </c>
      <c r="EI96" s="229">
        <v>0.40560000000000002</v>
      </c>
      <c r="EJ96" s="229">
        <v>0.68530000000000002</v>
      </c>
      <c r="EK96" s="228">
        <v>385.25</v>
      </c>
      <c r="EL96" s="228">
        <v>139.28</v>
      </c>
      <c r="EM96" s="228">
        <v>133.61000000000001</v>
      </c>
      <c r="EN96" s="228">
        <v>0</v>
      </c>
      <c r="EO96" s="228">
        <v>658.15</v>
      </c>
      <c r="EP96" s="228">
        <v>801.32</v>
      </c>
      <c r="EQ96" s="228">
        <v>-143.16999999999999</v>
      </c>
      <c r="ER96" s="229">
        <v>-0.1787</v>
      </c>
      <c r="ES96" s="228">
        <v>602.6</v>
      </c>
      <c r="ET96" s="228">
        <v>212.72</v>
      </c>
      <c r="EU96" s="231">
        <v>1042.94</v>
      </c>
      <c r="EV96" s="231">
        <v>48034132</v>
      </c>
      <c r="EW96" s="231">
        <v>1858.26</v>
      </c>
      <c r="EX96" s="231">
        <v>1958.25</v>
      </c>
      <c r="EY96" s="228">
        <v>-99.99</v>
      </c>
      <c r="EZ96" s="229">
        <v>-5.11E-2</v>
      </c>
      <c r="FA96" s="229">
        <v>0.19400000000000001</v>
      </c>
      <c r="FB96" s="227" t="s">
        <v>556</v>
      </c>
      <c r="FC96">
        <f t="shared" si="1"/>
        <v>34</v>
      </c>
    </row>
    <row r="97" spans="1:159" ht="17.25" thickBot="1" x14ac:dyDescent="0.3">
      <c r="A97" s="226">
        <v>45860</v>
      </c>
      <c r="B97" s="227" t="s">
        <v>175</v>
      </c>
      <c r="C97" s="227" t="s">
        <v>233</v>
      </c>
      <c r="D97" s="228">
        <v>925</v>
      </c>
      <c r="E97" s="228">
        <v>9</v>
      </c>
      <c r="F97" s="228">
        <v>627.54999999999995</v>
      </c>
      <c r="G97" s="228">
        <v>637.15</v>
      </c>
      <c r="H97" s="228">
        <v>-9.6</v>
      </c>
      <c r="I97" s="229">
        <v>-1.5100000000000001E-2</v>
      </c>
      <c r="J97" s="228">
        <v>625.1</v>
      </c>
      <c r="K97" s="228">
        <v>634.9</v>
      </c>
      <c r="L97" s="228">
        <v>-9.8000000000000007</v>
      </c>
      <c r="M97" s="229">
        <v>-1.54E-2</v>
      </c>
      <c r="N97" s="228">
        <v>627.54999999999995</v>
      </c>
      <c r="O97" s="228">
        <v>637.15</v>
      </c>
      <c r="P97" s="228">
        <v>-9.6</v>
      </c>
      <c r="Q97" s="229">
        <v>-1.5100000000000001E-2</v>
      </c>
      <c r="R97" s="228">
        <v>630.20000000000005</v>
      </c>
      <c r="S97" s="228">
        <v>640.1</v>
      </c>
      <c r="T97" s="228">
        <v>-9.9</v>
      </c>
      <c r="U97" s="229">
        <v>-1.55E-2</v>
      </c>
      <c r="V97" s="228">
        <v>0</v>
      </c>
      <c r="W97" s="228">
        <v>0</v>
      </c>
      <c r="X97" s="228">
        <v>0</v>
      </c>
      <c r="Y97" s="229">
        <v>0</v>
      </c>
      <c r="Z97" s="228">
        <v>2.4500000000000002</v>
      </c>
      <c r="AA97" s="228">
        <v>2.25</v>
      </c>
      <c r="AB97" s="228">
        <v>0.2</v>
      </c>
      <c r="AC97" s="229">
        <v>3.8999999999999998E-3</v>
      </c>
      <c r="AD97" s="228">
        <v>2.4500000000000002</v>
      </c>
      <c r="AE97" s="228">
        <v>2.25</v>
      </c>
      <c r="AF97" s="228">
        <v>0.2</v>
      </c>
      <c r="AG97" s="229">
        <v>3.8999999999999998E-3</v>
      </c>
      <c r="AH97" s="228">
        <v>5.0999999999999996</v>
      </c>
      <c r="AI97" s="228">
        <v>5.2</v>
      </c>
      <c r="AJ97" s="228">
        <v>-0.1</v>
      </c>
      <c r="AK97" s="229">
        <v>8.2000000000000007E-3</v>
      </c>
      <c r="AL97" s="228">
        <v>0</v>
      </c>
      <c r="AM97" s="228">
        <v>0</v>
      </c>
      <c r="AN97" s="228">
        <v>0</v>
      </c>
      <c r="AO97" s="229">
        <v>0</v>
      </c>
      <c r="AP97" s="228">
        <v>629.5</v>
      </c>
      <c r="AQ97" s="228">
        <v>632.70000000000005</v>
      </c>
      <c r="AR97" s="228">
        <v>0</v>
      </c>
      <c r="AS97" s="228">
        <v>203</v>
      </c>
      <c r="AT97" s="228">
        <v>163</v>
      </c>
      <c r="AU97" s="228">
        <v>40</v>
      </c>
      <c r="AV97" s="229">
        <v>0.24379999999999999</v>
      </c>
      <c r="AW97" s="228">
        <v>174</v>
      </c>
      <c r="AX97" s="228">
        <v>142</v>
      </c>
      <c r="AY97" s="228">
        <v>31</v>
      </c>
      <c r="AZ97" s="229">
        <v>0.22120000000000001</v>
      </c>
      <c r="BA97" s="228">
        <v>29</v>
      </c>
      <c r="BB97" s="228">
        <v>19</v>
      </c>
      <c r="BC97" s="228">
        <v>9</v>
      </c>
      <c r="BD97" s="229">
        <v>0.47899999999999998</v>
      </c>
      <c r="BE97" s="228">
        <v>0</v>
      </c>
      <c r="BF97" s="228">
        <v>0</v>
      </c>
      <c r="BG97" s="228">
        <v>0</v>
      </c>
      <c r="BH97" s="229">
        <v>0</v>
      </c>
      <c r="BI97" s="228">
        <v>692</v>
      </c>
      <c r="BJ97" s="228">
        <v>416</v>
      </c>
      <c r="BK97" s="228">
        <v>277</v>
      </c>
      <c r="BL97" s="229">
        <v>0.66520000000000001</v>
      </c>
      <c r="BM97" s="228">
        <v>181</v>
      </c>
      <c r="BN97" s="228">
        <v>125</v>
      </c>
      <c r="BO97" s="228">
        <v>56</v>
      </c>
      <c r="BP97" s="229">
        <v>0.44569999999999999</v>
      </c>
      <c r="BQ97" s="230">
        <v>1076</v>
      </c>
      <c r="BR97" s="228">
        <v>704</v>
      </c>
      <c r="BS97" s="228">
        <v>372</v>
      </c>
      <c r="BT97" s="229">
        <v>0.52859999999999996</v>
      </c>
      <c r="BU97" s="230">
        <v>1490583</v>
      </c>
      <c r="BV97" s="230">
        <v>1501098</v>
      </c>
      <c r="BW97" s="230">
        <v>-10515</v>
      </c>
      <c r="BX97" s="229">
        <v>-7.0000000000000001E-3</v>
      </c>
      <c r="BY97" s="228">
        <v>928</v>
      </c>
      <c r="BZ97" s="228">
        <v>911</v>
      </c>
      <c r="CA97" s="228">
        <v>17</v>
      </c>
      <c r="CB97" s="229">
        <v>1.8800000000000001E-2</v>
      </c>
      <c r="CC97" s="228">
        <v>884</v>
      </c>
      <c r="CD97" s="228">
        <v>877</v>
      </c>
      <c r="CE97" s="228">
        <v>7</v>
      </c>
      <c r="CF97" s="229">
        <v>7.7000000000000002E-3</v>
      </c>
      <c r="CG97" s="228">
        <v>39</v>
      </c>
      <c r="CH97" s="228">
        <v>29</v>
      </c>
      <c r="CI97" s="228">
        <v>10</v>
      </c>
      <c r="CJ97" s="229">
        <v>0.34189999999999998</v>
      </c>
      <c r="CK97" s="228">
        <v>0</v>
      </c>
      <c r="CL97" s="228">
        <v>0</v>
      </c>
      <c r="CM97" s="228">
        <v>0</v>
      </c>
      <c r="CN97" s="229">
        <v>0</v>
      </c>
      <c r="CO97" s="228">
        <v>556</v>
      </c>
      <c r="CP97" s="228">
        <v>536</v>
      </c>
      <c r="CQ97" s="228">
        <v>20</v>
      </c>
      <c r="CR97" s="229">
        <v>3.7199999999999997E-2</v>
      </c>
      <c r="CS97" s="228">
        <v>209</v>
      </c>
      <c r="CT97" s="228">
        <v>209</v>
      </c>
      <c r="CU97" s="228">
        <v>0</v>
      </c>
      <c r="CV97" s="229">
        <v>-1.6999999999999999E-3</v>
      </c>
      <c r="CW97" s="230">
        <v>1692</v>
      </c>
      <c r="CX97" s="230">
        <v>1656</v>
      </c>
      <c r="CY97" s="228">
        <v>37</v>
      </c>
      <c r="CZ97" s="229">
        <v>2.2200000000000001E-2</v>
      </c>
      <c r="DA97" s="228">
        <v>27.42</v>
      </c>
      <c r="DB97" s="228">
        <v>26.65</v>
      </c>
      <c r="DC97" s="228">
        <v>0.77</v>
      </c>
      <c r="DD97" s="228">
        <v>0.77</v>
      </c>
      <c r="DE97" s="228">
        <v>30.76</v>
      </c>
      <c r="DF97" s="228">
        <v>30.77</v>
      </c>
      <c r="DG97" s="228">
        <v>-3.34</v>
      </c>
      <c r="DH97" s="228">
        <v>-0.01</v>
      </c>
      <c r="DI97" s="228">
        <v>28.29</v>
      </c>
      <c r="DJ97" s="228">
        <v>27.5</v>
      </c>
      <c r="DK97" s="228">
        <v>0.79</v>
      </c>
      <c r="DL97" s="228">
        <v>0.79</v>
      </c>
      <c r="DM97" s="228">
        <v>24.07</v>
      </c>
      <c r="DN97" s="228">
        <v>23.84</v>
      </c>
      <c r="DO97" s="228">
        <v>0.23</v>
      </c>
      <c r="DP97" s="228">
        <v>0.23</v>
      </c>
      <c r="DQ97" s="228">
        <v>0.38</v>
      </c>
      <c r="DR97" s="228">
        <v>0.39</v>
      </c>
      <c r="DS97" s="228">
        <v>-0.01</v>
      </c>
      <c r="DT97" s="229">
        <v>-2.5600000000000001E-2</v>
      </c>
      <c r="DU97" s="228">
        <v>700</v>
      </c>
      <c r="DV97" s="228">
        <v>600</v>
      </c>
      <c r="DW97" s="228">
        <v>0.26</v>
      </c>
      <c r="DX97" s="228">
        <v>0.3</v>
      </c>
      <c r="DY97" s="228">
        <v>-0.04</v>
      </c>
      <c r="DZ97" s="229">
        <v>-0.1333</v>
      </c>
      <c r="EA97" s="229">
        <v>4.2500000000000003E-2</v>
      </c>
      <c r="EB97" s="230">
        <v>468050</v>
      </c>
      <c r="EC97" s="229">
        <v>4.1999999999999997E-3</v>
      </c>
      <c r="ED97" s="229">
        <v>4.2500000000000003E-2</v>
      </c>
      <c r="EE97" s="228">
        <v>3.2</v>
      </c>
      <c r="EF97" s="229">
        <v>5.1000000000000004E-3</v>
      </c>
      <c r="EG97" s="230">
        <v>873149</v>
      </c>
      <c r="EH97" s="230">
        <v>957567</v>
      </c>
      <c r="EI97" s="229">
        <v>-8.8200000000000001E-2</v>
      </c>
      <c r="EJ97" s="229">
        <v>0.58579999999999999</v>
      </c>
      <c r="EK97" s="228">
        <v>736.06</v>
      </c>
      <c r="EL97" s="228">
        <v>182.08</v>
      </c>
      <c r="EM97" s="228">
        <v>203.66</v>
      </c>
      <c r="EN97" s="228">
        <v>0</v>
      </c>
      <c r="EO97" s="231">
        <v>1121.81</v>
      </c>
      <c r="EP97" s="228">
        <v>739.54</v>
      </c>
      <c r="EQ97" s="228">
        <v>382.27</v>
      </c>
      <c r="ER97" s="229">
        <v>0.51690000000000003</v>
      </c>
      <c r="ES97" s="228">
        <v>603.48</v>
      </c>
      <c r="ET97" s="228">
        <v>209.35</v>
      </c>
      <c r="EU97" s="228">
        <v>928.12</v>
      </c>
      <c r="EV97" s="231">
        <v>78039794</v>
      </c>
      <c r="EW97" s="231">
        <v>1740.95</v>
      </c>
      <c r="EX97" s="231">
        <v>1719.45</v>
      </c>
      <c r="EY97" s="228">
        <v>21.5</v>
      </c>
      <c r="EZ97" s="229">
        <v>1.2500000000000001E-2</v>
      </c>
      <c r="FA97" s="229">
        <v>0.34560000000000002</v>
      </c>
      <c r="FB97" s="227" t="s">
        <v>567</v>
      </c>
      <c r="FC97">
        <f t="shared" si="1"/>
        <v>44</v>
      </c>
    </row>
    <row r="98" spans="1:159" ht="17.25" thickBot="1" x14ac:dyDescent="0.3">
      <c r="A98" s="226">
        <v>45860</v>
      </c>
      <c r="B98" s="227" t="s">
        <v>188</v>
      </c>
      <c r="C98" s="227" t="s">
        <v>234</v>
      </c>
      <c r="D98" s="228">
        <v>71475</v>
      </c>
      <c r="E98" s="228">
        <v>9</v>
      </c>
      <c r="F98" s="228">
        <v>7.39</v>
      </c>
      <c r="G98" s="228">
        <v>7.65</v>
      </c>
      <c r="H98" s="228">
        <v>-0.26</v>
      </c>
      <c r="I98" s="229">
        <v>-3.4000000000000002E-2</v>
      </c>
      <c r="J98" s="228">
        <v>7.37</v>
      </c>
      <c r="K98" s="228">
        <v>7.63</v>
      </c>
      <c r="L98" s="228">
        <v>-0.26</v>
      </c>
      <c r="M98" s="229">
        <v>-3.4099999999999998E-2</v>
      </c>
      <c r="N98" s="228">
        <v>7.39</v>
      </c>
      <c r="O98" s="228">
        <v>7.65</v>
      </c>
      <c r="P98" s="228">
        <v>-0.26</v>
      </c>
      <c r="Q98" s="229">
        <v>-3.4000000000000002E-2</v>
      </c>
      <c r="R98" s="228">
        <v>7.44</v>
      </c>
      <c r="S98" s="228">
        <v>7.7</v>
      </c>
      <c r="T98" s="228">
        <v>-0.26</v>
      </c>
      <c r="U98" s="229">
        <v>-3.3799999999999997E-2</v>
      </c>
      <c r="V98" s="228">
        <v>0</v>
      </c>
      <c r="W98" s="228">
        <v>0</v>
      </c>
      <c r="X98" s="228">
        <v>0</v>
      </c>
      <c r="Y98" s="229">
        <v>0</v>
      </c>
      <c r="Z98" s="228">
        <v>0.02</v>
      </c>
      <c r="AA98" s="228">
        <v>0.02</v>
      </c>
      <c r="AB98" s="228">
        <v>0</v>
      </c>
      <c r="AC98" s="229">
        <v>2.7000000000000001E-3</v>
      </c>
      <c r="AD98" s="228">
        <v>0.02</v>
      </c>
      <c r="AE98" s="228">
        <v>0.02</v>
      </c>
      <c r="AF98" s="228">
        <v>0</v>
      </c>
      <c r="AG98" s="229">
        <v>2.7000000000000001E-3</v>
      </c>
      <c r="AH98" s="228">
        <v>7.0000000000000007E-2</v>
      </c>
      <c r="AI98" s="228">
        <v>7.0000000000000007E-2</v>
      </c>
      <c r="AJ98" s="228">
        <v>0</v>
      </c>
      <c r="AK98" s="229">
        <v>9.4999999999999998E-3</v>
      </c>
      <c r="AL98" s="228">
        <v>0</v>
      </c>
      <c r="AM98" s="228">
        <v>0</v>
      </c>
      <c r="AN98" s="228">
        <v>0</v>
      </c>
      <c r="AO98" s="229">
        <v>0</v>
      </c>
      <c r="AP98" s="228">
        <v>7.51</v>
      </c>
      <c r="AQ98" s="228">
        <v>7.55</v>
      </c>
      <c r="AR98" s="228">
        <v>0</v>
      </c>
      <c r="AS98" s="228">
        <v>401</v>
      </c>
      <c r="AT98" s="228">
        <v>457</v>
      </c>
      <c r="AU98" s="228">
        <v>-56</v>
      </c>
      <c r="AV98" s="229">
        <v>-0.122</v>
      </c>
      <c r="AW98" s="228">
        <v>313</v>
      </c>
      <c r="AX98" s="228">
        <v>288</v>
      </c>
      <c r="AY98" s="228">
        <v>25</v>
      </c>
      <c r="AZ98" s="229">
        <v>8.6400000000000005E-2</v>
      </c>
      <c r="BA98" s="228">
        <v>76</v>
      </c>
      <c r="BB98" s="228">
        <v>164</v>
      </c>
      <c r="BC98" s="228">
        <v>-88</v>
      </c>
      <c r="BD98" s="229">
        <v>-0.53690000000000004</v>
      </c>
      <c r="BE98" s="228">
        <v>0</v>
      </c>
      <c r="BF98" s="228">
        <v>0</v>
      </c>
      <c r="BG98" s="228">
        <v>0</v>
      </c>
      <c r="BH98" s="229">
        <v>0</v>
      </c>
      <c r="BI98" s="228">
        <v>422</v>
      </c>
      <c r="BJ98" s="228">
        <v>180</v>
      </c>
      <c r="BK98" s="228">
        <v>243</v>
      </c>
      <c r="BL98" s="229">
        <v>1.3522000000000001</v>
      </c>
      <c r="BM98" s="228">
        <v>67</v>
      </c>
      <c r="BN98" s="228">
        <v>44</v>
      </c>
      <c r="BO98" s="228">
        <v>23</v>
      </c>
      <c r="BP98" s="229">
        <v>0.52880000000000005</v>
      </c>
      <c r="BQ98" s="228">
        <v>891</v>
      </c>
      <c r="BR98" s="228">
        <v>681</v>
      </c>
      <c r="BS98" s="228">
        <v>210</v>
      </c>
      <c r="BT98" s="229">
        <v>0.30890000000000001</v>
      </c>
      <c r="BU98" s="230">
        <v>356450097</v>
      </c>
      <c r="BV98" s="230">
        <v>257825041</v>
      </c>
      <c r="BW98" s="230">
        <v>98625056</v>
      </c>
      <c r="BX98" s="229">
        <v>0.38250000000000001</v>
      </c>
      <c r="BY98" s="230">
        <v>3932</v>
      </c>
      <c r="BZ98" s="230">
        <v>3908</v>
      </c>
      <c r="CA98" s="228">
        <v>24</v>
      </c>
      <c r="CB98" s="229">
        <v>6.1999999999999998E-3</v>
      </c>
      <c r="CC98" s="230">
        <v>3189</v>
      </c>
      <c r="CD98" s="230">
        <v>3203</v>
      </c>
      <c r="CE98" s="228">
        <v>-15</v>
      </c>
      <c r="CF98" s="229">
        <v>-4.5999999999999999E-3</v>
      </c>
      <c r="CG98" s="228">
        <v>681</v>
      </c>
      <c r="CH98" s="228">
        <v>646</v>
      </c>
      <c r="CI98" s="228">
        <v>35</v>
      </c>
      <c r="CJ98" s="229">
        <v>5.4199999999999998E-2</v>
      </c>
      <c r="CK98" s="228">
        <v>0</v>
      </c>
      <c r="CL98" s="228">
        <v>0</v>
      </c>
      <c r="CM98" s="228">
        <v>0</v>
      </c>
      <c r="CN98" s="229">
        <v>0</v>
      </c>
      <c r="CO98" s="230">
        <v>1059</v>
      </c>
      <c r="CP98" s="230">
        <v>1012</v>
      </c>
      <c r="CQ98" s="228">
        <v>46</v>
      </c>
      <c r="CR98" s="229">
        <v>4.58E-2</v>
      </c>
      <c r="CS98" s="228">
        <v>553</v>
      </c>
      <c r="CT98" s="228">
        <v>543</v>
      </c>
      <c r="CU98" s="228">
        <v>9</v>
      </c>
      <c r="CV98" s="229">
        <v>1.6899999999999998E-2</v>
      </c>
      <c r="CW98" s="230">
        <v>5543</v>
      </c>
      <c r="CX98" s="230">
        <v>5464</v>
      </c>
      <c r="CY98" s="228">
        <v>80</v>
      </c>
      <c r="CZ98" s="229">
        <v>1.46E-2</v>
      </c>
      <c r="DA98" s="228">
        <v>49.92</v>
      </c>
      <c r="DB98" s="228">
        <v>52.38</v>
      </c>
      <c r="DC98" s="228">
        <v>-2.46</v>
      </c>
      <c r="DD98" s="228">
        <v>-2.46</v>
      </c>
      <c r="DE98" s="228">
        <v>67.58</v>
      </c>
      <c r="DF98" s="228">
        <v>67.59</v>
      </c>
      <c r="DG98" s="228">
        <v>-17.66</v>
      </c>
      <c r="DH98" s="228">
        <v>-0.01</v>
      </c>
      <c r="DI98" s="228">
        <v>49.76</v>
      </c>
      <c r="DJ98" s="228">
        <v>52.35</v>
      </c>
      <c r="DK98" s="228">
        <v>-2.59</v>
      </c>
      <c r="DL98" s="228">
        <v>-2.59</v>
      </c>
      <c r="DM98" s="228">
        <v>50.97</v>
      </c>
      <c r="DN98" s="228">
        <v>52.48</v>
      </c>
      <c r="DO98" s="228">
        <v>-1.51</v>
      </c>
      <c r="DP98" s="228">
        <v>-1.51</v>
      </c>
      <c r="DQ98" s="228">
        <v>0.52</v>
      </c>
      <c r="DR98" s="228">
        <v>0.54</v>
      </c>
      <c r="DS98" s="228">
        <v>-0.02</v>
      </c>
      <c r="DT98" s="229">
        <v>-3.6999999999999998E-2</v>
      </c>
      <c r="DU98" s="228">
        <v>8</v>
      </c>
      <c r="DV98" s="228">
        <v>7</v>
      </c>
      <c r="DW98" s="228">
        <v>0.16</v>
      </c>
      <c r="DX98" s="228">
        <v>0.25</v>
      </c>
      <c r="DY98" s="228">
        <v>-0.09</v>
      </c>
      <c r="DZ98" s="229">
        <v>-0.36</v>
      </c>
      <c r="EA98" s="229">
        <v>0.1731</v>
      </c>
      <c r="EB98" s="230">
        <v>873710400</v>
      </c>
      <c r="EC98" s="229">
        <v>6.7999999999999996E-3</v>
      </c>
      <c r="ED98" s="229">
        <v>0.1731</v>
      </c>
      <c r="EE98" s="228">
        <v>0.04</v>
      </c>
      <c r="EF98" s="229">
        <v>5.3E-3</v>
      </c>
      <c r="EG98" s="230">
        <v>87586612</v>
      </c>
      <c r="EH98" s="230">
        <v>64168534</v>
      </c>
      <c r="EI98" s="229">
        <v>0.3649</v>
      </c>
      <c r="EJ98" s="229">
        <v>0.2457</v>
      </c>
      <c r="EK98" s="228">
        <v>454.54</v>
      </c>
      <c r="EL98" s="228">
        <v>76.680000000000007</v>
      </c>
      <c r="EM98" s="228">
        <v>408.39</v>
      </c>
      <c r="EN98" s="228">
        <v>0</v>
      </c>
      <c r="EO98" s="228">
        <v>939.6</v>
      </c>
      <c r="EP98" s="228">
        <v>728.32</v>
      </c>
      <c r="EQ98" s="228">
        <v>211.29</v>
      </c>
      <c r="ER98" s="229">
        <v>0.29010000000000002</v>
      </c>
      <c r="ES98" s="231">
        <v>1196.94</v>
      </c>
      <c r="ET98" s="228">
        <v>527.79999999999995</v>
      </c>
      <c r="EU98" s="231">
        <v>3937.43</v>
      </c>
      <c r="EV98" s="231">
        <v>16128051291</v>
      </c>
      <c r="EW98" s="231">
        <v>5662.17</v>
      </c>
      <c r="EX98" s="231">
        <v>5714.73</v>
      </c>
      <c r="EY98" s="228">
        <v>-52.56</v>
      </c>
      <c r="EZ98" s="229">
        <v>-9.1999999999999998E-3</v>
      </c>
      <c r="FA98" s="229">
        <v>0.46510000000000001</v>
      </c>
      <c r="FB98" s="227" t="s">
        <v>567</v>
      </c>
      <c r="FC98">
        <f t="shared" si="1"/>
        <v>743</v>
      </c>
    </row>
    <row r="99" spans="1:159" ht="17.25" thickBot="1" x14ac:dyDescent="0.3">
      <c r="A99" s="226">
        <v>45860</v>
      </c>
      <c r="B99" s="227" t="s">
        <v>172</v>
      </c>
      <c r="C99" s="227" t="s">
        <v>235</v>
      </c>
      <c r="D99" s="228">
        <v>9275</v>
      </c>
      <c r="E99" s="228">
        <v>9</v>
      </c>
      <c r="F99" s="228">
        <v>72.56</v>
      </c>
      <c r="G99" s="228">
        <v>74.06</v>
      </c>
      <c r="H99" s="228">
        <v>-1.5</v>
      </c>
      <c r="I99" s="229">
        <v>-2.0299999999999999E-2</v>
      </c>
      <c r="J99" s="228">
        <v>72.44</v>
      </c>
      <c r="K99" s="228">
        <v>73.989999999999995</v>
      </c>
      <c r="L99" s="228">
        <v>-1.55</v>
      </c>
      <c r="M99" s="229">
        <v>-2.0899999999999998E-2</v>
      </c>
      <c r="N99" s="228">
        <v>72.56</v>
      </c>
      <c r="O99" s="228">
        <v>74.06</v>
      </c>
      <c r="P99" s="228">
        <v>-1.5</v>
      </c>
      <c r="Q99" s="229">
        <v>-2.0299999999999999E-2</v>
      </c>
      <c r="R99" s="228">
        <v>72.92</v>
      </c>
      <c r="S99" s="228">
        <v>74.42</v>
      </c>
      <c r="T99" s="228">
        <v>-1.5</v>
      </c>
      <c r="U99" s="229">
        <v>-2.0199999999999999E-2</v>
      </c>
      <c r="V99" s="228">
        <v>0</v>
      </c>
      <c r="W99" s="228">
        <v>0</v>
      </c>
      <c r="X99" s="228">
        <v>0</v>
      </c>
      <c r="Y99" s="229">
        <v>0</v>
      </c>
      <c r="Z99" s="228">
        <v>0.12</v>
      </c>
      <c r="AA99" s="228">
        <v>7.0000000000000007E-2</v>
      </c>
      <c r="AB99" s="228">
        <v>0.05</v>
      </c>
      <c r="AC99" s="229">
        <v>1.6999999999999999E-3</v>
      </c>
      <c r="AD99" s="228">
        <v>0.12</v>
      </c>
      <c r="AE99" s="228">
        <v>7.0000000000000007E-2</v>
      </c>
      <c r="AF99" s="228">
        <v>0.05</v>
      </c>
      <c r="AG99" s="229">
        <v>1.6999999999999999E-3</v>
      </c>
      <c r="AH99" s="228">
        <v>0.48</v>
      </c>
      <c r="AI99" s="228">
        <v>0.43</v>
      </c>
      <c r="AJ99" s="228">
        <v>0.05</v>
      </c>
      <c r="AK99" s="229">
        <v>6.6E-3</v>
      </c>
      <c r="AL99" s="228">
        <v>0</v>
      </c>
      <c r="AM99" s="228">
        <v>0</v>
      </c>
      <c r="AN99" s="228">
        <v>0</v>
      </c>
      <c r="AO99" s="229">
        <v>0</v>
      </c>
      <c r="AP99" s="228">
        <v>73.12</v>
      </c>
      <c r="AQ99" s="228">
        <v>73.510000000000005</v>
      </c>
      <c r="AR99" s="228">
        <v>0</v>
      </c>
      <c r="AS99" s="228">
        <v>363</v>
      </c>
      <c r="AT99" s="228">
        <v>835</v>
      </c>
      <c r="AU99" s="228">
        <v>-473</v>
      </c>
      <c r="AV99" s="229">
        <v>-0.56599999999999995</v>
      </c>
      <c r="AW99" s="228">
        <v>255</v>
      </c>
      <c r="AX99" s="228">
        <v>663</v>
      </c>
      <c r="AY99" s="228">
        <v>-408</v>
      </c>
      <c r="AZ99" s="229">
        <v>-0.61519999999999997</v>
      </c>
      <c r="BA99" s="228">
        <v>99</v>
      </c>
      <c r="BB99" s="228">
        <v>167</v>
      </c>
      <c r="BC99" s="228">
        <v>-68</v>
      </c>
      <c r="BD99" s="229">
        <v>-0.40810000000000002</v>
      </c>
      <c r="BE99" s="228">
        <v>0</v>
      </c>
      <c r="BF99" s="228">
        <v>0</v>
      </c>
      <c r="BG99" s="228">
        <v>0</v>
      </c>
      <c r="BH99" s="229">
        <v>0</v>
      </c>
      <c r="BI99" s="228">
        <v>643</v>
      </c>
      <c r="BJ99" s="230">
        <v>1249</v>
      </c>
      <c r="BK99" s="228">
        <v>-606</v>
      </c>
      <c r="BL99" s="229">
        <v>-0.48499999999999999</v>
      </c>
      <c r="BM99" s="228">
        <v>272</v>
      </c>
      <c r="BN99" s="228">
        <v>541</v>
      </c>
      <c r="BO99" s="228">
        <v>-269</v>
      </c>
      <c r="BP99" s="229">
        <v>-0.49690000000000001</v>
      </c>
      <c r="BQ99" s="230">
        <v>1278</v>
      </c>
      <c r="BR99" s="230">
        <v>2626</v>
      </c>
      <c r="BS99" s="230">
        <v>-1348</v>
      </c>
      <c r="BT99" s="229">
        <v>-0.51319999999999999</v>
      </c>
      <c r="BU99" s="230">
        <v>12927912</v>
      </c>
      <c r="BV99" s="230">
        <v>19755566</v>
      </c>
      <c r="BW99" s="230">
        <v>-6827654</v>
      </c>
      <c r="BX99" s="229">
        <v>-0.34560000000000002</v>
      </c>
      <c r="BY99" s="230">
        <v>2747</v>
      </c>
      <c r="BZ99" s="230">
        <v>2729</v>
      </c>
      <c r="CA99" s="228">
        <v>18</v>
      </c>
      <c r="CB99" s="229">
        <v>6.4999999999999997E-3</v>
      </c>
      <c r="CC99" s="230">
        <v>2030</v>
      </c>
      <c r="CD99" s="230">
        <v>2057</v>
      </c>
      <c r="CE99" s="228">
        <v>-26</v>
      </c>
      <c r="CF99" s="229">
        <v>-1.2800000000000001E-2</v>
      </c>
      <c r="CG99" s="228">
        <v>665</v>
      </c>
      <c r="CH99" s="228">
        <v>626</v>
      </c>
      <c r="CI99" s="228">
        <v>39</v>
      </c>
      <c r="CJ99" s="229">
        <v>6.2600000000000003E-2</v>
      </c>
      <c r="CK99" s="228">
        <v>0</v>
      </c>
      <c r="CL99" s="228">
        <v>0</v>
      </c>
      <c r="CM99" s="228">
        <v>0</v>
      </c>
      <c r="CN99" s="229">
        <v>0</v>
      </c>
      <c r="CO99" s="230">
        <v>1065</v>
      </c>
      <c r="CP99" s="230">
        <v>1030</v>
      </c>
      <c r="CQ99" s="228">
        <v>36</v>
      </c>
      <c r="CR99" s="229">
        <v>3.4599999999999999E-2</v>
      </c>
      <c r="CS99" s="228">
        <v>673</v>
      </c>
      <c r="CT99" s="228">
        <v>667</v>
      </c>
      <c r="CU99" s="228">
        <v>6</v>
      </c>
      <c r="CV99" s="229">
        <v>8.8999999999999999E-3</v>
      </c>
      <c r="CW99" s="230">
        <v>4485</v>
      </c>
      <c r="CX99" s="230">
        <v>4426</v>
      </c>
      <c r="CY99" s="228">
        <v>59</v>
      </c>
      <c r="CZ99" s="229">
        <v>1.34E-2</v>
      </c>
      <c r="DA99" s="228">
        <v>38</v>
      </c>
      <c r="DB99" s="228">
        <v>36.020000000000003</v>
      </c>
      <c r="DC99" s="228">
        <v>1.98</v>
      </c>
      <c r="DD99" s="228">
        <v>1.98</v>
      </c>
      <c r="DE99" s="228">
        <v>36.56</v>
      </c>
      <c r="DF99" s="228">
        <v>36.54</v>
      </c>
      <c r="DG99" s="228">
        <v>1.44</v>
      </c>
      <c r="DH99" s="228">
        <v>0.02</v>
      </c>
      <c r="DI99" s="228">
        <v>38.76</v>
      </c>
      <c r="DJ99" s="228">
        <v>36.6</v>
      </c>
      <c r="DK99" s="228">
        <v>2.16</v>
      </c>
      <c r="DL99" s="228">
        <v>2.16</v>
      </c>
      <c r="DM99" s="228">
        <v>36.22</v>
      </c>
      <c r="DN99" s="228">
        <v>34.67</v>
      </c>
      <c r="DO99" s="228">
        <v>1.55</v>
      </c>
      <c r="DP99" s="228">
        <v>1.55</v>
      </c>
      <c r="DQ99" s="228">
        <v>0.63</v>
      </c>
      <c r="DR99" s="228">
        <v>0.65</v>
      </c>
      <c r="DS99" s="228">
        <v>-0.02</v>
      </c>
      <c r="DT99" s="229">
        <v>-3.0800000000000001E-2</v>
      </c>
      <c r="DU99" s="228">
        <v>80</v>
      </c>
      <c r="DV99" s="228">
        <v>70</v>
      </c>
      <c r="DW99" s="228">
        <v>0.42</v>
      </c>
      <c r="DX99" s="228">
        <v>0.43</v>
      </c>
      <c r="DY99" s="228">
        <v>-0.01</v>
      </c>
      <c r="DZ99" s="229">
        <v>-2.3300000000000001E-2</v>
      </c>
      <c r="EA99" s="229">
        <v>0.2422</v>
      </c>
      <c r="EB99" s="230">
        <v>86276050</v>
      </c>
      <c r="EC99" s="229">
        <v>5.0000000000000001E-3</v>
      </c>
      <c r="ED99" s="229">
        <v>0.2422</v>
      </c>
      <c r="EE99" s="228">
        <v>0.39</v>
      </c>
      <c r="EF99" s="229">
        <v>5.3E-3</v>
      </c>
      <c r="EG99" s="230">
        <v>5943939</v>
      </c>
      <c r="EH99" s="230">
        <v>7892216</v>
      </c>
      <c r="EI99" s="229">
        <v>-0.24690000000000001</v>
      </c>
      <c r="EJ99" s="229">
        <v>0.45979999999999999</v>
      </c>
      <c r="EK99" s="228">
        <v>684.98</v>
      </c>
      <c r="EL99" s="228">
        <v>273.70999999999998</v>
      </c>
      <c r="EM99" s="228">
        <v>366.04</v>
      </c>
      <c r="EN99" s="228">
        <v>0</v>
      </c>
      <c r="EO99" s="231">
        <v>1324.74</v>
      </c>
      <c r="EP99" s="231">
        <v>2739.28</v>
      </c>
      <c r="EQ99" s="231">
        <v>-1414.54</v>
      </c>
      <c r="ER99" s="229">
        <v>-0.51639999999999997</v>
      </c>
      <c r="ES99" s="231">
        <v>1139.05</v>
      </c>
      <c r="ET99" s="228">
        <v>661.76</v>
      </c>
      <c r="EU99" s="231">
        <v>2750.41</v>
      </c>
      <c r="EV99" s="231">
        <v>1464421396</v>
      </c>
      <c r="EW99" s="231">
        <v>4551.22</v>
      </c>
      <c r="EX99" s="231">
        <v>4549.62</v>
      </c>
      <c r="EY99" s="228">
        <v>1.6</v>
      </c>
      <c r="EZ99" s="229">
        <v>4.0000000000000002E-4</v>
      </c>
      <c r="FA99" s="229">
        <v>0.42209999999999998</v>
      </c>
      <c r="FB99" s="227" t="s">
        <v>567</v>
      </c>
      <c r="FC99">
        <f t="shared" si="1"/>
        <v>717</v>
      </c>
    </row>
    <row r="100" spans="1:159" ht="17.25" thickBot="1" x14ac:dyDescent="0.3">
      <c r="A100" s="226">
        <v>45860</v>
      </c>
      <c r="B100" s="227" t="s">
        <v>161</v>
      </c>
      <c r="C100" s="227" t="s">
        <v>514</v>
      </c>
      <c r="D100" s="228">
        <v>3750</v>
      </c>
      <c r="E100" s="228">
        <v>9</v>
      </c>
      <c r="F100" s="228">
        <v>192.61</v>
      </c>
      <c r="G100" s="228">
        <v>196.33</v>
      </c>
      <c r="H100" s="228">
        <v>-3.72</v>
      </c>
      <c r="I100" s="229">
        <v>-1.89E-2</v>
      </c>
      <c r="J100" s="228">
        <v>192.56</v>
      </c>
      <c r="K100" s="228">
        <v>195.99</v>
      </c>
      <c r="L100" s="228">
        <v>-3.43</v>
      </c>
      <c r="M100" s="229">
        <v>-1.7500000000000002E-2</v>
      </c>
      <c r="N100" s="228">
        <v>192.61</v>
      </c>
      <c r="O100" s="228">
        <v>196.33</v>
      </c>
      <c r="P100" s="228">
        <v>-3.72</v>
      </c>
      <c r="Q100" s="229">
        <v>-1.89E-2</v>
      </c>
      <c r="R100" s="228">
        <v>193.67</v>
      </c>
      <c r="S100" s="228">
        <v>197.22</v>
      </c>
      <c r="T100" s="228">
        <v>-3.55</v>
      </c>
      <c r="U100" s="229">
        <v>-1.7999999999999999E-2</v>
      </c>
      <c r="V100" s="228">
        <v>0</v>
      </c>
      <c r="W100" s="228">
        <v>0</v>
      </c>
      <c r="X100" s="228">
        <v>0</v>
      </c>
      <c r="Y100" s="229">
        <v>0</v>
      </c>
      <c r="Z100" s="228">
        <v>0.05</v>
      </c>
      <c r="AA100" s="228">
        <v>0.34</v>
      </c>
      <c r="AB100" s="228">
        <v>-0.28999999999999998</v>
      </c>
      <c r="AC100" s="229">
        <v>2.9999999999999997E-4</v>
      </c>
      <c r="AD100" s="228">
        <v>0.05</v>
      </c>
      <c r="AE100" s="228">
        <v>0.34</v>
      </c>
      <c r="AF100" s="228">
        <v>-0.28999999999999998</v>
      </c>
      <c r="AG100" s="229">
        <v>2.9999999999999997E-4</v>
      </c>
      <c r="AH100" s="228">
        <v>1.1100000000000001</v>
      </c>
      <c r="AI100" s="228">
        <v>1.23</v>
      </c>
      <c r="AJ100" s="228">
        <v>-0.12</v>
      </c>
      <c r="AK100" s="229">
        <v>5.7999999999999996E-3</v>
      </c>
      <c r="AL100" s="228">
        <v>0</v>
      </c>
      <c r="AM100" s="228">
        <v>0</v>
      </c>
      <c r="AN100" s="228">
        <v>0</v>
      </c>
      <c r="AO100" s="229">
        <v>0</v>
      </c>
      <c r="AP100" s="228">
        <v>195.04</v>
      </c>
      <c r="AQ100" s="228">
        <v>195.75</v>
      </c>
      <c r="AR100" s="228">
        <v>0</v>
      </c>
      <c r="AS100" s="228">
        <v>787</v>
      </c>
      <c r="AT100" s="228">
        <v>516</v>
      </c>
      <c r="AU100" s="228">
        <v>271</v>
      </c>
      <c r="AV100" s="229">
        <v>0.52449999999999997</v>
      </c>
      <c r="AW100" s="228">
        <v>628</v>
      </c>
      <c r="AX100" s="228">
        <v>466</v>
      </c>
      <c r="AY100" s="228">
        <v>162</v>
      </c>
      <c r="AZ100" s="229">
        <v>0.3473</v>
      </c>
      <c r="BA100" s="228">
        <v>153</v>
      </c>
      <c r="BB100" s="228">
        <v>47</v>
      </c>
      <c r="BC100" s="228">
        <v>106</v>
      </c>
      <c r="BD100" s="229">
        <v>2.2705000000000002</v>
      </c>
      <c r="BE100" s="228">
        <v>0</v>
      </c>
      <c r="BF100" s="228">
        <v>0</v>
      </c>
      <c r="BG100" s="228">
        <v>0</v>
      </c>
      <c r="BH100" s="229">
        <v>0</v>
      </c>
      <c r="BI100" s="230">
        <v>2305</v>
      </c>
      <c r="BJ100" s="230">
        <v>1142</v>
      </c>
      <c r="BK100" s="230">
        <v>1163</v>
      </c>
      <c r="BL100" s="229">
        <v>1.0185</v>
      </c>
      <c r="BM100" s="230">
        <v>4975</v>
      </c>
      <c r="BN100" s="230">
        <v>2985</v>
      </c>
      <c r="BO100" s="230">
        <v>1990</v>
      </c>
      <c r="BP100" s="229">
        <v>0.66679999999999995</v>
      </c>
      <c r="BQ100" s="230">
        <v>8067</v>
      </c>
      <c r="BR100" s="230">
        <v>4643</v>
      </c>
      <c r="BS100" s="230">
        <v>3424</v>
      </c>
      <c r="BT100" s="229">
        <v>0.73750000000000004</v>
      </c>
      <c r="BU100" s="230">
        <v>10160326</v>
      </c>
      <c r="BV100" s="230">
        <v>8151662</v>
      </c>
      <c r="BW100" s="230">
        <v>2008664</v>
      </c>
      <c r="BX100" s="229">
        <v>0.24640000000000001</v>
      </c>
      <c r="BY100" s="228">
        <v>985</v>
      </c>
      <c r="BZ100" s="228">
        <v>787</v>
      </c>
      <c r="CA100" s="228">
        <v>198</v>
      </c>
      <c r="CB100" s="229">
        <v>0.25109999999999999</v>
      </c>
      <c r="CC100" s="228">
        <v>822</v>
      </c>
      <c r="CD100" s="228">
        <v>710</v>
      </c>
      <c r="CE100" s="228">
        <v>113</v>
      </c>
      <c r="CF100" s="229">
        <v>0.1588</v>
      </c>
      <c r="CG100" s="228">
        <v>149</v>
      </c>
      <c r="CH100" s="228">
        <v>68</v>
      </c>
      <c r="CI100" s="228">
        <v>82</v>
      </c>
      <c r="CJ100" s="229">
        <v>1.2128000000000001</v>
      </c>
      <c r="CK100" s="228">
        <v>0</v>
      </c>
      <c r="CL100" s="228">
        <v>0</v>
      </c>
      <c r="CM100" s="228">
        <v>0</v>
      </c>
      <c r="CN100" s="229">
        <v>0</v>
      </c>
      <c r="CO100" s="228">
        <v>881</v>
      </c>
      <c r="CP100" s="228">
        <v>643</v>
      </c>
      <c r="CQ100" s="228">
        <v>237</v>
      </c>
      <c r="CR100" s="229">
        <v>0.36859999999999998</v>
      </c>
      <c r="CS100" s="230">
        <v>2030</v>
      </c>
      <c r="CT100" s="230">
        <v>1107</v>
      </c>
      <c r="CU100" s="228">
        <v>923</v>
      </c>
      <c r="CV100" s="229">
        <v>0.83309999999999995</v>
      </c>
      <c r="CW100" s="230">
        <v>3896</v>
      </c>
      <c r="CX100" s="230">
        <v>2538</v>
      </c>
      <c r="CY100" s="230">
        <v>1357</v>
      </c>
      <c r="CZ100" s="229">
        <v>0.53480000000000005</v>
      </c>
      <c r="DA100" s="228">
        <v>67.400000000000006</v>
      </c>
      <c r="DB100" s="228">
        <v>56.98</v>
      </c>
      <c r="DC100" s="228">
        <v>10.42</v>
      </c>
      <c r="DD100" s="228">
        <v>10.42</v>
      </c>
      <c r="DE100" s="228">
        <v>42.42</v>
      </c>
      <c r="DF100" s="228">
        <v>42.45</v>
      </c>
      <c r="DG100" s="228">
        <v>24.98</v>
      </c>
      <c r="DH100" s="228">
        <v>-0.03</v>
      </c>
      <c r="DI100" s="228">
        <v>53.77</v>
      </c>
      <c r="DJ100" s="228">
        <v>46.8</v>
      </c>
      <c r="DK100" s="228">
        <v>6.97</v>
      </c>
      <c r="DL100" s="228">
        <v>6.97</v>
      </c>
      <c r="DM100" s="228">
        <v>73.72</v>
      </c>
      <c r="DN100" s="228">
        <v>60.87</v>
      </c>
      <c r="DO100" s="228">
        <v>12.85</v>
      </c>
      <c r="DP100" s="228">
        <v>12.85</v>
      </c>
      <c r="DQ100" s="228">
        <v>2.2999999999999998</v>
      </c>
      <c r="DR100" s="228">
        <v>1.72</v>
      </c>
      <c r="DS100" s="228">
        <v>0.57999999999999996</v>
      </c>
      <c r="DT100" s="229">
        <v>0.3372</v>
      </c>
      <c r="DU100" s="228">
        <v>210</v>
      </c>
      <c r="DV100" s="228">
        <v>180</v>
      </c>
      <c r="DW100" s="228">
        <v>2.16</v>
      </c>
      <c r="DX100" s="228">
        <v>2.61</v>
      </c>
      <c r="DY100" s="228">
        <v>-0.45</v>
      </c>
      <c r="DZ100" s="229">
        <v>-0.1724</v>
      </c>
      <c r="EA100" s="229">
        <v>0.1517</v>
      </c>
      <c r="EB100" s="230">
        <v>3506250</v>
      </c>
      <c r="EC100" s="229">
        <v>5.4999999999999997E-3</v>
      </c>
      <c r="ED100" s="229">
        <v>0.1517</v>
      </c>
      <c r="EE100" s="228">
        <v>0.71</v>
      </c>
      <c r="EF100" s="229">
        <v>3.5999999999999999E-3</v>
      </c>
      <c r="EG100" s="230">
        <v>3782955</v>
      </c>
      <c r="EH100" s="230">
        <v>3915858</v>
      </c>
      <c r="EI100" s="229">
        <v>-3.39E-2</v>
      </c>
      <c r="EJ100" s="229">
        <v>0.37230000000000002</v>
      </c>
      <c r="EK100" s="231">
        <v>2493.12</v>
      </c>
      <c r="EL100" s="231">
        <v>4756.59</v>
      </c>
      <c r="EM100" s="228">
        <v>797.84</v>
      </c>
      <c r="EN100" s="228">
        <v>0</v>
      </c>
      <c r="EO100" s="231">
        <v>8047.55</v>
      </c>
      <c r="EP100" s="231">
        <v>4702.97</v>
      </c>
      <c r="EQ100" s="231">
        <v>3344.58</v>
      </c>
      <c r="ER100" s="229">
        <v>0.71120000000000005</v>
      </c>
      <c r="ES100" s="228">
        <v>941.86</v>
      </c>
      <c r="ET100" s="231">
        <v>1909.3</v>
      </c>
      <c r="EU100" s="228">
        <v>985.95</v>
      </c>
      <c r="EV100" s="231">
        <v>177849950</v>
      </c>
      <c r="EW100" s="231">
        <v>3837.11</v>
      </c>
      <c r="EX100" s="231">
        <v>2560.02</v>
      </c>
      <c r="EY100" s="231">
        <v>1277.0899999999999</v>
      </c>
      <c r="EZ100" s="229">
        <v>0.49890000000000001</v>
      </c>
      <c r="FA100" s="229">
        <v>1.1372</v>
      </c>
      <c r="FB100" s="227" t="s">
        <v>567</v>
      </c>
      <c r="FC100">
        <f t="shared" si="1"/>
        <v>163</v>
      </c>
    </row>
    <row r="101" spans="1:159" ht="17.25" thickBot="1" x14ac:dyDescent="0.3">
      <c r="A101" s="226">
        <v>45860</v>
      </c>
      <c r="B101" s="227" t="s">
        <v>193</v>
      </c>
      <c r="C101" s="227" t="s">
        <v>236</v>
      </c>
      <c r="D101" s="228">
        <v>2750</v>
      </c>
      <c r="E101" s="228">
        <v>9</v>
      </c>
      <c r="F101" s="228">
        <v>213.5</v>
      </c>
      <c r="G101" s="228">
        <v>213.86</v>
      </c>
      <c r="H101" s="228">
        <v>-0.36</v>
      </c>
      <c r="I101" s="229">
        <v>-1.6999999999999999E-3</v>
      </c>
      <c r="J101" s="228">
        <v>212.88</v>
      </c>
      <c r="K101" s="228">
        <v>213.06</v>
      </c>
      <c r="L101" s="228">
        <v>-0.18</v>
      </c>
      <c r="M101" s="229">
        <v>-8.0000000000000004E-4</v>
      </c>
      <c r="N101" s="228">
        <v>213.5</v>
      </c>
      <c r="O101" s="228">
        <v>213.86</v>
      </c>
      <c r="P101" s="228">
        <v>-0.36</v>
      </c>
      <c r="Q101" s="229">
        <v>-1.6999999999999999E-3</v>
      </c>
      <c r="R101" s="228">
        <v>213.33</v>
      </c>
      <c r="S101" s="228">
        <v>214.2</v>
      </c>
      <c r="T101" s="228">
        <v>-0.87</v>
      </c>
      <c r="U101" s="229">
        <v>-4.1000000000000003E-3</v>
      </c>
      <c r="V101" s="228">
        <v>0</v>
      </c>
      <c r="W101" s="228">
        <v>0</v>
      </c>
      <c r="X101" s="228">
        <v>0</v>
      </c>
      <c r="Y101" s="229">
        <v>0</v>
      </c>
      <c r="Z101" s="228">
        <v>0.62</v>
      </c>
      <c r="AA101" s="228">
        <v>0.8</v>
      </c>
      <c r="AB101" s="228">
        <v>-0.18</v>
      </c>
      <c r="AC101" s="229">
        <v>2.8999999999999998E-3</v>
      </c>
      <c r="AD101" s="228">
        <v>0.62</v>
      </c>
      <c r="AE101" s="228">
        <v>0.8</v>
      </c>
      <c r="AF101" s="228">
        <v>-0.18</v>
      </c>
      <c r="AG101" s="229">
        <v>2.8999999999999998E-3</v>
      </c>
      <c r="AH101" s="228">
        <v>0.45</v>
      </c>
      <c r="AI101" s="228">
        <v>1.1399999999999999</v>
      </c>
      <c r="AJ101" s="228">
        <v>-0.69</v>
      </c>
      <c r="AK101" s="229">
        <v>2.0999999999999999E-3</v>
      </c>
      <c r="AL101" s="228">
        <v>0</v>
      </c>
      <c r="AM101" s="228">
        <v>0</v>
      </c>
      <c r="AN101" s="228">
        <v>0</v>
      </c>
      <c r="AO101" s="229">
        <v>0</v>
      </c>
      <c r="AP101" s="228">
        <v>214.74</v>
      </c>
      <c r="AQ101" s="228">
        <v>215.07</v>
      </c>
      <c r="AR101" s="228">
        <v>0</v>
      </c>
      <c r="AS101" s="228">
        <v>230</v>
      </c>
      <c r="AT101" s="228">
        <v>100</v>
      </c>
      <c r="AU101" s="228">
        <v>130</v>
      </c>
      <c r="AV101" s="229">
        <v>1.2926</v>
      </c>
      <c r="AW101" s="228">
        <v>168</v>
      </c>
      <c r="AX101" s="228">
        <v>86</v>
      </c>
      <c r="AY101" s="228">
        <v>82</v>
      </c>
      <c r="AZ101" s="229">
        <v>0.94769999999999999</v>
      </c>
      <c r="BA101" s="228">
        <v>60</v>
      </c>
      <c r="BB101" s="228">
        <v>13</v>
      </c>
      <c r="BC101" s="228">
        <v>47</v>
      </c>
      <c r="BD101" s="229">
        <v>3.6154000000000002</v>
      </c>
      <c r="BE101" s="228">
        <v>0</v>
      </c>
      <c r="BF101" s="228">
        <v>0</v>
      </c>
      <c r="BG101" s="228">
        <v>0</v>
      </c>
      <c r="BH101" s="229">
        <v>0</v>
      </c>
      <c r="BI101" s="228">
        <v>530</v>
      </c>
      <c r="BJ101" s="228">
        <v>279</v>
      </c>
      <c r="BK101" s="228">
        <v>251</v>
      </c>
      <c r="BL101" s="229">
        <v>0.90049999999999997</v>
      </c>
      <c r="BM101" s="228">
        <v>564</v>
      </c>
      <c r="BN101" s="228">
        <v>449</v>
      </c>
      <c r="BO101" s="228">
        <v>115</v>
      </c>
      <c r="BP101" s="229">
        <v>0.25650000000000001</v>
      </c>
      <c r="BQ101" s="230">
        <v>1324</v>
      </c>
      <c r="BR101" s="228">
        <v>828</v>
      </c>
      <c r="BS101" s="228">
        <v>496</v>
      </c>
      <c r="BT101" s="229">
        <v>0.5988</v>
      </c>
      <c r="BU101" s="230">
        <v>4118872</v>
      </c>
      <c r="BV101" s="230">
        <v>1680399</v>
      </c>
      <c r="BW101" s="230">
        <v>2438473</v>
      </c>
      <c r="BX101" s="229">
        <v>1.4511000000000001</v>
      </c>
      <c r="BY101" s="228">
        <v>401</v>
      </c>
      <c r="BZ101" s="228">
        <v>372</v>
      </c>
      <c r="CA101" s="228">
        <v>29</v>
      </c>
      <c r="CB101" s="229">
        <v>7.8799999999999995E-2</v>
      </c>
      <c r="CC101" s="228">
        <v>322</v>
      </c>
      <c r="CD101" s="228">
        <v>309</v>
      </c>
      <c r="CE101" s="228">
        <v>13</v>
      </c>
      <c r="CF101" s="229">
        <v>4.36E-2</v>
      </c>
      <c r="CG101" s="228">
        <v>68</v>
      </c>
      <c r="CH101" s="228">
        <v>53</v>
      </c>
      <c r="CI101" s="228">
        <v>15</v>
      </c>
      <c r="CJ101" s="229">
        <v>0.28289999999999998</v>
      </c>
      <c r="CK101" s="228">
        <v>0</v>
      </c>
      <c r="CL101" s="228">
        <v>0</v>
      </c>
      <c r="CM101" s="228">
        <v>0</v>
      </c>
      <c r="CN101" s="229">
        <v>0</v>
      </c>
      <c r="CO101" s="228">
        <v>320</v>
      </c>
      <c r="CP101" s="228">
        <v>309</v>
      </c>
      <c r="CQ101" s="228">
        <v>11</v>
      </c>
      <c r="CR101" s="229">
        <v>3.5999999999999997E-2</v>
      </c>
      <c r="CS101" s="228">
        <v>219</v>
      </c>
      <c r="CT101" s="228">
        <v>189</v>
      </c>
      <c r="CU101" s="228">
        <v>30</v>
      </c>
      <c r="CV101" s="229">
        <v>0.15609999999999999</v>
      </c>
      <c r="CW101" s="228">
        <v>939</v>
      </c>
      <c r="CX101" s="228">
        <v>870</v>
      </c>
      <c r="CY101" s="228">
        <v>70</v>
      </c>
      <c r="CZ101" s="229">
        <v>8.0399999999999999E-2</v>
      </c>
      <c r="DA101" s="228">
        <v>37.869999999999997</v>
      </c>
      <c r="DB101" s="228">
        <v>36.549999999999997</v>
      </c>
      <c r="DC101" s="228">
        <v>1.32</v>
      </c>
      <c r="DD101" s="228">
        <v>1.32</v>
      </c>
      <c r="DE101" s="228">
        <v>45.84</v>
      </c>
      <c r="DF101" s="228">
        <v>45.95</v>
      </c>
      <c r="DG101" s="228">
        <v>-7.97</v>
      </c>
      <c r="DH101" s="228">
        <v>-0.11</v>
      </c>
      <c r="DI101" s="228">
        <v>36.21</v>
      </c>
      <c r="DJ101" s="228">
        <v>35.46</v>
      </c>
      <c r="DK101" s="228">
        <v>0.75</v>
      </c>
      <c r="DL101" s="228">
        <v>0.75</v>
      </c>
      <c r="DM101" s="228">
        <v>39.43</v>
      </c>
      <c r="DN101" s="228">
        <v>37.22</v>
      </c>
      <c r="DO101" s="228">
        <v>2.21</v>
      </c>
      <c r="DP101" s="228">
        <v>2.21</v>
      </c>
      <c r="DQ101" s="228">
        <v>0.68</v>
      </c>
      <c r="DR101" s="228">
        <v>0.61</v>
      </c>
      <c r="DS101" s="228">
        <v>7.0000000000000007E-2</v>
      </c>
      <c r="DT101" s="229">
        <v>0.1148</v>
      </c>
      <c r="DU101" s="228">
        <v>220</v>
      </c>
      <c r="DV101" s="228">
        <v>200</v>
      </c>
      <c r="DW101" s="228">
        <v>1.07</v>
      </c>
      <c r="DX101" s="228">
        <v>1.61</v>
      </c>
      <c r="DY101" s="228">
        <v>-0.54</v>
      </c>
      <c r="DZ101" s="229">
        <v>-0.33539999999999998</v>
      </c>
      <c r="EA101" s="229">
        <v>0.1699</v>
      </c>
      <c r="EB101" s="230">
        <v>2488750</v>
      </c>
      <c r="EC101" s="229">
        <v>-8.0000000000000004E-4</v>
      </c>
      <c r="ED101" s="229">
        <v>0.1699</v>
      </c>
      <c r="EE101" s="228">
        <v>0.33</v>
      </c>
      <c r="EF101" s="229">
        <v>1.5E-3</v>
      </c>
      <c r="EG101" s="230">
        <v>1923793</v>
      </c>
      <c r="EH101" s="230">
        <v>654847</v>
      </c>
      <c r="EI101" s="229">
        <v>1.9378</v>
      </c>
      <c r="EJ101" s="229">
        <v>0.46710000000000002</v>
      </c>
      <c r="EK101" s="228">
        <v>555.42999999999995</v>
      </c>
      <c r="EL101" s="228">
        <v>542.45000000000005</v>
      </c>
      <c r="EM101" s="228">
        <v>231.46</v>
      </c>
      <c r="EN101" s="228">
        <v>0</v>
      </c>
      <c r="EO101" s="231">
        <v>1329.34</v>
      </c>
      <c r="EP101" s="228">
        <v>829.34</v>
      </c>
      <c r="EQ101" s="228">
        <v>499.99</v>
      </c>
      <c r="ER101" s="229">
        <v>0.60289999999999999</v>
      </c>
      <c r="ES101" s="228">
        <v>339.13</v>
      </c>
      <c r="ET101" s="228">
        <v>210.73</v>
      </c>
      <c r="EU101" s="228">
        <v>401.07</v>
      </c>
      <c r="EV101" s="231">
        <v>154000160</v>
      </c>
      <c r="EW101" s="228">
        <v>950.93</v>
      </c>
      <c r="EX101" s="228">
        <v>883.36</v>
      </c>
      <c r="EY101" s="228">
        <v>67.569999999999993</v>
      </c>
      <c r="EZ101" s="229">
        <v>7.6499999999999999E-2</v>
      </c>
      <c r="FA101" s="229">
        <v>0.28570000000000001</v>
      </c>
      <c r="FB101" s="227" t="s">
        <v>567</v>
      </c>
      <c r="FC101">
        <f t="shared" si="1"/>
        <v>79</v>
      </c>
    </row>
    <row r="102" spans="1:159" ht="17.25" thickBot="1" x14ac:dyDescent="0.3">
      <c r="A102" s="226">
        <v>45860</v>
      </c>
      <c r="B102" s="227" t="s">
        <v>175</v>
      </c>
      <c r="C102" s="227" t="s">
        <v>668</v>
      </c>
      <c r="D102" s="228">
        <v>1650</v>
      </c>
      <c r="E102" s="228">
        <v>9</v>
      </c>
      <c r="F102" s="228">
        <v>530</v>
      </c>
      <c r="G102" s="228">
        <v>538.29999999999995</v>
      </c>
      <c r="H102" s="228">
        <v>-8.3000000000000007</v>
      </c>
      <c r="I102" s="229">
        <v>-1.54E-2</v>
      </c>
      <c r="J102" s="228">
        <v>529.79999999999995</v>
      </c>
      <c r="K102" s="228">
        <v>536.45000000000005</v>
      </c>
      <c r="L102" s="228">
        <v>-6.65</v>
      </c>
      <c r="M102" s="229">
        <v>-1.24E-2</v>
      </c>
      <c r="N102" s="228">
        <v>530</v>
      </c>
      <c r="O102" s="228">
        <v>538.29999999999995</v>
      </c>
      <c r="P102" s="228">
        <v>-8.3000000000000007</v>
      </c>
      <c r="Q102" s="229">
        <v>-1.54E-2</v>
      </c>
      <c r="R102" s="228">
        <v>532.9</v>
      </c>
      <c r="S102" s="228">
        <v>540.85</v>
      </c>
      <c r="T102" s="228">
        <v>-7.95</v>
      </c>
      <c r="U102" s="229">
        <v>-1.47E-2</v>
      </c>
      <c r="V102" s="228">
        <v>0</v>
      </c>
      <c r="W102" s="228">
        <v>0</v>
      </c>
      <c r="X102" s="228">
        <v>0</v>
      </c>
      <c r="Y102" s="229">
        <v>0</v>
      </c>
      <c r="Z102" s="228">
        <v>0.2</v>
      </c>
      <c r="AA102" s="228">
        <v>1.85</v>
      </c>
      <c r="AB102" s="228">
        <v>-1.65</v>
      </c>
      <c r="AC102" s="229">
        <v>4.0000000000000002E-4</v>
      </c>
      <c r="AD102" s="228">
        <v>0.2</v>
      </c>
      <c r="AE102" s="228">
        <v>1.85</v>
      </c>
      <c r="AF102" s="228">
        <v>-1.65</v>
      </c>
      <c r="AG102" s="229">
        <v>4.0000000000000002E-4</v>
      </c>
      <c r="AH102" s="228">
        <v>3.1</v>
      </c>
      <c r="AI102" s="228">
        <v>4.4000000000000004</v>
      </c>
      <c r="AJ102" s="228">
        <v>-1.3</v>
      </c>
      <c r="AK102" s="229">
        <v>5.8999999999999999E-3</v>
      </c>
      <c r="AL102" s="228">
        <v>0</v>
      </c>
      <c r="AM102" s="228">
        <v>0</v>
      </c>
      <c r="AN102" s="228">
        <v>0</v>
      </c>
      <c r="AO102" s="229">
        <v>0</v>
      </c>
      <c r="AP102" s="228">
        <v>532.08000000000004</v>
      </c>
      <c r="AQ102" s="228">
        <v>535.52</v>
      </c>
      <c r="AR102" s="228">
        <v>0</v>
      </c>
      <c r="AS102" s="228">
        <v>91</v>
      </c>
      <c r="AT102" s="228">
        <v>77</v>
      </c>
      <c r="AU102" s="228">
        <v>14</v>
      </c>
      <c r="AV102" s="229">
        <v>0.18790000000000001</v>
      </c>
      <c r="AW102" s="228">
        <v>76</v>
      </c>
      <c r="AX102" s="228">
        <v>69</v>
      </c>
      <c r="AY102" s="228">
        <v>7</v>
      </c>
      <c r="AZ102" s="229">
        <v>0.1038</v>
      </c>
      <c r="BA102" s="228">
        <v>15</v>
      </c>
      <c r="BB102" s="228">
        <v>8</v>
      </c>
      <c r="BC102" s="228">
        <v>7</v>
      </c>
      <c r="BD102" s="229">
        <v>0.9425</v>
      </c>
      <c r="BE102" s="228">
        <v>0</v>
      </c>
      <c r="BF102" s="228">
        <v>0</v>
      </c>
      <c r="BG102" s="228">
        <v>0</v>
      </c>
      <c r="BH102" s="229">
        <v>0</v>
      </c>
      <c r="BI102" s="228">
        <v>189</v>
      </c>
      <c r="BJ102" s="228">
        <v>149</v>
      </c>
      <c r="BK102" s="228">
        <v>40</v>
      </c>
      <c r="BL102" s="229">
        <v>0.27129999999999999</v>
      </c>
      <c r="BM102" s="228">
        <v>136</v>
      </c>
      <c r="BN102" s="228">
        <v>98</v>
      </c>
      <c r="BO102" s="228">
        <v>38</v>
      </c>
      <c r="BP102" s="229">
        <v>0.39140000000000003</v>
      </c>
      <c r="BQ102" s="228">
        <v>416</v>
      </c>
      <c r="BR102" s="228">
        <v>323</v>
      </c>
      <c r="BS102" s="228">
        <v>93</v>
      </c>
      <c r="BT102" s="229">
        <v>0.28789999999999999</v>
      </c>
      <c r="BU102" s="230">
        <v>1297751</v>
      </c>
      <c r="BV102" s="230">
        <v>956266</v>
      </c>
      <c r="BW102" s="230">
        <v>341485</v>
      </c>
      <c r="BX102" s="229">
        <v>0.35709999999999997</v>
      </c>
      <c r="BY102" s="228">
        <v>865</v>
      </c>
      <c r="BZ102" s="228">
        <v>879</v>
      </c>
      <c r="CA102" s="228">
        <v>-14</v>
      </c>
      <c r="CB102" s="229">
        <v>-1.5800000000000002E-2</v>
      </c>
      <c r="CC102" s="228">
        <v>816</v>
      </c>
      <c r="CD102" s="228">
        <v>834</v>
      </c>
      <c r="CE102" s="228">
        <v>-18</v>
      </c>
      <c r="CF102" s="229">
        <v>-2.1299999999999999E-2</v>
      </c>
      <c r="CG102" s="228">
        <v>46</v>
      </c>
      <c r="CH102" s="228">
        <v>42</v>
      </c>
      <c r="CI102" s="228">
        <v>4</v>
      </c>
      <c r="CJ102" s="229">
        <v>9.2200000000000004E-2</v>
      </c>
      <c r="CK102" s="228">
        <v>0</v>
      </c>
      <c r="CL102" s="228">
        <v>0</v>
      </c>
      <c r="CM102" s="228">
        <v>0</v>
      </c>
      <c r="CN102" s="229">
        <v>0</v>
      </c>
      <c r="CO102" s="228">
        <v>215</v>
      </c>
      <c r="CP102" s="228">
        <v>231</v>
      </c>
      <c r="CQ102" s="228">
        <v>-16</v>
      </c>
      <c r="CR102" s="229">
        <v>-6.8199999999999997E-2</v>
      </c>
      <c r="CS102" s="228">
        <v>173</v>
      </c>
      <c r="CT102" s="228">
        <v>192</v>
      </c>
      <c r="CU102" s="228">
        <v>-20</v>
      </c>
      <c r="CV102" s="229">
        <v>-0.10150000000000001</v>
      </c>
      <c r="CW102" s="230">
        <v>1253</v>
      </c>
      <c r="CX102" s="230">
        <v>1302</v>
      </c>
      <c r="CY102" s="228">
        <v>-49</v>
      </c>
      <c r="CZ102" s="229">
        <v>-3.7699999999999997E-2</v>
      </c>
      <c r="DA102" s="228">
        <v>28.34</v>
      </c>
      <c r="DB102" s="228">
        <v>28.06</v>
      </c>
      <c r="DC102" s="228">
        <v>0.28000000000000003</v>
      </c>
      <c r="DD102" s="228">
        <v>0.28000000000000003</v>
      </c>
      <c r="DE102" s="228">
        <v>53.19</v>
      </c>
      <c r="DF102" s="228">
        <v>53.3</v>
      </c>
      <c r="DG102" s="228">
        <v>-24.85</v>
      </c>
      <c r="DH102" s="228">
        <v>-0.11</v>
      </c>
      <c r="DI102" s="228">
        <v>27.25</v>
      </c>
      <c r="DJ102" s="228">
        <v>26.83</v>
      </c>
      <c r="DK102" s="228">
        <v>0.42</v>
      </c>
      <c r="DL102" s="228">
        <v>0.42</v>
      </c>
      <c r="DM102" s="228">
        <v>29.84</v>
      </c>
      <c r="DN102" s="228">
        <v>29.93</v>
      </c>
      <c r="DO102" s="228">
        <v>-0.09</v>
      </c>
      <c r="DP102" s="228">
        <v>-0.09</v>
      </c>
      <c r="DQ102" s="228">
        <v>0.8</v>
      </c>
      <c r="DR102" s="228">
        <v>0.83</v>
      </c>
      <c r="DS102" s="228">
        <v>-0.03</v>
      </c>
      <c r="DT102" s="229">
        <v>-3.61E-2</v>
      </c>
      <c r="DU102" s="228">
        <v>540</v>
      </c>
      <c r="DV102" s="228">
        <v>530</v>
      </c>
      <c r="DW102" s="228">
        <v>0.72</v>
      </c>
      <c r="DX102" s="228">
        <v>0.66</v>
      </c>
      <c r="DY102" s="228">
        <v>0.06</v>
      </c>
      <c r="DZ102" s="229">
        <v>9.0899999999999995E-2</v>
      </c>
      <c r="EA102" s="229">
        <v>5.2699999999999997E-2</v>
      </c>
      <c r="EB102" s="230">
        <v>787050</v>
      </c>
      <c r="EC102" s="229">
        <v>5.4999999999999997E-3</v>
      </c>
      <c r="ED102" s="229">
        <v>5.2699999999999997E-2</v>
      </c>
      <c r="EE102" s="228">
        <v>3.44</v>
      </c>
      <c r="EF102" s="229">
        <v>6.4999999999999997E-3</v>
      </c>
      <c r="EG102" s="230">
        <v>792509</v>
      </c>
      <c r="EH102" s="230">
        <v>507537</v>
      </c>
      <c r="EI102" s="229">
        <v>0.5615</v>
      </c>
      <c r="EJ102" s="229">
        <v>0.61070000000000002</v>
      </c>
      <c r="EK102" s="228">
        <v>195.78</v>
      </c>
      <c r="EL102" s="228">
        <v>132.82</v>
      </c>
      <c r="EM102" s="228">
        <v>91.67</v>
      </c>
      <c r="EN102" s="228">
        <v>0</v>
      </c>
      <c r="EO102" s="228">
        <v>420.26</v>
      </c>
      <c r="EP102" s="228">
        <v>327.05</v>
      </c>
      <c r="EQ102" s="228">
        <v>93.2</v>
      </c>
      <c r="ER102" s="229">
        <v>0.28499999999999998</v>
      </c>
      <c r="ES102" s="228">
        <v>211.94</v>
      </c>
      <c r="ET102" s="228">
        <v>160.59</v>
      </c>
      <c r="EU102" s="228">
        <v>865.61</v>
      </c>
      <c r="EV102" s="231">
        <v>63768380</v>
      </c>
      <c r="EW102" s="231">
        <v>1238.1300000000001</v>
      </c>
      <c r="EX102" s="231">
        <v>1299.6099999999999</v>
      </c>
      <c r="EY102" s="228">
        <v>-61.48</v>
      </c>
      <c r="EZ102" s="229">
        <v>-4.7300000000000002E-2</v>
      </c>
      <c r="FA102" s="229">
        <v>0.37080000000000002</v>
      </c>
      <c r="FB102" s="227" t="s">
        <v>568</v>
      </c>
      <c r="FC102">
        <f t="shared" si="1"/>
        <v>49</v>
      </c>
    </row>
    <row r="103" spans="1:159" ht="17.25" thickBot="1" x14ac:dyDescent="0.3">
      <c r="A103" s="226">
        <v>45860</v>
      </c>
      <c r="B103" s="227" t="s">
        <v>206</v>
      </c>
      <c r="C103" s="227" t="s">
        <v>501</v>
      </c>
      <c r="D103" s="228">
        <v>1000</v>
      </c>
      <c r="E103" s="228">
        <v>9</v>
      </c>
      <c r="F103" s="228">
        <v>757.55</v>
      </c>
      <c r="G103" s="228">
        <v>773.4</v>
      </c>
      <c r="H103" s="228">
        <v>-15.85</v>
      </c>
      <c r="I103" s="229">
        <v>-2.0500000000000001E-2</v>
      </c>
      <c r="J103" s="228">
        <v>756.3</v>
      </c>
      <c r="K103" s="228">
        <v>771.7</v>
      </c>
      <c r="L103" s="228">
        <v>-15.4</v>
      </c>
      <c r="M103" s="229">
        <v>-0.02</v>
      </c>
      <c r="N103" s="228">
        <v>757.55</v>
      </c>
      <c r="O103" s="228">
        <v>773.4</v>
      </c>
      <c r="P103" s="228">
        <v>-15.85</v>
      </c>
      <c r="Q103" s="229">
        <v>-2.0500000000000001E-2</v>
      </c>
      <c r="R103" s="228">
        <v>761.9</v>
      </c>
      <c r="S103" s="228">
        <v>777</v>
      </c>
      <c r="T103" s="228">
        <v>-15.1</v>
      </c>
      <c r="U103" s="229">
        <v>-1.9400000000000001E-2</v>
      </c>
      <c r="V103" s="228">
        <v>0</v>
      </c>
      <c r="W103" s="228">
        <v>0</v>
      </c>
      <c r="X103" s="228">
        <v>0</v>
      </c>
      <c r="Y103" s="229">
        <v>0</v>
      </c>
      <c r="Z103" s="228">
        <v>1.25</v>
      </c>
      <c r="AA103" s="228">
        <v>1.7</v>
      </c>
      <c r="AB103" s="228">
        <v>-0.45</v>
      </c>
      <c r="AC103" s="229">
        <v>1.6999999999999999E-3</v>
      </c>
      <c r="AD103" s="228">
        <v>1.25</v>
      </c>
      <c r="AE103" s="228">
        <v>1.7</v>
      </c>
      <c r="AF103" s="228">
        <v>-0.45</v>
      </c>
      <c r="AG103" s="229">
        <v>1.6999999999999999E-3</v>
      </c>
      <c r="AH103" s="228">
        <v>5.6</v>
      </c>
      <c r="AI103" s="228">
        <v>5.3</v>
      </c>
      <c r="AJ103" s="228">
        <v>0.3</v>
      </c>
      <c r="AK103" s="229">
        <v>7.4000000000000003E-3</v>
      </c>
      <c r="AL103" s="228">
        <v>0</v>
      </c>
      <c r="AM103" s="228">
        <v>0</v>
      </c>
      <c r="AN103" s="228">
        <v>0</v>
      </c>
      <c r="AO103" s="229">
        <v>0</v>
      </c>
      <c r="AP103" s="228">
        <v>763.86</v>
      </c>
      <c r="AQ103" s="228">
        <v>767.93</v>
      </c>
      <c r="AR103" s="228">
        <v>0</v>
      </c>
      <c r="AS103" s="228">
        <v>341</v>
      </c>
      <c r="AT103" s="228">
        <v>337</v>
      </c>
      <c r="AU103" s="228">
        <v>4</v>
      </c>
      <c r="AV103" s="229">
        <v>1.26E-2</v>
      </c>
      <c r="AW103" s="228">
        <v>267</v>
      </c>
      <c r="AX103" s="228">
        <v>274</v>
      </c>
      <c r="AY103" s="228">
        <v>-7</v>
      </c>
      <c r="AZ103" s="229">
        <v>-2.5700000000000001E-2</v>
      </c>
      <c r="BA103" s="228">
        <v>67</v>
      </c>
      <c r="BB103" s="228">
        <v>56</v>
      </c>
      <c r="BC103" s="228">
        <v>12</v>
      </c>
      <c r="BD103" s="229">
        <v>0.21560000000000001</v>
      </c>
      <c r="BE103" s="228">
        <v>0</v>
      </c>
      <c r="BF103" s="228">
        <v>0</v>
      </c>
      <c r="BG103" s="228">
        <v>0</v>
      </c>
      <c r="BH103" s="229">
        <v>0</v>
      </c>
      <c r="BI103" s="230">
        <v>1054</v>
      </c>
      <c r="BJ103" s="230">
        <v>1603</v>
      </c>
      <c r="BK103" s="228">
        <v>-549</v>
      </c>
      <c r="BL103" s="229">
        <v>-0.34229999999999999</v>
      </c>
      <c r="BM103" s="228">
        <v>512</v>
      </c>
      <c r="BN103" s="228">
        <v>745</v>
      </c>
      <c r="BO103" s="228">
        <v>-232</v>
      </c>
      <c r="BP103" s="229">
        <v>-0.312</v>
      </c>
      <c r="BQ103" s="230">
        <v>1908</v>
      </c>
      <c r="BR103" s="230">
        <v>2684</v>
      </c>
      <c r="BS103" s="228">
        <v>-777</v>
      </c>
      <c r="BT103" s="229">
        <v>-0.2893</v>
      </c>
      <c r="BU103" s="230">
        <v>2726079</v>
      </c>
      <c r="BV103" s="230">
        <v>3206502</v>
      </c>
      <c r="BW103" s="230">
        <v>-480423</v>
      </c>
      <c r="BX103" s="229">
        <v>-0.14979999999999999</v>
      </c>
      <c r="BY103" s="230">
        <v>2203</v>
      </c>
      <c r="BZ103" s="230">
        <v>2148</v>
      </c>
      <c r="CA103" s="228">
        <v>55</v>
      </c>
      <c r="CB103" s="229">
        <v>2.5600000000000001E-2</v>
      </c>
      <c r="CC103" s="230">
        <v>2030</v>
      </c>
      <c r="CD103" s="230">
        <v>2005</v>
      </c>
      <c r="CE103" s="228">
        <v>25</v>
      </c>
      <c r="CF103" s="229">
        <v>1.2500000000000001E-2</v>
      </c>
      <c r="CG103" s="228">
        <v>159</v>
      </c>
      <c r="CH103" s="228">
        <v>132</v>
      </c>
      <c r="CI103" s="228">
        <v>27</v>
      </c>
      <c r="CJ103" s="229">
        <v>0.2046</v>
      </c>
      <c r="CK103" s="228">
        <v>0</v>
      </c>
      <c r="CL103" s="228">
        <v>0</v>
      </c>
      <c r="CM103" s="228">
        <v>0</v>
      </c>
      <c r="CN103" s="229">
        <v>0</v>
      </c>
      <c r="CO103" s="228">
        <v>837</v>
      </c>
      <c r="CP103" s="228">
        <v>795</v>
      </c>
      <c r="CQ103" s="228">
        <v>42</v>
      </c>
      <c r="CR103" s="229">
        <v>5.3499999999999999E-2</v>
      </c>
      <c r="CS103" s="228">
        <v>520</v>
      </c>
      <c r="CT103" s="228">
        <v>538</v>
      </c>
      <c r="CU103" s="228">
        <v>-19</v>
      </c>
      <c r="CV103" s="229">
        <v>-3.5000000000000003E-2</v>
      </c>
      <c r="CW103" s="230">
        <v>3560</v>
      </c>
      <c r="CX103" s="230">
        <v>3481</v>
      </c>
      <c r="CY103" s="228">
        <v>79</v>
      </c>
      <c r="CZ103" s="229">
        <v>2.2599999999999999E-2</v>
      </c>
      <c r="DA103" s="228">
        <v>25.37</v>
      </c>
      <c r="DB103" s="228">
        <v>24.22</v>
      </c>
      <c r="DC103" s="228">
        <v>1.1499999999999999</v>
      </c>
      <c r="DD103" s="228">
        <v>1.1499999999999999</v>
      </c>
      <c r="DE103" s="228">
        <v>39.06</v>
      </c>
      <c r="DF103" s="228">
        <v>39.06</v>
      </c>
      <c r="DG103" s="228">
        <v>-13.69</v>
      </c>
      <c r="DH103" s="228">
        <v>0</v>
      </c>
      <c r="DI103" s="228">
        <v>26.2</v>
      </c>
      <c r="DJ103" s="228">
        <v>23.89</v>
      </c>
      <c r="DK103" s="228">
        <v>2.31</v>
      </c>
      <c r="DL103" s="228">
        <v>2.31</v>
      </c>
      <c r="DM103" s="228">
        <v>23.65</v>
      </c>
      <c r="DN103" s="228">
        <v>24.94</v>
      </c>
      <c r="DO103" s="228">
        <v>-1.29</v>
      </c>
      <c r="DP103" s="228">
        <v>-1.29</v>
      </c>
      <c r="DQ103" s="228">
        <v>0.62</v>
      </c>
      <c r="DR103" s="228">
        <v>0.68</v>
      </c>
      <c r="DS103" s="228">
        <v>-0.06</v>
      </c>
      <c r="DT103" s="229">
        <v>-8.8200000000000001E-2</v>
      </c>
      <c r="DU103" s="228">
        <v>800</v>
      </c>
      <c r="DV103" s="228">
        <v>740</v>
      </c>
      <c r="DW103" s="228">
        <v>0.49</v>
      </c>
      <c r="DX103" s="228">
        <v>0.46</v>
      </c>
      <c r="DY103" s="228">
        <v>0.03</v>
      </c>
      <c r="DZ103" s="229">
        <v>6.5199999999999994E-2</v>
      </c>
      <c r="EA103" s="229">
        <v>7.2300000000000003E-2</v>
      </c>
      <c r="EB103" s="230">
        <v>1745000</v>
      </c>
      <c r="EC103" s="229">
        <v>5.7000000000000002E-3</v>
      </c>
      <c r="ED103" s="229">
        <v>7.2300000000000003E-2</v>
      </c>
      <c r="EE103" s="228">
        <v>4.07</v>
      </c>
      <c r="EF103" s="229">
        <v>5.3E-3</v>
      </c>
      <c r="EG103" s="230">
        <v>1645775</v>
      </c>
      <c r="EH103" s="230">
        <v>1602297</v>
      </c>
      <c r="EI103" s="229">
        <v>2.7099999999999999E-2</v>
      </c>
      <c r="EJ103" s="229">
        <v>0.60370000000000001</v>
      </c>
      <c r="EK103" s="231">
        <v>1102.1300000000001</v>
      </c>
      <c r="EL103" s="228">
        <v>512.70000000000005</v>
      </c>
      <c r="EM103" s="228">
        <v>344.56</v>
      </c>
      <c r="EN103" s="228">
        <v>0</v>
      </c>
      <c r="EO103" s="231">
        <v>1959.39</v>
      </c>
      <c r="EP103" s="231">
        <v>2769.94</v>
      </c>
      <c r="EQ103" s="228">
        <v>-810.55</v>
      </c>
      <c r="ER103" s="229">
        <v>-0.29260000000000003</v>
      </c>
      <c r="ES103" s="228">
        <v>874.67</v>
      </c>
      <c r="ET103" s="228">
        <v>509.48</v>
      </c>
      <c r="EU103" s="231">
        <v>2203.7800000000002</v>
      </c>
      <c r="EV103" s="231">
        <v>176174897</v>
      </c>
      <c r="EW103" s="231">
        <v>3587.94</v>
      </c>
      <c r="EX103" s="231">
        <v>3553.31</v>
      </c>
      <c r="EY103" s="228">
        <v>34.630000000000003</v>
      </c>
      <c r="EZ103" s="229">
        <v>9.7000000000000003E-3</v>
      </c>
      <c r="FA103" s="229">
        <v>0.26669999999999999</v>
      </c>
      <c r="FB103" s="227" t="s">
        <v>567</v>
      </c>
      <c r="FC103">
        <f t="shared" si="1"/>
        <v>173</v>
      </c>
    </row>
    <row r="104" spans="1:159" ht="17.25" thickBot="1" x14ac:dyDescent="0.3">
      <c r="A104" s="226">
        <v>45860</v>
      </c>
      <c r="B104" s="227" t="s">
        <v>172</v>
      </c>
      <c r="C104" s="227" t="s">
        <v>579</v>
      </c>
      <c r="D104" s="228">
        <v>1000</v>
      </c>
      <c r="E104" s="228">
        <v>9</v>
      </c>
      <c r="F104" s="228">
        <v>628.95000000000005</v>
      </c>
      <c r="G104" s="228">
        <v>635.65</v>
      </c>
      <c r="H104" s="228">
        <v>-6.7</v>
      </c>
      <c r="I104" s="229">
        <v>-1.0500000000000001E-2</v>
      </c>
      <c r="J104" s="228">
        <v>627.9</v>
      </c>
      <c r="K104" s="228">
        <v>634.75</v>
      </c>
      <c r="L104" s="228">
        <v>-6.85</v>
      </c>
      <c r="M104" s="229">
        <v>-1.0800000000000001E-2</v>
      </c>
      <c r="N104" s="228">
        <v>628.95000000000005</v>
      </c>
      <c r="O104" s="228">
        <v>635.65</v>
      </c>
      <c r="P104" s="228">
        <v>-6.7</v>
      </c>
      <c r="Q104" s="229">
        <v>-1.0500000000000001E-2</v>
      </c>
      <c r="R104" s="228">
        <v>630.35</v>
      </c>
      <c r="S104" s="228">
        <v>637.54999999999995</v>
      </c>
      <c r="T104" s="228">
        <v>-7.2</v>
      </c>
      <c r="U104" s="229">
        <v>-1.1299999999999999E-2</v>
      </c>
      <c r="V104" s="228">
        <v>0</v>
      </c>
      <c r="W104" s="228">
        <v>0</v>
      </c>
      <c r="X104" s="228">
        <v>0</v>
      </c>
      <c r="Y104" s="229">
        <v>0</v>
      </c>
      <c r="Z104" s="228">
        <v>1.05</v>
      </c>
      <c r="AA104" s="228">
        <v>0.9</v>
      </c>
      <c r="AB104" s="228">
        <v>0.15</v>
      </c>
      <c r="AC104" s="229">
        <v>1.6999999999999999E-3</v>
      </c>
      <c r="AD104" s="228">
        <v>1.05</v>
      </c>
      <c r="AE104" s="228">
        <v>0.9</v>
      </c>
      <c r="AF104" s="228">
        <v>0.15</v>
      </c>
      <c r="AG104" s="229">
        <v>1.6999999999999999E-3</v>
      </c>
      <c r="AH104" s="228">
        <v>2.4500000000000002</v>
      </c>
      <c r="AI104" s="228">
        <v>2.8</v>
      </c>
      <c r="AJ104" s="228">
        <v>-0.35</v>
      </c>
      <c r="AK104" s="229">
        <v>3.8999999999999998E-3</v>
      </c>
      <c r="AL104" s="228">
        <v>0</v>
      </c>
      <c r="AM104" s="228">
        <v>0</v>
      </c>
      <c r="AN104" s="228">
        <v>0</v>
      </c>
      <c r="AO104" s="229">
        <v>0</v>
      </c>
      <c r="AP104" s="228">
        <v>631.51</v>
      </c>
      <c r="AQ104" s="228">
        <v>633.24</v>
      </c>
      <c r="AR104" s="228">
        <v>0</v>
      </c>
      <c r="AS104" s="228">
        <v>75</v>
      </c>
      <c r="AT104" s="228">
        <v>74</v>
      </c>
      <c r="AU104" s="228">
        <v>1</v>
      </c>
      <c r="AV104" s="229">
        <v>9.2999999999999992E-3</v>
      </c>
      <c r="AW104" s="228">
        <v>63</v>
      </c>
      <c r="AX104" s="228">
        <v>68</v>
      </c>
      <c r="AY104" s="228">
        <v>-6</v>
      </c>
      <c r="AZ104" s="229">
        <v>-8.1000000000000003E-2</v>
      </c>
      <c r="BA104" s="228">
        <v>12</v>
      </c>
      <c r="BB104" s="228">
        <v>6</v>
      </c>
      <c r="BC104" s="228">
        <v>6</v>
      </c>
      <c r="BD104" s="229">
        <v>1.0645</v>
      </c>
      <c r="BE104" s="228">
        <v>0</v>
      </c>
      <c r="BF104" s="228">
        <v>0</v>
      </c>
      <c r="BG104" s="228">
        <v>0</v>
      </c>
      <c r="BH104" s="229">
        <v>0</v>
      </c>
      <c r="BI104" s="228">
        <v>40</v>
      </c>
      <c r="BJ104" s="228">
        <v>73</v>
      </c>
      <c r="BK104" s="228">
        <v>-32</v>
      </c>
      <c r="BL104" s="229">
        <v>-0.44490000000000002</v>
      </c>
      <c r="BM104" s="228">
        <v>22</v>
      </c>
      <c r="BN104" s="228">
        <v>37</v>
      </c>
      <c r="BO104" s="228">
        <v>-15</v>
      </c>
      <c r="BP104" s="229">
        <v>-0.41270000000000001</v>
      </c>
      <c r="BQ104" s="228">
        <v>137</v>
      </c>
      <c r="BR104" s="228">
        <v>183</v>
      </c>
      <c r="BS104" s="228">
        <v>-47</v>
      </c>
      <c r="BT104" s="229">
        <v>-0.25469999999999998</v>
      </c>
      <c r="BU104" s="230">
        <v>1574456</v>
      </c>
      <c r="BV104" s="230">
        <v>867871</v>
      </c>
      <c r="BW104" s="230">
        <v>706585</v>
      </c>
      <c r="BX104" s="229">
        <v>0.81420000000000003</v>
      </c>
      <c r="BY104" s="228">
        <v>419</v>
      </c>
      <c r="BZ104" s="228">
        <v>416</v>
      </c>
      <c r="CA104" s="228">
        <v>3</v>
      </c>
      <c r="CB104" s="229">
        <v>7.7000000000000002E-3</v>
      </c>
      <c r="CC104" s="228">
        <v>390</v>
      </c>
      <c r="CD104" s="228">
        <v>393</v>
      </c>
      <c r="CE104" s="228">
        <v>-4</v>
      </c>
      <c r="CF104" s="229">
        <v>-9.2999999999999992E-3</v>
      </c>
      <c r="CG104" s="228">
        <v>26</v>
      </c>
      <c r="CH104" s="228">
        <v>19</v>
      </c>
      <c r="CI104" s="228">
        <v>7</v>
      </c>
      <c r="CJ104" s="229">
        <v>0.3528</v>
      </c>
      <c r="CK104" s="228">
        <v>0</v>
      </c>
      <c r="CL104" s="228">
        <v>0</v>
      </c>
      <c r="CM104" s="228">
        <v>0</v>
      </c>
      <c r="CN104" s="229">
        <v>0</v>
      </c>
      <c r="CO104" s="228">
        <v>172</v>
      </c>
      <c r="CP104" s="228">
        <v>174</v>
      </c>
      <c r="CQ104" s="228">
        <v>-3</v>
      </c>
      <c r="CR104" s="229">
        <v>-1.4800000000000001E-2</v>
      </c>
      <c r="CS104" s="228">
        <v>115</v>
      </c>
      <c r="CT104" s="228">
        <v>115</v>
      </c>
      <c r="CU104" s="228">
        <v>1</v>
      </c>
      <c r="CV104" s="229">
        <v>7.7000000000000002E-3</v>
      </c>
      <c r="CW104" s="228">
        <v>706</v>
      </c>
      <c r="CX104" s="228">
        <v>705</v>
      </c>
      <c r="CY104" s="228">
        <v>2</v>
      </c>
      <c r="CZ104" s="229">
        <v>2.0999999999999999E-3</v>
      </c>
      <c r="DA104" s="228">
        <v>39.380000000000003</v>
      </c>
      <c r="DB104" s="228">
        <v>39.119999999999997</v>
      </c>
      <c r="DC104" s="228">
        <v>0.26</v>
      </c>
      <c r="DD104" s="228">
        <v>0.26</v>
      </c>
      <c r="DE104" s="228">
        <v>41.12</v>
      </c>
      <c r="DF104" s="228">
        <v>41.2</v>
      </c>
      <c r="DG104" s="228">
        <v>-1.74</v>
      </c>
      <c r="DH104" s="228">
        <v>-0.08</v>
      </c>
      <c r="DI104" s="228">
        <v>39.83</v>
      </c>
      <c r="DJ104" s="228">
        <v>39.33</v>
      </c>
      <c r="DK104" s="228">
        <v>0.5</v>
      </c>
      <c r="DL104" s="228">
        <v>0.5</v>
      </c>
      <c r="DM104" s="228">
        <v>38.54</v>
      </c>
      <c r="DN104" s="228">
        <v>38.71</v>
      </c>
      <c r="DO104" s="228">
        <v>-0.17</v>
      </c>
      <c r="DP104" s="228">
        <v>-0.17</v>
      </c>
      <c r="DQ104" s="228">
        <v>0.67</v>
      </c>
      <c r="DR104" s="228">
        <v>0.66</v>
      </c>
      <c r="DS104" s="228">
        <v>0.01</v>
      </c>
      <c r="DT104" s="229">
        <v>1.52E-2</v>
      </c>
      <c r="DU104" s="228">
        <v>660</v>
      </c>
      <c r="DV104" s="228">
        <v>600</v>
      </c>
      <c r="DW104" s="228">
        <v>0.54</v>
      </c>
      <c r="DX104" s="228">
        <v>0.51</v>
      </c>
      <c r="DY104" s="228">
        <v>0.03</v>
      </c>
      <c r="DZ104" s="229">
        <v>5.8799999999999998E-2</v>
      </c>
      <c r="EA104" s="229">
        <v>6.2700000000000006E-2</v>
      </c>
      <c r="EB104" s="230">
        <v>309000</v>
      </c>
      <c r="EC104" s="229">
        <v>2.2000000000000001E-3</v>
      </c>
      <c r="ED104" s="229">
        <v>6.2700000000000006E-2</v>
      </c>
      <c r="EE104" s="228">
        <v>1.73</v>
      </c>
      <c r="EF104" s="229">
        <v>2.7000000000000001E-3</v>
      </c>
      <c r="EG104" s="230">
        <v>1033041</v>
      </c>
      <c r="EH104" s="230">
        <v>389450</v>
      </c>
      <c r="EI104" s="229">
        <v>1.6526000000000001</v>
      </c>
      <c r="EJ104" s="229">
        <v>0.65610000000000002</v>
      </c>
      <c r="EK104" s="228">
        <v>42.59</v>
      </c>
      <c r="EL104" s="228">
        <v>21.3</v>
      </c>
      <c r="EM104" s="228">
        <v>75.25</v>
      </c>
      <c r="EN104" s="228">
        <v>0</v>
      </c>
      <c r="EO104" s="228">
        <v>139.13</v>
      </c>
      <c r="EP104" s="228">
        <v>188.1</v>
      </c>
      <c r="EQ104" s="228">
        <v>-48.97</v>
      </c>
      <c r="ER104" s="229">
        <v>-0.26029999999999998</v>
      </c>
      <c r="ES104" s="228">
        <v>180.97</v>
      </c>
      <c r="ET104" s="228">
        <v>112.42</v>
      </c>
      <c r="EU104" s="228">
        <v>419.32</v>
      </c>
      <c r="EV104" s="231">
        <v>70482876</v>
      </c>
      <c r="EW104" s="228">
        <v>712.72</v>
      </c>
      <c r="EX104" s="228">
        <v>715.95</v>
      </c>
      <c r="EY104" s="228">
        <v>-3.23</v>
      </c>
      <c r="EZ104" s="229">
        <v>-4.4999999999999997E-3</v>
      </c>
      <c r="FA104" s="229">
        <v>0.15939999999999999</v>
      </c>
      <c r="FB104" s="227" t="s">
        <v>567</v>
      </c>
      <c r="FC104">
        <f t="shared" si="1"/>
        <v>29</v>
      </c>
    </row>
    <row r="105" spans="1:159" ht="17.25" thickBot="1" x14ac:dyDescent="0.3">
      <c r="A105" s="226">
        <v>45860</v>
      </c>
      <c r="B105" s="227" t="s">
        <v>181</v>
      </c>
      <c r="C105" s="227" t="s">
        <v>570</v>
      </c>
      <c r="D105" s="228">
        <v>1</v>
      </c>
      <c r="E105" s="228">
        <v>9</v>
      </c>
      <c r="F105" s="228">
        <v>10.75</v>
      </c>
      <c r="G105" s="228">
        <v>11.2</v>
      </c>
      <c r="H105" s="228">
        <v>-0.45</v>
      </c>
      <c r="I105" s="229">
        <v>-0.04</v>
      </c>
      <c r="J105" s="228">
        <v>10.75</v>
      </c>
      <c r="K105" s="228">
        <v>11.2</v>
      </c>
      <c r="L105" s="228">
        <v>-0.45</v>
      </c>
      <c r="M105" s="229">
        <v>-0.04</v>
      </c>
      <c r="N105" s="228">
        <v>0</v>
      </c>
      <c r="O105" s="228">
        <v>0</v>
      </c>
      <c r="P105" s="228">
        <v>0</v>
      </c>
      <c r="Q105" s="229">
        <v>0</v>
      </c>
      <c r="R105" s="228">
        <v>0</v>
      </c>
      <c r="S105" s="228">
        <v>0</v>
      </c>
      <c r="T105" s="228">
        <v>0</v>
      </c>
      <c r="U105" s="229">
        <v>0</v>
      </c>
      <c r="V105" s="228">
        <v>0</v>
      </c>
      <c r="W105" s="228">
        <v>0</v>
      </c>
      <c r="X105" s="228">
        <v>0</v>
      </c>
      <c r="Y105" s="229">
        <v>0</v>
      </c>
      <c r="Z105" s="228">
        <v>0</v>
      </c>
      <c r="AA105" s="228">
        <v>0</v>
      </c>
      <c r="AB105" s="228">
        <v>0</v>
      </c>
      <c r="AC105" s="229">
        <v>0</v>
      </c>
      <c r="AD105" s="228">
        <v>0</v>
      </c>
      <c r="AE105" s="228">
        <v>0</v>
      </c>
      <c r="AF105" s="228">
        <v>0</v>
      </c>
      <c r="AG105" s="229">
        <v>0</v>
      </c>
      <c r="AH105" s="228">
        <v>0</v>
      </c>
      <c r="AI105" s="228">
        <v>0</v>
      </c>
      <c r="AJ105" s="228">
        <v>0</v>
      </c>
      <c r="AK105" s="229">
        <v>0</v>
      </c>
      <c r="AL105" s="228">
        <v>0</v>
      </c>
      <c r="AM105" s="228">
        <v>0</v>
      </c>
      <c r="AN105" s="228">
        <v>0</v>
      </c>
      <c r="AO105" s="229">
        <v>0</v>
      </c>
      <c r="AP105" s="228">
        <v>0</v>
      </c>
      <c r="AQ105" s="228">
        <v>0</v>
      </c>
      <c r="AR105" s="228">
        <v>0</v>
      </c>
      <c r="AS105" s="228">
        <v>0</v>
      </c>
      <c r="AT105" s="228">
        <v>0</v>
      </c>
      <c r="AU105" s="228">
        <v>0</v>
      </c>
      <c r="AV105" s="229">
        <v>0</v>
      </c>
      <c r="AW105" s="228">
        <v>0</v>
      </c>
      <c r="AX105" s="228">
        <v>0</v>
      </c>
      <c r="AY105" s="228">
        <v>0</v>
      </c>
      <c r="AZ105" s="229">
        <v>0</v>
      </c>
      <c r="BA105" s="228">
        <v>0</v>
      </c>
      <c r="BB105" s="228">
        <v>0</v>
      </c>
      <c r="BC105" s="228">
        <v>0</v>
      </c>
      <c r="BD105" s="229">
        <v>0</v>
      </c>
      <c r="BE105" s="228">
        <v>0</v>
      </c>
      <c r="BF105" s="228">
        <v>0</v>
      </c>
      <c r="BG105" s="228">
        <v>0</v>
      </c>
      <c r="BH105" s="229">
        <v>0</v>
      </c>
      <c r="BI105" s="228">
        <v>0</v>
      </c>
      <c r="BJ105" s="228">
        <v>0</v>
      </c>
      <c r="BK105" s="228">
        <v>0</v>
      </c>
      <c r="BL105" s="229">
        <v>0</v>
      </c>
      <c r="BM105" s="228">
        <v>0</v>
      </c>
      <c r="BN105" s="228">
        <v>0</v>
      </c>
      <c r="BO105" s="228">
        <v>0</v>
      </c>
      <c r="BP105" s="229">
        <v>0</v>
      </c>
      <c r="BQ105" s="228">
        <v>0</v>
      </c>
      <c r="BR105" s="228">
        <v>0</v>
      </c>
      <c r="BS105" s="228">
        <v>0</v>
      </c>
      <c r="BT105" s="229">
        <v>0</v>
      </c>
      <c r="BU105" s="228">
        <v>0</v>
      </c>
      <c r="BV105" s="228">
        <v>0</v>
      </c>
      <c r="BW105" s="228">
        <v>0</v>
      </c>
      <c r="BX105" s="229">
        <v>0</v>
      </c>
      <c r="BY105" s="228">
        <v>0</v>
      </c>
      <c r="BZ105" s="228">
        <v>0</v>
      </c>
      <c r="CA105" s="228">
        <v>0</v>
      </c>
      <c r="CB105" s="229">
        <v>0</v>
      </c>
      <c r="CC105" s="228">
        <v>0</v>
      </c>
      <c r="CD105" s="228">
        <v>0</v>
      </c>
      <c r="CE105" s="228">
        <v>0</v>
      </c>
      <c r="CF105" s="229">
        <v>0</v>
      </c>
      <c r="CG105" s="228">
        <v>0</v>
      </c>
      <c r="CH105" s="228">
        <v>0</v>
      </c>
      <c r="CI105" s="228">
        <v>0</v>
      </c>
      <c r="CJ105" s="229">
        <v>0</v>
      </c>
      <c r="CK105" s="228">
        <v>0</v>
      </c>
      <c r="CL105" s="228">
        <v>0</v>
      </c>
      <c r="CM105" s="228">
        <v>0</v>
      </c>
      <c r="CN105" s="229">
        <v>0</v>
      </c>
      <c r="CO105" s="228">
        <v>0</v>
      </c>
      <c r="CP105" s="228">
        <v>0</v>
      </c>
      <c r="CQ105" s="228">
        <v>0</v>
      </c>
      <c r="CR105" s="229">
        <v>0</v>
      </c>
      <c r="CS105" s="228">
        <v>0</v>
      </c>
      <c r="CT105" s="228">
        <v>0</v>
      </c>
      <c r="CU105" s="228">
        <v>0</v>
      </c>
      <c r="CV105" s="229">
        <v>0</v>
      </c>
      <c r="CW105" s="228">
        <v>0</v>
      </c>
      <c r="CX105" s="228">
        <v>0</v>
      </c>
      <c r="CY105" s="228">
        <v>0</v>
      </c>
      <c r="CZ105" s="229">
        <v>0</v>
      </c>
      <c r="DA105" s="228">
        <v>0</v>
      </c>
      <c r="DB105" s="228">
        <v>0</v>
      </c>
      <c r="DC105" s="228">
        <v>0</v>
      </c>
      <c r="DD105" s="228">
        <v>0</v>
      </c>
      <c r="DE105" s="228">
        <v>0</v>
      </c>
      <c r="DF105" s="228">
        <v>0</v>
      </c>
      <c r="DG105" s="228">
        <v>0</v>
      </c>
      <c r="DH105" s="228">
        <v>0</v>
      </c>
      <c r="DI105" s="228">
        <v>0</v>
      </c>
      <c r="DJ105" s="228">
        <v>0</v>
      </c>
      <c r="DK105" s="228">
        <v>0</v>
      </c>
      <c r="DL105" s="228">
        <v>0</v>
      </c>
      <c r="DM105" s="228">
        <v>0</v>
      </c>
      <c r="DN105" s="228">
        <v>0</v>
      </c>
      <c r="DO105" s="228">
        <v>0</v>
      </c>
      <c r="DP105" s="228">
        <v>0</v>
      </c>
      <c r="DQ105" s="228">
        <v>0</v>
      </c>
      <c r="DR105" s="228">
        <v>0</v>
      </c>
      <c r="DS105" s="228">
        <v>0</v>
      </c>
      <c r="DT105" s="229">
        <v>0</v>
      </c>
      <c r="DU105" s="228">
        <v>0</v>
      </c>
      <c r="DV105" s="228">
        <v>0</v>
      </c>
      <c r="DW105" s="228">
        <v>0</v>
      </c>
      <c r="DX105" s="228">
        <v>0</v>
      </c>
      <c r="DY105" s="228">
        <v>0</v>
      </c>
      <c r="DZ105" s="229">
        <v>0</v>
      </c>
      <c r="EA105" s="229">
        <v>0</v>
      </c>
      <c r="EB105" s="228">
        <v>0</v>
      </c>
      <c r="EC105" s="229">
        <v>0</v>
      </c>
      <c r="ED105" s="229">
        <v>0</v>
      </c>
      <c r="EE105" s="228">
        <v>0</v>
      </c>
      <c r="EF105" s="229">
        <v>0</v>
      </c>
      <c r="EG105" s="228">
        <v>0</v>
      </c>
      <c r="EH105" s="228">
        <v>0</v>
      </c>
      <c r="EI105" s="229">
        <v>0</v>
      </c>
      <c r="EJ105" s="229">
        <v>0</v>
      </c>
      <c r="EK105" s="228">
        <v>0</v>
      </c>
      <c r="EL105" s="228">
        <v>0</v>
      </c>
      <c r="EM105" s="228">
        <v>0</v>
      </c>
      <c r="EN105" s="228">
        <v>0</v>
      </c>
      <c r="EO105" s="228">
        <v>0</v>
      </c>
      <c r="EP105" s="228">
        <v>0</v>
      </c>
      <c r="EQ105" s="228">
        <v>0</v>
      </c>
      <c r="ER105" s="229">
        <v>0</v>
      </c>
      <c r="ES105" s="228">
        <v>0</v>
      </c>
      <c r="ET105" s="228">
        <v>0</v>
      </c>
      <c r="EU105" s="228">
        <v>0</v>
      </c>
      <c r="EV105" s="228">
        <v>0</v>
      </c>
      <c r="EW105" s="228">
        <v>0</v>
      </c>
      <c r="EX105" s="228">
        <v>0</v>
      </c>
      <c r="EY105" s="228">
        <v>0</v>
      </c>
      <c r="EZ105" s="229">
        <v>0</v>
      </c>
      <c r="FA105" s="229">
        <v>0</v>
      </c>
      <c r="FB105" s="227" t="s">
        <v>237</v>
      </c>
      <c r="FC105">
        <f t="shared" si="1"/>
        <v>0</v>
      </c>
    </row>
    <row r="106" spans="1:159" ht="17.25" thickBot="1" x14ac:dyDescent="0.3">
      <c r="A106" s="226">
        <v>45860</v>
      </c>
      <c r="B106" s="227" t="s">
        <v>215</v>
      </c>
      <c r="C106" s="227" t="s">
        <v>238</v>
      </c>
      <c r="D106" s="228">
        <v>150</v>
      </c>
      <c r="E106" s="228">
        <v>9</v>
      </c>
      <c r="F106" s="231">
        <v>5938.5</v>
      </c>
      <c r="G106" s="231">
        <v>5871.5</v>
      </c>
      <c r="H106" s="228">
        <v>67</v>
      </c>
      <c r="I106" s="229">
        <v>1.14E-2</v>
      </c>
      <c r="J106" s="231">
        <v>5948</v>
      </c>
      <c r="K106" s="231">
        <v>5878</v>
      </c>
      <c r="L106" s="228">
        <v>70</v>
      </c>
      <c r="M106" s="229">
        <v>1.1900000000000001E-2</v>
      </c>
      <c r="N106" s="231">
        <v>5938.5</v>
      </c>
      <c r="O106" s="231">
        <v>5871.5</v>
      </c>
      <c r="P106" s="228">
        <v>67</v>
      </c>
      <c r="Q106" s="229">
        <v>1.14E-2</v>
      </c>
      <c r="R106" s="231">
        <v>5957</v>
      </c>
      <c r="S106" s="231">
        <v>5896</v>
      </c>
      <c r="T106" s="228">
        <v>61</v>
      </c>
      <c r="U106" s="229">
        <v>1.03E-2</v>
      </c>
      <c r="V106" s="228">
        <v>0</v>
      </c>
      <c r="W106" s="228">
        <v>0</v>
      </c>
      <c r="X106" s="228">
        <v>0</v>
      </c>
      <c r="Y106" s="229">
        <v>0</v>
      </c>
      <c r="Z106" s="228">
        <v>-9.5</v>
      </c>
      <c r="AA106" s="228">
        <v>-6.5</v>
      </c>
      <c r="AB106" s="228">
        <v>-3</v>
      </c>
      <c r="AC106" s="229">
        <v>-1.6000000000000001E-3</v>
      </c>
      <c r="AD106" s="228">
        <v>-9.5</v>
      </c>
      <c r="AE106" s="228">
        <v>-6.5</v>
      </c>
      <c r="AF106" s="228">
        <v>-3</v>
      </c>
      <c r="AG106" s="229">
        <v>-1.6000000000000001E-3</v>
      </c>
      <c r="AH106" s="228">
        <v>9</v>
      </c>
      <c r="AI106" s="228">
        <v>18</v>
      </c>
      <c r="AJ106" s="228">
        <v>-9</v>
      </c>
      <c r="AK106" s="229">
        <v>1.5E-3</v>
      </c>
      <c r="AL106" s="228">
        <v>0</v>
      </c>
      <c r="AM106" s="228">
        <v>0</v>
      </c>
      <c r="AN106" s="228">
        <v>0</v>
      </c>
      <c r="AO106" s="229">
        <v>0</v>
      </c>
      <c r="AP106" s="231">
        <v>5911.81</v>
      </c>
      <c r="AQ106" s="231">
        <v>5932.04</v>
      </c>
      <c r="AR106" s="228">
        <v>0</v>
      </c>
      <c r="AS106" s="228">
        <v>577</v>
      </c>
      <c r="AT106" s="228">
        <v>395</v>
      </c>
      <c r="AU106" s="228">
        <v>182</v>
      </c>
      <c r="AV106" s="229">
        <v>0.46</v>
      </c>
      <c r="AW106" s="228">
        <v>443</v>
      </c>
      <c r="AX106" s="228">
        <v>328</v>
      </c>
      <c r="AY106" s="228">
        <v>114</v>
      </c>
      <c r="AZ106" s="229">
        <v>0.3483</v>
      </c>
      <c r="BA106" s="228">
        <v>129</v>
      </c>
      <c r="BB106" s="228">
        <v>63</v>
      </c>
      <c r="BC106" s="228">
        <v>65</v>
      </c>
      <c r="BD106" s="229">
        <v>1.0338000000000001</v>
      </c>
      <c r="BE106" s="228">
        <v>0</v>
      </c>
      <c r="BF106" s="228">
        <v>0</v>
      </c>
      <c r="BG106" s="228">
        <v>0</v>
      </c>
      <c r="BH106" s="229">
        <v>0</v>
      </c>
      <c r="BI106" s="230">
        <v>1914</v>
      </c>
      <c r="BJ106" s="230">
        <v>1246</v>
      </c>
      <c r="BK106" s="228">
        <v>668</v>
      </c>
      <c r="BL106" s="229">
        <v>0.53569999999999995</v>
      </c>
      <c r="BM106" s="228">
        <v>792</v>
      </c>
      <c r="BN106" s="228">
        <v>606</v>
      </c>
      <c r="BO106" s="228">
        <v>187</v>
      </c>
      <c r="BP106" s="229">
        <v>0.30809999999999998</v>
      </c>
      <c r="BQ106" s="230">
        <v>3283</v>
      </c>
      <c r="BR106" s="230">
        <v>2247</v>
      </c>
      <c r="BS106" s="230">
        <v>1036</v>
      </c>
      <c r="BT106" s="229">
        <v>0.46100000000000002</v>
      </c>
      <c r="BU106" s="230">
        <v>534019</v>
      </c>
      <c r="BV106" s="230">
        <v>508121</v>
      </c>
      <c r="BW106" s="230">
        <v>25898</v>
      </c>
      <c r="BX106" s="229">
        <v>5.0999999999999997E-2</v>
      </c>
      <c r="BY106" s="230">
        <v>4434</v>
      </c>
      <c r="BZ106" s="230">
        <v>4393</v>
      </c>
      <c r="CA106" s="228">
        <v>41</v>
      </c>
      <c r="CB106" s="229">
        <v>9.2999999999999992E-3</v>
      </c>
      <c r="CC106" s="230">
        <v>4227</v>
      </c>
      <c r="CD106" s="230">
        <v>4248</v>
      </c>
      <c r="CE106" s="228">
        <v>-21</v>
      </c>
      <c r="CF106" s="229">
        <v>-4.8999999999999998E-3</v>
      </c>
      <c r="CG106" s="228">
        <v>189</v>
      </c>
      <c r="CH106" s="228">
        <v>128</v>
      </c>
      <c r="CI106" s="228">
        <v>61</v>
      </c>
      <c r="CJ106" s="229">
        <v>0.47189999999999999</v>
      </c>
      <c r="CK106" s="228">
        <v>0</v>
      </c>
      <c r="CL106" s="228">
        <v>0</v>
      </c>
      <c r="CM106" s="228">
        <v>0</v>
      </c>
      <c r="CN106" s="229">
        <v>0</v>
      </c>
      <c r="CO106" s="230">
        <v>1973</v>
      </c>
      <c r="CP106" s="230">
        <v>1994</v>
      </c>
      <c r="CQ106" s="228">
        <v>-21</v>
      </c>
      <c r="CR106" s="229">
        <v>-1.0699999999999999E-2</v>
      </c>
      <c r="CS106" s="230">
        <v>1612</v>
      </c>
      <c r="CT106" s="230">
        <v>1582</v>
      </c>
      <c r="CU106" s="228">
        <v>29</v>
      </c>
      <c r="CV106" s="229">
        <v>1.8599999999999998E-2</v>
      </c>
      <c r="CW106" s="230">
        <v>8018</v>
      </c>
      <c r="CX106" s="230">
        <v>7969</v>
      </c>
      <c r="CY106" s="228">
        <v>49</v>
      </c>
      <c r="CZ106" s="229">
        <v>6.1000000000000004E-3</v>
      </c>
      <c r="DA106" s="228">
        <v>28.75</v>
      </c>
      <c r="DB106" s="228">
        <v>27.79</v>
      </c>
      <c r="DC106" s="228">
        <v>0.96</v>
      </c>
      <c r="DD106" s="228">
        <v>0.96</v>
      </c>
      <c r="DE106" s="228">
        <v>35.04</v>
      </c>
      <c r="DF106" s="228">
        <v>35.090000000000003</v>
      </c>
      <c r="DG106" s="228">
        <v>-6.29</v>
      </c>
      <c r="DH106" s="228">
        <v>-0.05</v>
      </c>
      <c r="DI106" s="228">
        <v>26.85</v>
      </c>
      <c r="DJ106" s="228">
        <v>26.16</v>
      </c>
      <c r="DK106" s="228">
        <v>0.69</v>
      </c>
      <c r="DL106" s="228">
        <v>0.69</v>
      </c>
      <c r="DM106" s="228">
        <v>33.35</v>
      </c>
      <c r="DN106" s="228">
        <v>31.14</v>
      </c>
      <c r="DO106" s="228">
        <v>2.21</v>
      </c>
      <c r="DP106" s="228">
        <v>2.21</v>
      </c>
      <c r="DQ106" s="228">
        <v>0.82</v>
      </c>
      <c r="DR106" s="228">
        <v>0.79</v>
      </c>
      <c r="DS106" s="228">
        <v>0.03</v>
      </c>
      <c r="DT106" s="229">
        <v>3.7999999999999999E-2</v>
      </c>
      <c r="DU106" s="231">
        <v>6100</v>
      </c>
      <c r="DV106" s="231">
        <v>5700</v>
      </c>
      <c r="DW106" s="228">
        <v>0.41</v>
      </c>
      <c r="DX106" s="228">
        <v>0.49</v>
      </c>
      <c r="DY106" s="228">
        <v>-0.08</v>
      </c>
      <c r="DZ106" s="229">
        <v>-0.1633</v>
      </c>
      <c r="EA106" s="229">
        <v>4.2599999999999999E-2</v>
      </c>
      <c r="EB106" s="230">
        <v>216150</v>
      </c>
      <c r="EC106" s="229">
        <v>3.0999999999999999E-3</v>
      </c>
      <c r="ED106" s="229">
        <v>4.2599999999999999E-2</v>
      </c>
      <c r="EE106" s="228">
        <v>20.23</v>
      </c>
      <c r="EF106" s="229">
        <v>3.3999999999999998E-3</v>
      </c>
      <c r="EG106" s="230">
        <v>351083</v>
      </c>
      <c r="EH106" s="230">
        <v>306269</v>
      </c>
      <c r="EI106" s="229">
        <v>0.14630000000000001</v>
      </c>
      <c r="EJ106" s="229">
        <v>0.65739999999999998</v>
      </c>
      <c r="EK106" s="231">
        <v>1961.9</v>
      </c>
      <c r="EL106" s="228">
        <v>765.42</v>
      </c>
      <c r="EM106" s="228">
        <v>574.66</v>
      </c>
      <c r="EN106" s="228">
        <v>0</v>
      </c>
      <c r="EO106" s="231">
        <v>3301.98</v>
      </c>
      <c r="EP106" s="231">
        <v>2252.42</v>
      </c>
      <c r="EQ106" s="231">
        <v>1049.56</v>
      </c>
      <c r="ER106" s="229">
        <v>0.46600000000000003</v>
      </c>
      <c r="ES106" s="231">
        <v>1998.04</v>
      </c>
      <c r="ET106" s="231">
        <v>1520.85</v>
      </c>
      <c r="EU106" s="231">
        <v>4434.4799999999996</v>
      </c>
      <c r="EV106" s="231">
        <v>39206614</v>
      </c>
      <c r="EW106" s="231">
        <v>7953.37</v>
      </c>
      <c r="EX106" s="231">
        <v>7856.65</v>
      </c>
      <c r="EY106" s="228">
        <v>96.72</v>
      </c>
      <c r="EZ106" s="229">
        <v>1.23E-2</v>
      </c>
      <c r="FA106" s="229">
        <v>0.34439999999999998</v>
      </c>
      <c r="FB106" s="227" t="s">
        <v>555</v>
      </c>
      <c r="FC106">
        <f t="shared" si="1"/>
        <v>207</v>
      </c>
    </row>
    <row r="107" spans="1:159" ht="17.25" thickBot="1" x14ac:dyDescent="0.3">
      <c r="A107" s="226">
        <v>45860</v>
      </c>
      <c r="B107" s="227" t="s">
        <v>172</v>
      </c>
      <c r="C107" s="227" t="s">
        <v>239</v>
      </c>
      <c r="D107" s="228">
        <v>700</v>
      </c>
      <c r="E107" s="228">
        <v>9</v>
      </c>
      <c r="F107" s="228">
        <v>845.4</v>
      </c>
      <c r="G107" s="228">
        <v>858.9</v>
      </c>
      <c r="H107" s="228">
        <v>-13.5</v>
      </c>
      <c r="I107" s="229">
        <v>-1.5699999999999999E-2</v>
      </c>
      <c r="J107" s="228">
        <v>843.2</v>
      </c>
      <c r="K107" s="228">
        <v>858.8</v>
      </c>
      <c r="L107" s="228">
        <v>-15.6</v>
      </c>
      <c r="M107" s="229">
        <v>-1.8200000000000001E-2</v>
      </c>
      <c r="N107" s="228">
        <v>845.4</v>
      </c>
      <c r="O107" s="228">
        <v>858.9</v>
      </c>
      <c r="P107" s="228">
        <v>-13.5</v>
      </c>
      <c r="Q107" s="229">
        <v>-1.5699999999999999E-2</v>
      </c>
      <c r="R107" s="228">
        <v>849.15</v>
      </c>
      <c r="S107" s="228">
        <v>863.15</v>
      </c>
      <c r="T107" s="228">
        <v>-14</v>
      </c>
      <c r="U107" s="229">
        <v>-1.6199999999999999E-2</v>
      </c>
      <c r="V107" s="228">
        <v>0</v>
      </c>
      <c r="W107" s="228">
        <v>0</v>
      </c>
      <c r="X107" s="228">
        <v>0</v>
      </c>
      <c r="Y107" s="229">
        <v>0</v>
      </c>
      <c r="Z107" s="228">
        <v>2.2000000000000002</v>
      </c>
      <c r="AA107" s="228">
        <v>0.1</v>
      </c>
      <c r="AB107" s="228">
        <v>2.1</v>
      </c>
      <c r="AC107" s="229">
        <v>2.5999999999999999E-3</v>
      </c>
      <c r="AD107" s="228">
        <v>2.2000000000000002</v>
      </c>
      <c r="AE107" s="228">
        <v>0.1</v>
      </c>
      <c r="AF107" s="228">
        <v>2.1</v>
      </c>
      <c r="AG107" s="229">
        <v>2.5999999999999999E-3</v>
      </c>
      <c r="AH107" s="228">
        <v>5.95</v>
      </c>
      <c r="AI107" s="228">
        <v>4.3499999999999996</v>
      </c>
      <c r="AJ107" s="228">
        <v>1.6</v>
      </c>
      <c r="AK107" s="229">
        <v>7.1000000000000004E-3</v>
      </c>
      <c r="AL107" s="228">
        <v>0</v>
      </c>
      <c r="AM107" s="228">
        <v>0</v>
      </c>
      <c r="AN107" s="228">
        <v>0</v>
      </c>
      <c r="AO107" s="229">
        <v>0</v>
      </c>
      <c r="AP107" s="228">
        <v>855.82</v>
      </c>
      <c r="AQ107" s="228">
        <v>857.11</v>
      </c>
      <c r="AR107" s="228">
        <v>0</v>
      </c>
      <c r="AS107" s="230">
        <v>1562</v>
      </c>
      <c r="AT107" s="230">
        <v>1455</v>
      </c>
      <c r="AU107" s="228">
        <v>107</v>
      </c>
      <c r="AV107" s="229">
        <v>7.3599999999999999E-2</v>
      </c>
      <c r="AW107" s="230">
        <v>1226</v>
      </c>
      <c r="AX107" s="230">
        <v>1220</v>
      </c>
      <c r="AY107" s="228">
        <v>5</v>
      </c>
      <c r="AZ107" s="229">
        <v>4.4999999999999997E-3</v>
      </c>
      <c r="BA107" s="228">
        <v>326</v>
      </c>
      <c r="BB107" s="228">
        <v>226</v>
      </c>
      <c r="BC107" s="228">
        <v>100</v>
      </c>
      <c r="BD107" s="229">
        <v>0.44190000000000002</v>
      </c>
      <c r="BE107" s="228">
        <v>0</v>
      </c>
      <c r="BF107" s="228">
        <v>0</v>
      </c>
      <c r="BG107" s="228">
        <v>0</v>
      </c>
      <c r="BH107" s="229">
        <v>0</v>
      </c>
      <c r="BI107" s="230">
        <v>2899</v>
      </c>
      <c r="BJ107" s="230">
        <v>4302</v>
      </c>
      <c r="BK107" s="230">
        <v>-1403</v>
      </c>
      <c r="BL107" s="229">
        <v>-0.3261</v>
      </c>
      <c r="BM107" s="230">
        <v>1947</v>
      </c>
      <c r="BN107" s="230">
        <v>3234</v>
      </c>
      <c r="BO107" s="230">
        <v>-1287</v>
      </c>
      <c r="BP107" s="229">
        <v>-0.39789999999999998</v>
      </c>
      <c r="BQ107" s="230">
        <v>6408</v>
      </c>
      <c r="BR107" s="230">
        <v>8991</v>
      </c>
      <c r="BS107" s="230">
        <v>-2583</v>
      </c>
      <c r="BT107" s="229">
        <v>-0.2873</v>
      </c>
      <c r="BU107" s="230">
        <v>7865402</v>
      </c>
      <c r="BV107" s="230">
        <v>7052334</v>
      </c>
      <c r="BW107" s="230">
        <v>813068</v>
      </c>
      <c r="BX107" s="229">
        <v>0.1153</v>
      </c>
      <c r="BY107" s="230">
        <v>3639</v>
      </c>
      <c r="BZ107" s="230">
        <v>3517</v>
      </c>
      <c r="CA107" s="228">
        <v>122</v>
      </c>
      <c r="CB107" s="229">
        <v>3.4799999999999998E-2</v>
      </c>
      <c r="CC107" s="230">
        <v>3037</v>
      </c>
      <c r="CD107" s="230">
        <v>3075</v>
      </c>
      <c r="CE107" s="228">
        <v>-38</v>
      </c>
      <c r="CF107" s="229">
        <v>-1.2200000000000001E-2</v>
      </c>
      <c r="CG107" s="228">
        <v>567</v>
      </c>
      <c r="CH107" s="228">
        <v>413</v>
      </c>
      <c r="CI107" s="228">
        <v>154</v>
      </c>
      <c r="CJ107" s="229">
        <v>0.37309999999999999</v>
      </c>
      <c r="CK107" s="228">
        <v>0</v>
      </c>
      <c r="CL107" s="228">
        <v>0</v>
      </c>
      <c r="CM107" s="228">
        <v>0</v>
      </c>
      <c r="CN107" s="229">
        <v>0</v>
      </c>
      <c r="CO107" s="230">
        <v>1748</v>
      </c>
      <c r="CP107" s="230">
        <v>1632</v>
      </c>
      <c r="CQ107" s="228">
        <v>116</v>
      </c>
      <c r="CR107" s="229">
        <v>7.1199999999999999E-2</v>
      </c>
      <c r="CS107" s="228">
        <v>911</v>
      </c>
      <c r="CT107" s="228">
        <v>920</v>
      </c>
      <c r="CU107" s="228">
        <v>-9</v>
      </c>
      <c r="CV107" s="229">
        <v>-9.4000000000000004E-3</v>
      </c>
      <c r="CW107" s="230">
        <v>6299</v>
      </c>
      <c r="CX107" s="230">
        <v>6069</v>
      </c>
      <c r="CY107" s="228">
        <v>230</v>
      </c>
      <c r="CZ107" s="229">
        <v>3.7900000000000003E-2</v>
      </c>
      <c r="DA107" s="228">
        <v>39.99</v>
      </c>
      <c r="DB107" s="228">
        <v>36.96</v>
      </c>
      <c r="DC107" s="228">
        <v>3.03</v>
      </c>
      <c r="DD107" s="228">
        <v>3.03</v>
      </c>
      <c r="DE107" s="228">
        <v>52.19</v>
      </c>
      <c r="DF107" s="228">
        <v>52.27</v>
      </c>
      <c r="DG107" s="228">
        <v>-12.2</v>
      </c>
      <c r="DH107" s="228">
        <v>-0.08</v>
      </c>
      <c r="DI107" s="228">
        <v>39.94</v>
      </c>
      <c r="DJ107" s="228">
        <v>36.4</v>
      </c>
      <c r="DK107" s="228">
        <v>3.54</v>
      </c>
      <c r="DL107" s="228">
        <v>3.54</v>
      </c>
      <c r="DM107" s="228">
        <v>40.07</v>
      </c>
      <c r="DN107" s="228">
        <v>37.71</v>
      </c>
      <c r="DO107" s="228">
        <v>2.36</v>
      </c>
      <c r="DP107" s="228">
        <v>2.36</v>
      </c>
      <c r="DQ107" s="228">
        <v>0.52</v>
      </c>
      <c r="DR107" s="228">
        <v>0.56000000000000005</v>
      </c>
      <c r="DS107" s="228">
        <v>-0.04</v>
      </c>
      <c r="DT107" s="229">
        <v>-7.1400000000000005E-2</v>
      </c>
      <c r="DU107" s="228">
        <v>900</v>
      </c>
      <c r="DV107" s="228">
        <v>800</v>
      </c>
      <c r="DW107" s="228">
        <v>0.67</v>
      </c>
      <c r="DX107" s="228">
        <v>0.75</v>
      </c>
      <c r="DY107" s="228">
        <v>-0.08</v>
      </c>
      <c r="DZ107" s="229">
        <v>-0.1067</v>
      </c>
      <c r="EA107" s="229">
        <v>0.15579999999999999</v>
      </c>
      <c r="EB107" s="230">
        <v>4885300</v>
      </c>
      <c r="EC107" s="229">
        <v>4.4000000000000003E-3</v>
      </c>
      <c r="ED107" s="229">
        <v>0.15579999999999999</v>
      </c>
      <c r="EE107" s="228">
        <v>1.29</v>
      </c>
      <c r="EF107" s="229">
        <v>1.5E-3</v>
      </c>
      <c r="EG107" s="230">
        <v>2514811</v>
      </c>
      <c r="EH107" s="230">
        <v>1527190</v>
      </c>
      <c r="EI107" s="229">
        <v>0.64670000000000005</v>
      </c>
      <c r="EJ107" s="229">
        <v>0.31969999999999998</v>
      </c>
      <c r="EK107" s="231">
        <v>3068.91</v>
      </c>
      <c r="EL107" s="231">
        <v>1974.05</v>
      </c>
      <c r="EM107" s="231">
        <v>1581.41</v>
      </c>
      <c r="EN107" s="228">
        <v>0</v>
      </c>
      <c r="EO107" s="231">
        <v>6624.37</v>
      </c>
      <c r="EP107" s="231">
        <v>9230.74</v>
      </c>
      <c r="EQ107" s="231">
        <v>-2606.36</v>
      </c>
      <c r="ER107" s="229">
        <v>-0.28239999999999998</v>
      </c>
      <c r="ES107" s="231">
        <v>1843.33</v>
      </c>
      <c r="ET107" s="228">
        <v>893.97</v>
      </c>
      <c r="EU107" s="231">
        <v>3641.8</v>
      </c>
      <c r="EV107" s="231">
        <v>125014099</v>
      </c>
      <c r="EW107" s="231">
        <v>6379.11</v>
      </c>
      <c r="EX107" s="231">
        <v>6202.08</v>
      </c>
      <c r="EY107" s="228">
        <v>177.03</v>
      </c>
      <c r="EZ107" s="229">
        <v>2.8500000000000001E-2</v>
      </c>
      <c r="FA107" s="229">
        <v>0.59599999999999997</v>
      </c>
      <c r="FB107" s="227" t="s">
        <v>567</v>
      </c>
      <c r="FC107">
        <f t="shared" si="1"/>
        <v>602</v>
      </c>
    </row>
    <row r="108" spans="1:159" ht="17.25" thickBot="1" x14ac:dyDescent="0.3">
      <c r="A108" s="226">
        <v>45860</v>
      </c>
      <c r="B108" s="227" t="s">
        <v>188</v>
      </c>
      <c r="C108" s="227" t="s">
        <v>473</v>
      </c>
      <c r="D108" s="228">
        <v>1700</v>
      </c>
      <c r="E108" s="228">
        <v>9</v>
      </c>
      <c r="F108" s="228">
        <v>396.65</v>
      </c>
      <c r="G108" s="228">
        <v>405.15</v>
      </c>
      <c r="H108" s="228">
        <v>-8.5</v>
      </c>
      <c r="I108" s="229">
        <v>-2.1000000000000001E-2</v>
      </c>
      <c r="J108" s="228">
        <v>396.3</v>
      </c>
      <c r="K108" s="228">
        <v>404.15</v>
      </c>
      <c r="L108" s="228">
        <v>-7.85</v>
      </c>
      <c r="M108" s="229">
        <v>-1.9400000000000001E-2</v>
      </c>
      <c r="N108" s="228">
        <v>396.65</v>
      </c>
      <c r="O108" s="228">
        <v>405.15</v>
      </c>
      <c r="P108" s="228">
        <v>-8.5</v>
      </c>
      <c r="Q108" s="229">
        <v>-2.1000000000000001E-2</v>
      </c>
      <c r="R108" s="228">
        <v>398.65</v>
      </c>
      <c r="S108" s="228">
        <v>407.25</v>
      </c>
      <c r="T108" s="228">
        <v>-8.6</v>
      </c>
      <c r="U108" s="229">
        <v>-2.1100000000000001E-2</v>
      </c>
      <c r="V108" s="228">
        <v>0</v>
      </c>
      <c r="W108" s="228">
        <v>0</v>
      </c>
      <c r="X108" s="228">
        <v>0</v>
      </c>
      <c r="Y108" s="229">
        <v>0</v>
      </c>
      <c r="Z108" s="228">
        <v>0.35</v>
      </c>
      <c r="AA108" s="228">
        <v>1</v>
      </c>
      <c r="AB108" s="228">
        <v>-0.65</v>
      </c>
      <c r="AC108" s="229">
        <v>8.9999999999999998E-4</v>
      </c>
      <c r="AD108" s="228">
        <v>0.35</v>
      </c>
      <c r="AE108" s="228">
        <v>1</v>
      </c>
      <c r="AF108" s="228">
        <v>-0.65</v>
      </c>
      <c r="AG108" s="229">
        <v>8.9999999999999998E-4</v>
      </c>
      <c r="AH108" s="228">
        <v>2.35</v>
      </c>
      <c r="AI108" s="228">
        <v>3.1</v>
      </c>
      <c r="AJ108" s="228">
        <v>-0.75</v>
      </c>
      <c r="AK108" s="229">
        <v>5.8999999999999999E-3</v>
      </c>
      <c r="AL108" s="228">
        <v>0</v>
      </c>
      <c r="AM108" s="228">
        <v>0</v>
      </c>
      <c r="AN108" s="228">
        <v>0</v>
      </c>
      <c r="AO108" s="229">
        <v>0</v>
      </c>
      <c r="AP108" s="228">
        <v>398.86</v>
      </c>
      <c r="AQ108" s="228">
        <v>401.28</v>
      </c>
      <c r="AR108" s="228">
        <v>0</v>
      </c>
      <c r="AS108" s="228">
        <v>225</v>
      </c>
      <c r="AT108" s="228">
        <v>205</v>
      </c>
      <c r="AU108" s="228">
        <v>19</v>
      </c>
      <c r="AV108" s="229">
        <v>9.4600000000000004E-2</v>
      </c>
      <c r="AW108" s="228">
        <v>175</v>
      </c>
      <c r="AX108" s="228">
        <v>162</v>
      </c>
      <c r="AY108" s="228">
        <v>13</v>
      </c>
      <c r="AZ108" s="229">
        <v>8.0500000000000002E-2</v>
      </c>
      <c r="BA108" s="228">
        <v>47</v>
      </c>
      <c r="BB108" s="228">
        <v>43</v>
      </c>
      <c r="BC108" s="228">
        <v>4</v>
      </c>
      <c r="BD108" s="229">
        <v>8.8300000000000003E-2</v>
      </c>
      <c r="BE108" s="228">
        <v>0</v>
      </c>
      <c r="BF108" s="228">
        <v>0</v>
      </c>
      <c r="BG108" s="228">
        <v>0</v>
      </c>
      <c r="BH108" s="229">
        <v>0</v>
      </c>
      <c r="BI108" s="228">
        <v>430</v>
      </c>
      <c r="BJ108" s="228">
        <v>408</v>
      </c>
      <c r="BK108" s="228">
        <v>22</v>
      </c>
      <c r="BL108" s="229">
        <v>5.4399999999999997E-2</v>
      </c>
      <c r="BM108" s="228">
        <v>185</v>
      </c>
      <c r="BN108" s="228">
        <v>169</v>
      </c>
      <c r="BO108" s="228">
        <v>16</v>
      </c>
      <c r="BP108" s="229">
        <v>9.4E-2</v>
      </c>
      <c r="BQ108" s="228">
        <v>840</v>
      </c>
      <c r="BR108" s="228">
        <v>782</v>
      </c>
      <c r="BS108" s="228">
        <v>58</v>
      </c>
      <c r="BT108" s="229">
        <v>7.3499999999999996E-2</v>
      </c>
      <c r="BU108" s="230">
        <v>4963126</v>
      </c>
      <c r="BV108" s="230">
        <v>4344171</v>
      </c>
      <c r="BW108" s="230">
        <v>618955</v>
      </c>
      <c r="BX108" s="229">
        <v>0.14249999999999999</v>
      </c>
      <c r="BY108" s="230">
        <v>2481</v>
      </c>
      <c r="BZ108" s="230">
        <v>2475</v>
      </c>
      <c r="CA108" s="228">
        <v>6</v>
      </c>
      <c r="CB108" s="229">
        <v>2.3E-3</v>
      </c>
      <c r="CC108" s="230">
        <v>2368</v>
      </c>
      <c r="CD108" s="230">
        <v>2387</v>
      </c>
      <c r="CE108" s="228">
        <v>-19</v>
      </c>
      <c r="CF108" s="229">
        <v>-7.9000000000000008E-3</v>
      </c>
      <c r="CG108" s="228">
        <v>105</v>
      </c>
      <c r="CH108" s="228">
        <v>82</v>
      </c>
      <c r="CI108" s="228">
        <v>23</v>
      </c>
      <c r="CJ108" s="229">
        <v>0.28639999999999999</v>
      </c>
      <c r="CK108" s="228">
        <v>0</v>
      </c>
      <c r="CL108" s="228">
        <v>0</v>
      </c>
      <c r="CM108" s="228">
        <v>0</v>
      </c>
      <c r="CN108" s="229">
        <v>0</v>
      </c>
      <c r="CO108" s="228">
        <v>643</v>
      </c>
      <c r="CP108" s="228">
        <v>632</v>
      </c>
      <c r="CQ108" s="228">
        <v>11</v>
      </c>
      <c r="CR108" s="229">
        <v>1.7600000000000001E-2</v>
      </c>
      <c r="CS108" s="228">
        <v>373</v>
      </c>
      <c r="CT108" s="228">
        <v>360</v>
      </c>
      <c r="CU108" s="228">
        <v>13</v>
      </c>
      <c r="CV108" s="229">
        <v>3.5999999999999997E-2</v>
      </c>
      <c r="CW108" s="230">
        <v>3496</v>
      </c>
      <c r="CX108" s="230">
        <v>3467</v>
      </c>
      <c r="CY108" s="228">
        <v>30</v>
      </c>
      <c r="CZ108" s="229">
        <v>8.6E-3</v>
      </c>
      <c r="DA108" s="228">
        <v>30.98</v>
      </c>
      <c r="DB108" s="228">
        <v>28.93</v>
      </c>
      <c r="DC108" s="228">
        <v>2.0499999999999998</v>
      </c>
      <c r="DD108" s="228">
        <v>2.0499999999999998</v>
      </c>
      <c r="DE108" s="228">
        <v>41.61</v>
      </c>
      <c r="DF108" s="228">
        <v>41.63</v>
      </c>
      <c r="DG108" s="228">
        <v>-10.63</v>
      </c>
      <c r="DH108" s="228">
        <v>-0.02</v>
      </c>
      <c r="DI108" s="228">
        <v>31.8</v>
      </c>
      <c r="DJ108" s="228">
        <v>29.02</v>
      </c>
      <c r="DK108" s="228">
        <v>2.78</v>
      </c>
      <c r="DL108" s="228">
        <v>2.78</v>
      </c>
      <c r="DM108" s="228">
        <v>29.09</v>
      </c>
      <c r="DN108" s="228">
        <v>28.73</v>
      </c>
      <c r="DO108" s="228">
        <v>0.36</v>
      </c>
      <c r="DP108" s="228">
        <v>0.36</v>
      </c>
      <c r="DQ108" s="228">
        <v>0.57999999999999996</v>
      </c>
      <c r="DR108" s="228">
        <v>0.56999999999999995</v>
      </c>
      <c r="DS108" s="228">
        <v>0.01</v>
      </c>
      <c r="DT108" s="229">
        <v>1.7500000000000002E-2</v>
      </c>
      <c r="DU108" s="228">
        <v>450</v>
      </c>
      <c r="DV108" s="228">
        <v>400</v>
      </c>
      <c r="DW108" s="228">
        <v>0.43</v>
      </c>
      <c r="DX108" s="228">
        <v>0.42</v>
      </c>
      <c r="DY108" s="228">
        <v>0.01</v>
      </c>
      <c r="DZ108" s="229">
        <v>2.3800000000000002E-2</v>
      </c>
      <c r="EA108" s="229">
        <v>4.2500000000000003E-2</v>
      </c>
      <c r="EB108" s="230">
        <v>2065500</v>
      </c>
      <c r="EC108" s="229">
        <v>5.0000000000000001E-3</v>
      </c>
      <c r="ED108" s="229">
        <v>4.2500000000000003E-2</v>
      </c>
      <c r="EE108" s="228">
        <v>2.42</v>
      </c>
      <c r="EF108" s="229">
        <v>6.1000000000000004E-3</v>
      </c>
      <c r="EG108" s="230">
        <v>3128163</v>
      </c>
      <c r="EH108" s="230">
        <v>2657563</v>
      </c>
      <c r="EI108" s="229">
        <v>0.17710000000000001</v>
      </c>
      <c r="EJ108" s="229">
        <v>0.63029999999999997</v>
      </c>
      <c r="EK108" s="228">
        <v>454.42</v>
      </c>
      <c r="EL108" s="228">
        <v>186.87</v>
      </c>
      <c r="EM108" s="228">
        <v>226.25</v>
      </c>
      <c r="EN108" s="228">
        <v>0</v>
      </c>
      <c r="EO108" s="228">
        <v>867.54</v>
      </c>
      <c r="EP108" s="228">
        <v>812.2</v>
      </c>
      <c r="EQ108" s="228">
        <v>55.34</v>
      </c>
      <c r="ER108" s="229">
        <v>6.8099999999999994E-2</v>
      </c>
      <c r="ES108" s="228">
        <v>687.38</v>
      </c>
      <c r="ET108" s="228">
        <v>369.62</v>
      </c>
      <c r="EU108" s="231">
        <v>2481.52</v>
      </c>
      <c r="EV108" s="231">
        <v>263606423</v>
      </c>
      <c r="EW108" s="231">
        <v>3538.51</v>
      </c>
      <c r="EX108" s="231">
        <v>3562.87</v>
      </c>
      <c r="EY108" s="228">
        <v>-24.36</v>
      </c>
      <c r="EZ108" s="229">
        <v>-6.7999999999999996E-3</v>
      </c>
      <c r="FA108" s="229">
        <v>0.33439999999999998</v>
      </c>
      <c r="FB108" s="227" t="s">
        <v>567</v>
      </c>
      <c r="FC108">
        <f t="shared" si="1"/>
        <v>113</v>
      </c>
    </row>
    <row r="109" spans="1:159" ht="17.25" thickBot="1" x14ac:dyDescent="0.3">
      <c r="A109" s="226">
        <v>45860</v>
      </c>
      <c r="B109" s="227" t="s">
        <v>221</v>
      </c>
      <c r="C109" s="227" t="s">
        <v>240</v>
      </c>
      <c r="D109" s="228">
        <v>400</v>
      </c>
      <c r="E109" s="228">
        <v>9</v>
      </c>
      <c r="F109" s="231">
        <v>1576.5</v>
      </c>
      <c r="G109" s="231">
        <v>1588.3</v>
      </c>
      <c r="H109" s="228">
        <v>-11.8</v>
      </c>
      <c r="I109" s="229">
        <v>-7.4000000000000003E-3</v>
      </c>
      <c r="J109" s="231">
        <v>1570.9</v>
      </c>
      <c r="K109" s="231">
        <v>1584.3</v>
      </c>
      <c r="L109" s="228">
        <v>-13.4</v>
      </c>
      <c r="M109" s="229">
        <v>-8.5000000000000006E-3</v>
      </c>
      <c r="N109" s="231">
        <v>1576.5</v>
      </c>
      <c r="O109" s="231">
        <v>1588.3</v>
      </c>
      <c r="P109" s="228">
        <v>-11.8</v>
      </c>
      <c r="Q109" s="229">
        <v>-7.4000000000000003E-3</v>
      </c>
      <c r="R109" s="231">
        <v>1583.6</v>
      </c>
      <c r="S109" s="231">
        <v>1596.1</v>
      </c>
      <c r="T109" s="228">
        <v>-12.5</v>
      </c>
      <c r="U109" s="229">
        <v>-7.7999999999999996E-3</v>
      </c>
      <c r="V109" s="228">
        <v>0</v>
      </c>
      <c r="W109" s="228">
        <v>0</v>
      </c>
      <c r="X109" s="228">
        <v>0</v>
      </c>
      <c r="Y109" s="229">
        <v>0</v>
      </c>
      <c r="Z109" s="228">
        <v>5.6</v>
      </c>
      <c r="AA109" s="228">
        <v>4</v>
      </c>
      <c r="AB109" s="228">
        <v>1.6</v>
      </c>
      <c r="AC109" s="229">
        <v>3.5999999999999999E-3</v>
      </c>
      <c r="AD109" s="228">
        <v>5.6</v>
      </c>
      <c r="AE109" s="228">
        <v>4</v>
      </c>
      <c r="AF109" s="228">
        <v>1.6</v>
      </c>
      <c r="AG109" s="229">
        <v>3.5999999999999999E-3</v>
      </c>
      <c r="AH109" s="228">
        <v>12.7</v>
      </c>
      <c r="AI109" s="228">
        <v>11.8</v>
      </c>
      <c r="AJ109" s="228">
        <v>0.9</v>
      </c>
      <c r="AK109" s="229">
        <v>8.0999999999999996E-3</v>
      </c>
      <c r="AL109" s="228">
        <v>0</v>
      </c>
      <c r="AM109" s="228">
        <v>0</v>
      </c>
      <c r="AN109" s="228">
        <v>0</v>
      </c>
      <c r="AO109" s="229">
        <v>0</v>
      </c>
      <c r="AP109" s="231">
        <v>1580.54</v>
      </c>
      <c r="AQ109" s="231">
        <v>1586.94</v>
      </c>
      <c r="AR109" s="228">
        <v>0</v>
      </c>
      <c r="AS109" s="230">
        <v>1593</v>
      </c>
      <c r="AT109" s="230">
        <v>1021</v>
      </c>
      <c r="AU109" s="228">
        <v>572</v>
      </c>
      <c r="AV109" s="229">
        <v>0.5605</v>
      </c>
      <c r="AW109" s="230">
        <v>1300</v>
      </c>
      <c r="AX109" s="228">
        <v>907</v>
      </c>
      <c r="AY109" s="228">
        <v>393</v>
      </c>
      <c r="AZ109" s="229">
        <v>0.433</v>
      </c>
      <c r="BA109" s="228">
        <v>286</v>
      </c>
      <c r="BB109" s="228">
        <v>108</v>
      </c>
      <c r="BC109" s="228">
        <v>178</v>
      </c>
      <c r="BD109" s="229">
        <v>1.6417999999999999</v>
      </c>
      <c r="BE109" s="228">
        <v>0</v>
      </c>
      <c r="BF109" s="228">
        <v>0</v>
      </c>
      <c r="BG109" s="228">
        <v>0</v>
      </c>
      <c r="BH109" s="229">
        <v>0</v>
      </c>
      <c r="BI109" s="230">
        <v>4116</v>
      </c>
      <c r="BJ109" s="230">
        <v>2617</v>
      </c>
      <c r="BK109" s="230">
        <v>1500</v>
      </c>
      <c r="BL109" s="229">
        <v>0.57299999999999995</v>
      </c>
      <c r="BM109" s="230">
        <v>2283</v>
      </c>
      <c r="BN109" s="230">
        <v>1383</v>
      </c>
      <c r="BO109" s="228">
        <v>900</v>
      </c>
      <c r="BP109" s="229">
        <v>0.65039999999999998</v>
      </c>
      <c r="BQ109" s="230">
        <v>7993</v>
      </c>
      <c r="BR109" s="230">
        <v>5021</v>
      </c>
      <c r="BS109" s="230">
        <v>2972</v>
      </c>
      <c r="BT109" s="229">
        <v>0.59179999999999999</v>
      </c>
      <c r="BU109" s="230">
        <v>9045240</v>
      </c>
      <c r="BV109" s="230">
        <v>3803133</v>
      </c>
      <c r="BW109" s="230">
        <v>5242107</v>
      </c>
      <c r="BX109" s="229">
        <v>1.3784000000000001</v>
      </c>
      <c r="BY109" s="230">
        <v>11980</v>
      </c>
      <c r="BZ109" s="230">
        <v>11649</v>
      </c>
      <c r="CA109" s="228">
        <v>331</v>
      </c>
      <c r="CB109" s="229">
        <v>2.8400000000000002E-2</v>
      </c>
      <c r="CC109" s="230">
        <v>10731</v>
      </c>
      <c r="CD109" s="230">
        <v>10516</v>
      </c>
      <c r="CE109" s="228">
        <v>215</v>
      </c>
      <c r="CF109" s="229">
        <v>2.0500000000000001E-2</v>
      </c>
      <c r="CG109" s="228">
        <v>777</v>
      </c>
      <c r="CH109" s="228">
        <v>664</v>
      </c>
      <c r="CI109" s="228">
        <v>113</v>
      </c>
      <c r="CJ109" s="229">
        <v>0.17019999999999999</v>
      </c>
      <c r="CK109" s="228">
        <v>0</v>
      </c>
      <c r="CL109" s="228">
        <v>0</v>
      </c>
      <c r="CM109" s="228">
        <v>0</v>
      </c>
      <c r="CN109" s="229">
        <v>0</v>
      </c>
      <c r="CO109" s="230">
        <v>4519</v>
      </c>
      <c r="CP109" s="230">
        <v>4177</v>
      </c>
      <c r="CQ109" s="228">
        <v>341</v>
      </c>
      <c r="CR109" s="229">
        <v>8.1699999999999995E-2</v>
      </c>
      <c r="CS109" s="230">
        <v>2413</v>
      </c>
      <c r="CT109" s="230">
        <v>2192</v>
      </c>
      <c r="CU109" s="228">
        <v>221</v>
      </c>
      <c r="CV109" s="229">
        <v>0.1008</v>
      </c>
      <c r="CW109" s="230">
        <v>18912</v>
      </c>
      <c r="CX109" s="230">
        <v>18019</v>
      </c>
      <c r="CY109" s="228">
        <v>893</v>
      </c>
      <c r="CZ109" s="229">
        <v>4.9599999999999998E-2</v>
      </c>
      <c r="DA109" s="228">
        <v>38.380000000000003</v>
      </c>
      <c r="DB109" s="228">
        <v>34.86</v>
      </c>
      <c r="DC109" s="228">
        <v>3.52</v>
      </c>
      <c r="DD109" s="228">
        <v>3.52</v>
      </c>
      <c r="DE109" s="228">
        <v>29.64</v>
      </c>
      <c r="DF109" s="228">
        <v>29.7</v>
      </c>
      <c r="DG109" s="228">
        <v>8.74</v>
      </c>
      <c r="DH109" s="228">
        <v>-0.06</v>
      </c>
      <c r="DI109" s="228">
        <v>37.64</v>
      </c>
      <c r="DJ109" s="228">
        <v>34.06</v>
      </c>
      <c r="DK109" s="228">
        <v>3.58</v>
      </c>
      <c r="DL109" s="228">
        <v>3.58</v>
      </c>
      <c r="DM109" s="228">
        <v>39.71</v>
      </c>
      <c r="DN109" s="228">
        <v>36.36</v>
      </c>
      <c r="DO109" s="228">
        <v>3.35</v>
      </c>
      <c r="DP109" s="228">
        <v>3.35</v>
      </c>
      <c r="DQ109" s="228">
        <v>0.53</v>
      </c>
      <c r="DR109" s="228">
        <v>0.52</v>
      </c>
      <c r="DS109" s="228">
        <v>0.01</v>
      </c>
      <c r="DT109" s="229">
        <v>1.9199999999999998E-2</v>
      </c>
      <c r="DU109" s="231">
        <v>1600</v>
      </c>
      <c r="DV109" s="231">
        <v>1600</v>
      </c>
      <c r="DW109" s="228">
        <v>0.55000000000000004</v>
      </c>
      <c r="DX109" s="228">
        <v>0.53</v>
      </c>
      <c r="DY109" s="228">
        <v>0.02</v>
      </c>
      <c r="DZ109" s="229">
        <v>3.7699999999999997E-2</v>
      </c>
      <c r="EA109" s="229">
        <v>6.4899999999999999E-2</v>
      </c>
      <c r="EB109" s="230">
        <v>4212000</v>
      </c>
      <c r="EC109" s="229">
        <v>4.4999999999999997E-3</v>
      </c>
      <c r="ED109" s="229">
        <v>6.4899999999999999E-2</v>
      </c>
      <c r="EE109" s="228">
        <v>6.4</v>
      </c>
      <c r="EF109" s="229">
        <v>4.0000000000000001E-3</v>
      </c>
      <c r="EG109" s="230">
        <v>6200412</v>
      </c>
      <c r="EH109" s="230">
        <v>2266194</v>
      </c>
      <c r="EI109" s="229">
        <v>1.736</v>
      </c>
      <c r="EJ109" s="229">
        <v>0.6855</v>
      </c>
      <c r="EK109" s="231">
        <v>4332.5600000000004</v>
      </c>
      <c r="EL109" s="231">
        <v>2249.35</v>
      </c>
      <c r="EM109" s="231">
        <v>1598.72</v>
      </c>
      <c r="EN109" s="228">
        <v>0</v>
      </c>
      <c r="EO109" s="231">
        <v>8180.63</v>
      </c>
      <c r="EP109" s="231">
        <v>5148.74</v>
      </c>
      <c r="EQ109" s="231">
        <v>3031.89</v>
      </c>
      <c r="ER109" s="229">
        <v>0.58889999999999998</v>
      </c>
      <c r="ES109" s="231">
        <v>4751.5600000000004</v>
      </c>
      <c r="ET109" s="231">
        <v>2359.7399999999998</v>
      </c>
      <c r="EU109" s="231">
        <v>11989.09</v>
      </c>
      <c r="EV109" s="231">
        <v>632343512</v>
      </c>
      <c r="EW109" s="231">
        <v>19100.39</v>
      </c>
      <c r="EX109" s="231">
        <v>18297.759999999998</v>
      </c>
      <c r="EY109" s="228">
        <v>802.63</v>
      </c>
      <c r="EZ109" s="229">
        <v>4.3900000000000002E-2</v>
      </c>
      <c r="FA109" s="229">
        <v>0.18970000000000001</v>
      </c>
      <c r="FB109" s="227" t="s">
        <v>567</v>
      </c>
      <c r="FC109">
        <f t="shared" si="1"/>
        <v>1249</v>
      </c>
    </row>
    <row r="110" spans="1:159" ht="17.25" thickBot="1" x14ac:dyDescent="0.3">
      <c r="A110" s="226">
        <v>45860</v>
      </c>
      <c r="B110" s="227" t="s">
        <v>161</v>
      </c>
      <c r="C110" s="227" t="s">
        <v>671</v>
      </c>
      <c r="D110" s="228">
        <v>3225</v>
      </c>
      <c r="E110" s="228">
        <v>9</v>
      </c>
      <c r="F110" s="228">
        <v>165.8</v>
      </c>
      <c r="G110" s="228">
        <v>167.51</v>
      </c>
      <c r="H110" s="228">
        <v>-1.71</v>
      </c>
      <c r="I110" s="229">
        <v>-1.0200000000000001E-2</v>
      </c>
      <c r="J110" s="228">
        <v>165.53</v>
      </c>
      <c r="K110" s="228">
        <v>166.85</v>
      </c>
      <c r="L110" s="228">
        <v>-1.32</v>
      </c>
      <c r="M110" s="229">
        <v>-7.9000000000000008E-3</v>
      </c>
      <c r="N110" s="228">
        <v>165.8</v>
      </c>
      <c r="O110" s="228">
        <v>167.51</v>
      </c>
      <c r="P110" s="228">
        <v>-1.71</v>
      </c>
      <c r="Q110" s="229">
        <v>-1.0200000000000001E-2</v>
      </c>
      <c r="R110" s="228">
        <v>166.13</v>
      </c>
      <c r="S110" s="228">
        <v>167.67</v>
      </c>
      <c r="T110" s="228">
        <v>-1.54</v>
      </c>
      <c r="U110" s="229">
        <v>-9.1999999999999998E-3</v>
      </c>
      <c r="V110" s="228">
        <v>0</v>
      </c>
      <c r="W110" s="228">
        <v>0</v>
      </c>
      <c r="X110" s="228">
        <v>0</v>
      </c>
      <c r="Y110" s="229">
        <v>0</v>
      </c>
      <c r="Z110" s="228">
        <v>0.27</v>
      </c>
      <c r="AA110" s="228">
        <v>0.66</v>
      </c>
      <c r="AB110" s="228">
        <v>-0.39</v>
      </c>
      <c r="AC110" s="229">
        <v>1.6000000000000001E-3</v>
      </c>
      <c r="AD110" s="228">
        <v>0.27</v>
      </c>
      <c r="AE110" s="228">
        <v>0.66</v>
      </c>
      <c r="AF110" s="228">
        <v>-0.39</v>
      </c>
      <c r="AG110" s="229">
        <v>1.6000000000000001E-3</v>
      </c>
      <c r="AH110" s="228">
        <v>0.6</v>
      </c>
      <c r="AI110" s="228">
        <v>0.82</v>
      </c>
      <c r="AJ110" s="228">
        <v>-0.22</v>
      </c>
      <c r="AK110" s="229">
        <v>3.5999999999999999E-3</v>
      </c>
      <c r="AL110" s="228">
        <v>0</v>
      </c>
      <c r="AM110" s="228">
        <v>0</v>
      </c>
      <c r="AN110" s="228">
        <v>0</v>
      </c>
      <c r="AO110" s="229">
        <v>0</v>
      </c>
      <c r="AP110" s="228">
        <v>166.05</v>
      </c>
      <c r="AQ110" s="228">
        <v>165.99</v>
      </c>
      <c r="AR110" s="228">
        <v>0</v>
      </c>
      <c r="AS110" s="228">
        <v>87</v>
      </c>
      <c r="AT110" s="228">
        <v>96</v>
      </c>
      <c r="AU110" s="228">
        <v>-8</v>
      </c>
      <c r="AV110" s="229">
        <v>-8.7800000000000003E-2</v>
      </c>
      <c r="AW110" s="228">
        <v>63</v>
      </c>
      <c r="AX110" s="228">
        <v>76</v>
      </c>
      <c r="AY110" s="228">
        <v>-13</v>
      </c>
      <c r="AZ110" s="229">
        <v>-0.17560000000000001</v>
      </c>
      <c r="BA110" s="228">
        <v>24</v>
      </c>
      <c r="BB110" s="228">
        <v>19</v>
      </c>
      <c r="BC110" s="228">
        <v>5</v>
      </c>
      <c r="BD110" s="229">
        <v>0.28410000000000002</v>
      </c>
      <c r="BE110" s="228">
        <v>0</v>
      </c>
      <c r="BF110" s="228">
        <v>0</v>
      </c>
      <c r="BG110" s="228">
        <v>0</v>
      </c>
      <c r="BH110" s="229">
        <v>0</v>
      </c>
      <c r="BI110" s="228">
        <v>90</v>
      </c>
      <c r="BJ110" s="228">
        <v>143</v>
      </c>
      <c r="BK110" s="228">
        <v>-53</v>
      </c>
      <c r="BL110" s="229">
        <v>-0.37269999999999998</v>
      </c>
      <c r="BM110" s="228">
        <v>79</v>
      </c>
      <c r="BN110" s="228">
        <v>76</v>
      </c>
      <c r="BO110" s="228">
        <v>3</v>
      </c>
      <c r="BP110" s="229">
        <v>4.07E-2</v>
      </c>
      <c r="BQ110" s="228">
        <v>256</v>
      </c>
      <c r="BR110" s="228">
        <v>315</v>
      </c>
      <c r="BS110" s="228">
        <v>-58</v>
      </c>
      <c r="BT110" s="229">
        <v>-0.186</v>
      </c>
      <c r="BU110" s="230">
        <v>3142514</v>
      </c>
      <c r="BV110" s="230">
        <v>4751376</v>
      </c>
      <c r="BW110" s="230">
        <v>-1608862</v>
      </c>
      <c r="BX110" s="229">
        <v>-0.33860000000000001</v>
      </c>
      <c r="BY110" s="228">
        <v>756</v>
      </c>
      <c r="BZ110" s="228">
        <v>746</v>
      </c>
      <c r="CA110" s="228">
        <v>10</v>
      </c>
      <c r="CB110" s="229">
        <v>1.3899999999999999E-2</v>
      </c>
      <c r="CC110" s="228">
        <v>633</v>
      </c>
      <c r="CD110" s="228">
        <v>630</v>
      </c>
      <c r="CE110" s="228">
        <v>2</v>
      </c>
      <c r="CF110" s="229">
        <v>3.5999999999999999E-3</v>
      </c>
      <c r="CG110" s="228">
        <v>114</v>
      </c>
      <c r="CH110" s="228">
        <v>106</v>
      </c>
      <c r="CI110" s="228">
        <v>8</v>
      </c>
      <c r="CJ110" s="229">
        <v>7.6399999999999996E-2</v>
      </c>
      <c r="CK110" s="228">
        <v>0</v>
      </c>
      <c r="CL110" s="228">
        <v>0</v>
      </c>
      <c r="CM110" s="228">
        <v>0</v>
      </c>
      <c r="CN110" s="229">
        <v>0</v>
      </c>
      <c r="CO110" s="228">
        <v>315</v>
      </c>
      <c r="CP110" s="228">
        <v>332</v>
      </c>
      <c r="CQ110" s="228">
        <v>-18</v>
      </c>
      <c r="CR110" s="229">
        <v>-5.3699999999999998E-2</v>
      </c>
      <c r="CS110" s="228">
        <v>164</v>
      </c>
      <c r="CT110" s="228">
        <v>153</v>
      </c>
      <c r="CU110" s="228">
        <v>10</v>
      </c>
      <c r="CV110" s="229">
        <v>6.7599999999999993E-2</v>
      </c>
      <c r="CW110" s="230">
        <v>1235</v>
      </c>
      <c r="CX110" s="230">
        <v>1232</v>
      </c>
      <c r="CY110" s="228">
        <v>3</v>
      </c>
      <c r="CZ110" s="229">
        <v>2.3E-3</v>
      </c>
      <c r="DA110" s="228">
        <v>37.200000000000003</v>
      </c>
      <c r="DB110" s="228">
        <v>35.61</v>
      </c>
      <c r="DC110" s="228">
        <v>1.59</v>
      </c>
      <c r="DD110" s="228">
        <v>1.59</v>
      </c>
      <c r="DE110" s="228">
        <v>62.93</v>
      </c>
      <c r="DF110" s="228">
        <v>63.08</v>
      </c>
      <c r="DG110" s="228">
        <v>-25.73</v>
      </c>
      <c r="DH110" s="228">
        <v>-0.15</v>
      </c>
      <c r="DI110" s="228">
        <v>37.18</v>
      </c>
      <c r="DJ110" s="228">
        <v>35.9</v>
      </c>
      <c r="DK110" s="228">
        <v>1.28</v>
      </c>
      <c r="DL110" s="228">
        <v>1.28</v>
      </c>
      <c r="DM110" s="228">
        <v>37.22</v>
      </c>
      <c r="DN110" s="228">
        <v>35.049999999999997</v>
      </c>
      <c r="DO110" s="228">
        <v>2.17</v>
      </c>
      <c r="DP110" s="228">
        <v>2.17</v>
      </c>
      <c r="DQ110" s="228">
        <v>0.52</v>
      </c>
      <c r="DR110" s="228">
        <v>0.46</v>
      </c>
      <c r="DS110" s="228">
        <v>0.06</v>
      </c>
      <c r="DT110" s="229">
        <v>0.13039999999999999</v>
      </c>
      <c r="DU110" s="228">
        <v>180</v>
      </c>
      <c r="DV110" s="228">
        <v>160</v>
      </c>
      <c r="DW110" s="228">
        <v>0.88</v>
      </c>
      <c r="DX110" s="228">
        <v>0.53</v>
      </c>
      <c r="DY110" s="228">
        <v>0.35</v>
      </c>
      <c r="DZ110" s="229">
        <v>0.66039999999999999</v>
      </c>
      <c r="EA110" s="229">
        <v>0.15140000000000001</v>
      </c>
      <c r="EB110" s="230">
        <v>6414525</v>
      </c>
      <c r="EC110" s="229">
        <v>2E-3</v>
      </c>
      <c r="ED110" s="229">
        <v>0.15140000000000001</v>
      </c>
      <c r="EE110" s="228">
        <v>-0.06</v>
      </c>
      <c r="EF110" s="229">
        <v>-4.0000000000000002E-4</v>
      </c>
      <c r="EG110" s="230">
        <v>1583557</v>
      </c>
      <c r="EH110" s="230">
        <v>1771520</v>
      </c>
      <c r="EI110" s="229">
        <v>-0.1061</v>
      </c>
      <c r="EJ110" s="229">
        <v>0.50390000000000001</v>
      </c>
      <c r="EK110" s="228">
        <v>95.97</v>
      </c>
      <c r="EL110" s="228">
        <v>78.05</v>
      </c>
      <c r="EM110" s="228">
        <v>87.33</v>
      </c>
      <c r="EN110" s="228">
        <v>0</v>
      </c>
      <c r="EO110" s="228">
        <v>261.36</v>
      </c>
      <c r="EP110" s="228">
        <v>323.88</v>
      </c>
      <c r="EQ110" s="228">
        <v>-62.52</v>
      </c>
      <c r="ER110" s="229">
        <v>-0.193</v>
      </c>
      <c r="ES110" s="228">
        <v>347.25</v>
      </c>
      <c r="ET110" s="228">
        <v>165.99</v>
      </c>
      <c r="EU110" s="228">
        <v>756.6</v>
      </c>
      <c r="EV110" s="231">
        <v>134884086</v>
      </c>
      <c r="EW110" s="231">
        <v>1269.83</v>
      </c>
      <c r="EX110" s="231">
        <v>1276.77</v>
      </c>
      <c r="EY110" s="228">
        <v>-6.94</v>
      </c>
      <c r="EZ110" s="229">
        <v>-5.4000000000000003E-3</v>
      </c>
      <c r="FA110" s="229">
        <v>0.55210000000000004</v>
      </c>
      <c r="FB110" s="227" t="s">
        <v>567</v>
      </c>
      <c r="FC110">
        <f t="shared" si="1"/>
        <v>123</v>
      </c>
    </row>
    <row r="111" spans="1:159" ht="17.25" thickBot="1" x14ac:dyDescent="0.3">
      <c r="A111" s="226">
        <v>45860</v>
      </c>
      <c r="B111" s="227" t="s">
        <v>193</v>
      </c>
      <c r="C111" s="227" t="s">
        <v>241</v>
      </c>
      <c r="D111" s="228">
        <v>4875</v>
      </c>
      <c r="E111" s="228">
        <v>9</v>
      </c>
      <c r="F111" s="228">
        <v>152.01</v>
      </c>
      <c r="G111" s="228">
        <v>151.19</v>
      </c>
      <c r="H111" s="228">
        <v>0.82</v>
      </c>
      <c r="I111" s="229">
        <v>5.4000000000000003E-3</v>
      </c>
      <c r="J111" s="228">
        <v>151.97999999999999</v>
      </c>
      <c r="K111" s="228">
        <v>151.07</v>
      </c>
      <c r="L111" s="228">
        <v>0.91</v>
      </c>
      <c r="M111" s="229">
        <v>6.0000000000000001E-3</v>
      </c>
      <c r="N111" s="228">
        <v>152.01</v>
      </c>
      <c r="O111" s="228">
        <v>151.19</v>
      </c>
      <c r="P111" s="228">
        <v>0.82</v>
      </c>
      <c r="Q111" s="229">
        <v>5.4000000000000003E-3</v>
      </c>
      <c r="R111" s="228">
        <v>152.6</v>
      </c>
      <c r="S111" s="228">
        <v>151.77000000000001</v>
      </c>
      <c r="T111" s="228">
        <v>0.83</v>
      </c>
      <c r="U111" s="229">
        <v>5.4999999999999997E-3</v>
      </c>
      <c r="V111" s="228">
        <v>0</v>
      </c>
      <c r="W111" s="228">
        <v>0</v>
      </c>
      <c r="X111" s="228">
        <v>0</v>
      </c>
      <c r="Y111" s="229">
        <v>0</v>
      </c>
      <c r="Z111" s="228">
        <v>0.03</v>
      </c>
      <c r="AA111" s="228">
        <v>0.12</v>
      </c>
      <c r="AB111" s="228">
        <v>-0.09</v>
      </c>
      <c r="AC111" s="229">
        <v>2.0000000000000001E-4</v>
      </c>
      <c r="AD111" s="228">
        <v>0.03</v>
      </c>
      <c r="AE111" s="228">
        <v>0.12</v>
      </c>
      <c r="AF111" s="228">
        <v>-0.09</v>
      </c>
      <c r="AG111" s="229">
        <v>2.0000000000000001E-4</v>
      </c>
      <c r="AH111" s="228">
        <v>0.62</v>
      </c>
      <c r="AI111" s="228">
        <v>0.7</v>
      </c>
      <c r="AJ111" s="228">
        <v>-0.08</v>
      </c>
      <c r="AK111" s="229">
        <v>4.1000000000000003E-3</v>
      </c>
      <c r="AL111" s="228">
        <v>0</v>
      </c>
      <c r="AM111" s="228">
        <v>0</v>
      </c>
      <c r="AN111" s="228">
        <v>0</v>
      </c>
      <c r="AO111" s="229">
        <v>0</v>
      </c>
      <c r="AP111" s="228">
        <v>151.85</v>
      </c>
      <c r="AQ111" s="228">
        <v>152.36000000000001</v>
      </c>
      <c r="AR111" s="228">
        <v>0</v>
      </c>
      <c r="AS111" s="228">
        <v>240</v>
      </c>
      <c r="AT111" s="228">
        <v>143</v>
      </c>
      <c r="AU111" s="228">
        <v>97</v>
      </c>
      <c r="AV111" s="229">
        <v>0.68120000000000003</v>
      </c>
      <c r="AW111" s="228">
        <v>185</v>
      </c>
      <c r="AX111" s="228">
        <v>102</v>
      </c>
      <c r="AY111" s="228">
        <v>84</v>
      </c>
      <c r="AZ111" s="229">
        <v>0.82420000000000004</v>
      </c>
      <c r="BA111" s="228">
        <v>52</v>
      </c>
      <c r="BB111" s="228">
        <v>33</v>
      </c>
      <c r="BC111" s="228">
        <v>19</v>
      </c>
      <c r="BD111" s="229">
        <v>0.56499999999999995</v>
      </c>
      <c r="BE111" s="228">
        <v>0</v>
      </c>
      <c r="BF111" s="228">
        <v>0</v>
      </c>
      <c r="BG111" s="228">
        <v>0</v>
      </c>
      <c r="BH111" s="229">
        <v>0</v>
      </c>
      <c r="BI111" s="228">
        <v>705</v>
      </c>
      <c r="BJ111" s="228">
        <v>433</v>
      </c>
      <c r="BK111" s="228">
        <v>272</v>
      </c>
      <c r="BL111" s="229">
        <v>0.62739999999999996</v>
      </c>
      <c r="BM111" s="228">
        <v>528</v>
      </c>
      <c r="BN111" s="228">
        <v>249</v>
      </c>
      <c r="BO111" s="228">
        <v>280</v>
      </c>
      <c r="BP111" s="229">
        <v>1.1254999999999999</v>
      </c>
      <c r="BQ111" s="230">
        <v>1473</v>
      </c>
      <c r="BR111" s="228">
        <v>824</v>
      </c>
      <c r="BS111" s="228">
        <v>649</v>
      </c>
      <c r="BT111" s="229">
        <v>0.78690000000000004</v>
      </c>
      <c r="BU111" s="230">
        <v>11756919</v>
      </c>
      <c r="BV111" s="230">
        <v>5386748</v>
      </c>
      <c r="BW111" s="230">
        <v>6370171</v>
      </c>
      <c r="BX111" s="229">
        <v>1.1826000000000001</v>
      </c>
      <c r="BY111" s="230">
        <v>1411</v>
      </c>
      <c r="BZ111" s="230">
        <v>1417</v>
      </c>
      <c r="CA111" s="228">
        <v>-6</v>
      </c>
      <c r="CB111" s="229">
        <v>-4.1999999999999997E-3</v>
      </c>
      <c r="CC111" s="230">
        <v>1243</v>
      </c>
      <c r="CD111" s="230">
        <v>1274</v>
      </c>
      <c r="CE111" s="228">
        <v>-31</v>
      </c>
      <c r="CF111" s="229">
        <v>-2.4500000000000001E-2</v>
      </c>
      <c r="CG111" s="228">
        <v>151</v>
      </c>
      <c r="CH111" s="228">
        <v>125</v>
      </c>
      <c r="CI111" s="228">
        <v>26</v>
      </c>
      <c r="CJ111" s="229">
        <v>0.20680000000000001</v>
      </c>
      <c r="CK111" s="228">
        <v>0</v>
      </c>
      <c r="CL111" s="228">
        <v>0</v>
      </c>
      <c r="CM111" s="228">
        <v>0</v>
      </c>
      <c r="CN111" s="229">
        <v>0</v>
      </c>
      <c r="CO111" s="230">
        <v>1025</v>
      </c>
      <c r="CP111" s="230">
        <v>1028</v>
      </c>
      <c r="CQ111" s="228">
        <v>-3</v>
      </c>
      <c r="CR111" s="229">
        <v>-3.2000000000000002E-3</v>
      </c>
      <c r="CS111" s="228">
        <v>708</v>
      </c>
      <c r="CT111" s="228">
        <v>701</v>
      </c>
      <c r="CU111" s="228">
        <v>6</v>
      </c>
      <c r="CV111" s="229">
        <v>9.1000000000000004E-3</v>
      </c>
      <c r="CW111" s="230">
        <v>3143</v>
      </c>
      <c r="CX111" s="230">
        <v>3146</v>
      </c>
      <c r="CY111" s="228">
        <v>-3</v>
      </c>
      <c r="CZ111" s="229">
        <v>-8.9999999999999998E-4</v>
      </c>
      <c r="DA111" s="228">
        <v>27.21</v>
      </c>
      <c r="DB111" s="228">
        <v>28.39</v>
      </c>
      <c r="DC111" s="228">
        <v>-1.18</v>
      </c>
      <c r="DD111" s="228">
        <v>-1.18</v>
      </c>
      <c r="DE111" s="228">
        <v>34.78</v>
      </c>
      <c r="DF111" s="228">
        <v>34.86</v>
      </c>
      <c r="DG111" s="228">
        <v>-7.57</v>
      </c>
      <c r="DH111" s="228">
        <v>-0.08</v>
      </c>
      <c r="DI111" s="228">
        <v>27.04</v>
      </c>
      <c r="DJ111" s="228">
        <v>28.41</v>
      </c>
      <c r="DK111" s="228">
        <v>-1.37</v>
      </c>
      <c r="DL111" s="228">
        <v>-1.37</v>
      </c>
      <c r="DM111" s="228">
        <v>27.43</v>
      </c>
      <c r="DN111" s="228">
        <v>28.35</v>
      </c>
      <c r="DO111" s="228">
        <v>-0.92</v>
      </c>
      <c r="DP111" s="228">
        <v>-0.92</v>
      </c>
      <c r="DQ111" s="228">
        <v>0.69</v>
      </c>
      <c r="DR111" s="228">
        <v>0.68</v>
      </c>
      <c r="DS111" s="228">
        <v>0.01</v>
      </c>
      <c r="DT111" s="229">
        <v>1.47E-2</v>
      </c>
      <c r="DU111" s="228">
        <v>155</v>
      </c>
      <c r="DV111" s="228">
        <v>150</v>
      </c>
      <c r="DW111" s="228">
        <v>0.75</v>
      </c>
      <c r="DX111" s="228">
        <v>0.56999999999999995</v>
      </c>
      <c r="DY111" s="228">
        <v>0.18</v>
      </c>
      <c r="DZ111" s="229">
        <v>0.31580000000000003</v>
      </c>
      <c r="EA111" s="229">
        <v>0.1067</v>
      </c>
      <c r="EB111" s="230">
        <v>8204625</v>
      </c>
      <c r="EC111" s="229">
        <v>3.8999999999999998E-3</v>
      </c>
      <c r="ED111" s="229">
        <v>0.1067</v>
      </c>
      <c r="EE111" s="228">
        <v>0.51</v>
      </c>
      <c r="EF111" s="229">
        <v>3.3999999999999998E-3</v>
      </c>
      <c r="EG111" s="230">
        <v>7723414</v>
      </c>
      <c r="EH111" s="230">
        <v>2804418</v>
      </c>
      <c r="EI111" s="229">
        <v>1.754</v>
      </c>
      <c r="EJ111" s="229">
        <v>0.65690000000000004</v>
      </c>
      <c r="EK111" s="228">
        <v>726.88</v>
      </c>
      <c r="EL111" s="228">
        <v>523.95000000000005</v>
      </c>
      <c r="EM111" s="228">
        <v>239.9</v>
      </c>
      <c r="EN111" s="228">
        <v>0</v>
      </c>
      <c r="EO111" s="231">
        <v>1490.73</v>
      </c>
      <c r="EP111" s="228">
        <v>833.65</v>
      </c>
      <c r="EQ111" s="228">
        <v>657.08</v>
      </c>
      <c r="ER111" s="229">
        <v>0.78820000000000001</v>
      </c>
      <c r="ES111" s="231">
        <v>1046.71</v>
      </c>
      <c r="ET111" s="228">
        <v>674.44</v>
      </c>
      <c r="EU111" s="231">
        <v>1411.55</v>
      </c>
      <c r="EV111" s="231">
        <v>1369807723</v>
      </c>
      <c r="EW111" s="231">
        <v>3132.71</v>
      </c>
      <c r="EX111" s="231">
        <v>3124.7</v>
      </c>
      <c r="EY111" s="228">
        <v>8.01</v>
      </c>
      <c r="EZ111" s="229">
        <v>2.5999999999999999E-3</v>
      </c>
      <c r="FA111" s="229">
        <v>0.151</v>
      </c>
      <c r="FB111" s="227" t="s">
        <v>556</v>
      </c>
      <c r="FC111">
        <f t="shared" si="1"/>
        <v>168</v>
      </c>
    </row>
    <row r="112" spans="1:159" ht="17.25" thickBot="1" x14ac:dyDescent="0.3">
      <c r="A112" s="226">
        <v>45860</v>
      </c>
      <c r="B112" s="227" t="s">
        <v>215</v>
      </c>
      <c r="C112" s="227" t="s">
        <v>595</v>
      </c>
      <c r="D112" s="228">
        <v>11675</v>
      </c>
      <c r="E112" s="228">
        <v>9</v>
      </c>
      <c r="F112" s="228">
        <v>48.37</v>
      </c>
      <c r="G112" s="228">
        <v>48.54</v>
      </c>
      <c r="H112" s="228">
        <v>-0.17</v>
      </c>
      <c r="I112" s="229">
        <v>-3.5000000000000001E-3</v>
      </c>
      <c r="J112" s="228">
        <v>48.36</v>
      </c>
      <c r="K112" s="228">
        <v>48.52</v>
      </c>
      <c r="L112" s="228">
        <v>-0.16</v>
      </c>
      <c r="M112" s="229">
        <v>-3.3E-3</v>
      </c>
      <c r="N112" s="228">
        <v>48.37</v>
      </c>
      <c r="O112" s="228">
        <v>48.54</v>
      </c>
      <c r="P112" s="228">
        <v>-0.17</v>
      </c>
      <c r="Q112" s="229">
        <v>-3.5000000000000001E-3</v>
      </c>
      <c r="R112" s="228">
        <v>48.58</v>
      </c>
      <c r="S112" s="228">
        <v>48.77</v>
      </c>
      <c r="T112" s="228">
        <v>-0.19</v>
      </c>
      <c r="U112" s="229">
        <v>-3.8999999999999998E-3</v>
      </c>
      <c r="V112" s="228">
        <v>0</v>
      </c>
      <c r="W112" s="228">
        <v>0</v>
      </c>
      <c r="X112" s="228">
        <v>0</v>
      </c>
      <c r="Y112" s="229">
        <v>0</v>
      </c>
      <c r="Z112" s="228">
        <v>0.01</v>
      </c>
      <c r="AA112" s="228">
        <v>0.02</v>
      </c>
      <c r="AB112" s="228">
        <v>-0.01</v>
      </c>
      <c r="AC112" s="229">
        <v>2.0000000000000001E-4</v>
      </c>
      <c r="AD112" s="228">
        <v>0.01</v>
      </c>
      <c r="AE112" s="228">
        <v>0.02</v>
      </c>
      <c r="AF112" s="228">
        <v>-0.01</v>
      </c>
      <c r="AG112" s="229">
        <v>2.0000000000000001E-4</v>
      </c>
      <c r="AH112" s="228">
        <v>0.22</v>
      </c>
      <c r="AI112" s="228">
        <v>0.25</v>
      </c>
      <c r="AJ112" s="228">
        <v>-0.03</v>
      </c>
      <c r="AK112" s="229">
        <v>4.4999999999999997E-3</v>
      </c>
      <c r="AL112" s="228">
        <v>0</v>
      </c>
      <c r="AM112" s="228">
        <v>0</v>
      </c>
      <c r="AN112" s="228">
        <v>0</v>
      </c>
      <c r="AO112" s="229">
        <v>0</v>
      </c>
      <c r="AP112" s="228">
        <v>48.35</v>
      </c>
      <c r="AQ112" s="228">
        <v>48.53</v>
      </c>
      <c r="AR112" s="228">
        <v>0</v>
      </c>
      <c r="AS112" s="228">
        <v>47</v>
      </c>
      <c r="AT112" s="228">
        <v>61</v>
      </c>
      <c r="AU112" s="228">
        <v>-15</v>
      </c>
      <c r="AV112" s="229">
        <v>-0.23799999999999999</v>
      </c>
      <c r="AW112" s="228">
        <v>40</v>
      </c>
      <c r="AX112" s="228">
        <v>42</v>
      </c>
      <c r="AY112" s="228">
        <v>-2</v>
      </c>
      <c r="AZ112" s="229">
        <v>-3.6299999999999999E-2</v>
      </c>
      <c r="BA112" s="228">
        <v>6</v>
      </c>
      <c r="BB112" s="228">
        <v>19</v>
      </c>
      <c r="BC112" s="228">
        <v>-13</v>
      </c>
      <c r="BD112" s="229">
        <v>-0.6774</v>
      </c>
      <c r="BE112" s="228">
        <v>0</v>
      </c>
      <c r="BF112" s="228">
        <v>0</v>
      </c>
      <c r="BG112" s="228">
        <v>0</v>
      </c>
      <c r="BH112" s="229">
        <v>0</v>
      </c>
      <c r="BI112" s="228">
        <v>105</v>
      </c>
      <c r="BJ112" s="228">
        <v>72</v>
      </c>
      <c r="BK112" s="228">
        <v>33</v>
      </c>
      <c r="BL112" s="229">
        <v>0.45839999999999997</v>
      </c>
      <c r="BM112" s="228">
        <v>10</v>
      </c>
      <c r="BN112" s="228">
        <v>18</v>
      </c>
      <c r="BO112" s="228">
        <v>-8</v>
      </c>
      <c r="BP112" s="229">
        <v>-0.43269999999999997</v>
      </c>
      <c r="BQ112" s="228">
        <v>162</v>
      </c>
      <c r="BR112" s="228">
        <v>151</v>
      </c>
      <c r="BS112" s="228">
        <v>11</v>
      </c>
      <c r="BT112" s="229">
        <v>7.1499999999999994E-2</v>
      </c>
      <c r="BU112" s="230">
        <v>8185220</v>
      </c>
      <c r="BV112" s="230">
        <v>8775543</v>
      </c>
      <c r="BW112" s="230">
        <v>-590323</v>
      </c>
      <c r="BX112" s="229">
        <v>-6.7299999999999999E-2</v>
      </c>
      <c r="BY112" s="228">
        <v>478</v>
      </c>
      <c r="BZ112" s="228">
        <v>473</v>
      </c>
      <c r="CA112" s="228">
        <v>5</v>
      </c>
      <c r="CB112" s="229">
        <v>0.01</v>
      </c>
      <c r="CC112" s="228">
        <v>426</v>
      </c>
      <c r="CD112" s="228">
        <v>424</v>
      </c>
      <c r="CE112" s="228">
        <v>2</v>
      </c>
      <c r="CF112" s="229">
        <v>5.1999999999999998E-3</v>
      </c>
      <c r="CG112" s="228">
        <v>52</v>
      </c>
      <c r="CH112" s="228">
        <v>50</v>
      </c>
      <c r="CI112" s="228">
        <v>3</v>
      </c>
      <c r="CJ112" s="229">
        <v>5.1299999999999998E-2</v>
      </c>
      <c r="CK112" s="228">
        <v>0</v>
      </c>
      <c r="CL112" s="228">
        <v>0</v>
      </c>
      <c r="CM112" s="228">
        <v>0</v>
      </c>
      <c r="CN112" s="229">
        <v>0</v>
      </c>
      <c r="CO112" s="228">
        <v>162</v>
      </c>
      <c r="CP112" s="228">
        <v>189</v>
      </c>
      <c r="CQ112" s="228">
        <v>-26</v>
      </c>
      <c r="CR112" s="229">
        <v>-0.1404</v>
      </c>
      <c r="CS112" s="228">
        <v>70</v>
      </c>
      <c r="CT112" s="228">
        <v>69</v>
      </c>
      <c r="CU112" s="228">
        <v>0</v>
      </c>
      <c r="CV112" s="229">
        <v>5.7000000000000002E-3</v>
      </c>
      <c r="CW112" s="228">
        <v>710</v>
      </c>
      <c r="CX112" s="228">
        <v>731</v>
      </c>
      <c r="CY112" s="228">
        <v>-21</v>
      </c>
      <c r="CZ112" s="229">
        <v>-2.92E-2</v>
      </c>
      <c r="DA112" s="228">
        <v>38.69</v>
      </c>
      <c r="DB112" s="228">
        <v>33.869999999999997</v>
      </c>
      <c r="DC112" s="228">
        <v>4.82</v>
      </c>
      <c r="DD112" s="228">
        <v>4.82</v>
      </c>
      <c r="DE112" s="228">
        <v>50.07</v>
      </c>
      <c r="DF112" s="228">
        <v>50.19</v>
      </c>
      <c r="DG112" s="228">
        <v>-11.38</v>
      </c>
      <c r="DH112" s="228">
        <v>-0.12</v>
      </c>
      <c r="DI112" s="228">
        <v>39.17</v>
      </c>
      <c r="DJ112" s="228">
        <v>34.229999999999997</v>
      </c>
      <c r="DK112" s="228">
        <v>4.9400000000000004</v>
      </c>
      <c r="DL112" s="228">
        <v>4.9400000000000004</v>
      </c>
      <c r="DM112" s="228">
        <v>33.68</v>
      </c>
      <c r="DN112" s="228">
        <v>32.4</v>
      </c>
      <c r="DO112" s="228">
        <v>1.28</v>
      </c>
      <c r="DP112" s="228">
        <v>1.28</v>
      </c>
      <c r="DQ112" s="228">
        <v>0.43</v>
      </c>
      <c r="DR112" s="228">
        <v>0.37</v>
      </c>
      <c r="DS112" s="228">
        <v>0.06</v>
      </c>
      <c r="DT112" s="229">
        <v>0.16220000000000001</v>
      </c>
      <c r="DU112" s="228">
        <v>50</v>
      </c>
      <c r="DV112" s="228">
        <v>50</v>
      </c>
      <c r="DW112" s="228">
        <v>0.1</v>
      </c>
      <c r="DX112" s="228">
        <v>0.24</v>
      </c>
      <c r="DY112" s="228">
        <v>-0.14000000000000001</v>
      </c>
      <c r="DZ112" s="229">
        <v>-0.58330000000000004</v>
      </c>
      <c r="EA112" s="229">
        <v>0.109</v>
      </c>
      <c r="EB112" s="230">
        <v>10250650</v>
      </c>
      <c r="EC112" s="229">
        <v>4.3E-3</v>
      </c>
      <c r="ED112" s="229">
        <v>0.109</v>
      </c>
      <c r="EE112" s="228">
        <v>0.18</v>
      </c>
      <c r="EF112" s="229">
        <v>3.7000000000000002E-3</v>
      </c>
      <c r="EG112" s="230">
        <v>3959906</v>
      </c>
      <c r="EH112" s="230">
        <v>4059194</v>
      </c>
      <c r="EI112" s="229">
        <v>-2.4500000000000001E-2</v>
      </c>
      <c r="EJ112" s="229">
        <v>0.48380000000000001</v>
      </c>
      <c r="EK112" s="228">
        <v>110.54</v>
      </c>
      <c r="EL112" s="228">
        <v>9.98</v>
      </c>
      <c r="EM112" s="228">
        <v>46.65</v>
      </c>
      <c r="EN112" s="228">
        <v>0</v>
      </c>
      <c r="EO112" s="228">
        <v>167.17</v>
      </c>
      <c r="EP112" s="228">
        <v>153.87</v>
      </c>
      <c r="EQ112" s="228">
        <v>13.3</v>
      </c>
      <c r="ER112" s="229">
        <v>8.6400000000000005E-2</v>
      </c>
      <c r="ES112" s="228">
        <v>172.86</v>
      </c>
      <c r="ET112" s="228">
        <v>70.02</v>
      </c>
      <c r="EU112" s="228">
        <v>478.43</v>
      </c>
      <c r="EV112" s="231">
        <v>840388804</v>
      </c>
      <c r="EW112" s="228">
        <v>721.31</v>
      </c>
      <c r="EX112" s="228">
        <v>745.39</v>
      </c>
      <c r="EY112" s="228">
        <v>-24.08</v>
      </c>
      <c r="EZ112" s="229">
        <v>-3.2300000000000002E-2</v>
      </c>
      <c r="FA112" s="229">
        <v>0.17469999999999999</v>
      </c>
      <c r="FB112" s="227" t="s">
        <v>567</v>
      </c>
      <c r="FC112">
        <f t="shared" si="1"/>
        <v>52</v>
      </c>
    </row>
    <row r="113" spans="1:159" ht="17.25" thickBot="1" x14ac:dyDescent="0.3">
      <c r="A113" s="226">
        <v>45860</v>
      </c>
      <c r="B113" s="227" t="s">
        <v>215</v>
      </c>
      <c r="C113" s="227" t="s">
        <v>490</v>
      </c>
      <c r="D113" s="228">
        <v>875</v>
      </c>
      <c r="E113" s="228">
        <v>9</v>
      </c>
      <c r="F113" s="228">
        <v>760.8</v>
      </c>
      <c r="G113" s="228">
        <v>772</v>
      </c>
      <c r="H113" s="228">
        <v>-11.2</v>
      </c>
      <c r="I113" s="229">
        <v>-1.4500000000000001E-2</v>
      </c>
      <c r="J113" s="228">
        <v>760.6</v>
      </c>
      <c r="K113" s="228">
        <v>770.45</v>
      </c>
      <c r="L113" s="228">
        <v>-9.85</v>
      </c>
      <c r="M113" s="229">
        <v>-1.2800000000000001E-2</v>
      </c>
      <c r="N113" s="228">
        <v>760.8</v>
      </c>
      <c r="O113" s="228">
        <v>772</v>
      </c>
      <c r="P113" s="228">
        <v>-11.2</v>
      </c>
      <c r="Q113" s="229">
        <v>-1.4500000000000001E-2</v>
      </c>
      <c r="R113" s="228">
        <v>764.05</v>
      </c>
      <c r="S113" s="228">
        <v>775.25</v>
      </c>
      <c r="T113" s="228">
        <v>-11.2</v>
      </c>
      <c r="U113" s="229">
        <v>-1.44E-2</v>
      </c>
      <c r="V113" s="228">
        <v>0</v>
      </c>
      <c r="W113" s="228">
        <v>0</v>
      </c>
      <c r="X113" s="228">
        <v>0</v>
      </c>
      <c r="Y113" s="229">
        <v>0</v>
      </c>
      <c r="Z113" s="228">
        <v>0.2</v>
      </c>
      <c r="AA113" s="228">
        <v>1.55</v>
      </c>
      <c r="AB113" s="228">
        <v>-1.35</v>
      </c>
      <c r="AC113" s="229">
        <v>2.9999999999999997E-4</v>
      </c>
      <c r="AD113" s="228">
        <v>0.2</v>
      </c>
      <c r="AE113" s="228">
        <v>1.55</v>
      </c>
      <c r="AF113" s="228">
        <v>-1.35</v>
      </c>
      <c r="AG113" s="229">
        <v>2.9999999999999997E-4</v>
      </c>
      <c r="AH113" s="228">
        <v>3.45</v>
      </c>
      <c r="AI113" s="228">
        <v>4.8</v>
      </c>
      <c r="AJ113" s="228">
        <v>-1.35</v>
      </c>
      <c r="AK113" s="229">
        <v>4.4999999999999997E-3</v>
      </c>
      <c r="AL113" s="228">
        <v>0</v>
      </c>
      <c r="AM113" s="228">
        <v>0</v>
      </c>
      <c r="AN113" s="228">
        <v>0</v>
      </c>
      <c r="AO113" s="229">
        <v>0</v>
      </c>
      <c r="AP113" s="228">
        <v>764.37</v>
      </c>
      <c r="AQ113" s="228">
        <v>767.64</v>
      </c>
      <c r="AR113" s="228">
        <v>0</v>
      </c>
      <c r="AS113" s="228">
        <v>149</v>
      </c>
      <c r="AT113" s="228">
        <v>111</v>
      </c>
      <c r="AU113" s="228">
        <v>38</v>
      </c>
      <c r="AV113" s="229">
        <v>0.3417</v>
      </c>
      <c r="AW113" s="228">
        <v>93</v>
      </c>
      <c r="AX113" s="228">
        <v>84</v>
      </c>
      <c r="AY113" s="228">
        <v>9</v>
      </c>
      <c r="AZ113" s="229">
        <v>0.1111</v>
      </c>
      <c r="BA113" s="228">
        <v>52</v>
      </c>
      <c r="BB113" s="228">
        <v>24</v>
      </c>
      <c r="BC113" s="228">
        <v>28</v>
      </c>
      <c r="BD113" s="229">
        <v>1.1543000000000001</v>
      </c>
      <c r="BE113" s="228">
        <v>0</v>
      </c>
      <c r="BF113" s="228">
        <v>0</v>
      </c>
      <c r="BG113" s="228">
        <v>0</v>
      </c>
      <c r="BH113" s="229">
        <v>0</v>
      </c>
      <c r="BI113" s="228">
        <v>350</v>
      </c>
      <c r="BJ113" s="228">
        <v>361</v>
      </c>
      <c r="BK113" s="228">
        <v>-10</v>
      </c>
      <c r="BL113" s="229">
        <v>-2.8400000000000002E-2</v>
      </c>
      <c r="BM113" s="228">
        <v>160</v>
      </c>
      <c r="BN113" s="228">
        <v>215</v>
      </c>
      <c r="BO113" s="228">
        <v>-55</v>
      </c>
      <c r="BP113" s="229">
        <v>-0.25629999999999997</v>
      </c>
      <c r="BQ113" s="228">
        <v>659</v>
      </c>
      <c r="BR113" s="228">
        <v>687</v>
      </c>
      <c r="BS113" s="228">
        <v>-27</v>
      </c>
      <c r="BT113" s="229">
        <v>-0.04</v>
      </c>
      <c r="BU113" s="230">
        <v>556785</v>
      </c>
      <c r="BV113" s="230">
        <v>616825</v>
      </c>
      <c r="BW113" s="230">
        <v>-60040</v>
      </c>
      <c r="BX113" s="229">
        <v>-9.7299999999999998E-2</v>
      </c>
      <c r="BY113" s="230">
        <v>1120</v>
      </c>
      <c r="BZ113" s="230">
        <v>1094</v>
      </c>
      <c r="CA113" s="228">
        <v>26</v>
      </c>
      <c r="CB113" s="229">
        <v>2.3599999999999999E-2</v>
      </c>
      <c r="CC113" s="228">
        <v>930</v>
      </c>
      <c r="CD113" s="228">
        <v>942</v>
      </c>
      <c r="CE113" s="228">
        <v>-12</v>
      </c>
      <c r="CF113" s="229">
        <v>-1.2699999999999999E-2</v>
      </c>
      <c r="CG113" s="228">
        <v>177</v>
      </c>
      <c r="CH113" s="228">
        <v>141</v>
      </c>
      <c r="CI113" s="228">
        <v>36</v>
      </c>
      <c r="CJ113" s="229">
        <v>0.254</v>
      </c>
      <c r="CK113" s="228">
        <v>0</v>
      </c>
      <c r="CL113" s="228">
        <v>0</v>
      </c>
      <c r="CM113" s="228">
        <v>0</v>
      </c>
      <c r="CN113" s="229">
        <v>0</v>
      </c>
      <c r="CO113" s="228">
        <v>631</v>
      </c>
      <c r="CP113" s="228">
        <v>613</v>
      </c>
      <c r="CQ113" s="228">
        <v>18</v>
      </c>
      <c r="CR113" s="229">
        <v>2.9100000000000001E-2</v>
      </c>
      <c r="CS113" s="228">
        <v>439</v>
      </c>
      <c r="CT113" s="228">
        <v>417</v>
      </c>
      <c r="CU113" s="228">
        <v>22</v>
      </c>
      <c r="CV113" s="229">
        <v>5.33E-2</v>
      </c>
      <c r="CW113" s="230">
        <v>2191</v>
      </c>
      <c r="CX113" s="230">
        <v>2125</v>
      </c>
      <c r="CY113" s="228">
        <v>66</v>
      </c>
      <c r="CZ113" s="229">
        <v>3.1E-2</v>
      </c>
      <c r="DA113" s="228">
        <v>23.87</v>
      </c>
      <c r="DB113" s="228">
        <v>22.76</v>
      </c>
      <c r="DC113" s="228">
        <v>1.1100000000000001</v>
      </c>
      <c r="DD113" s="228">
        <v>1.1100000000000001</v>
      </c>
      <c r="DE113" s="228">
        <v>34.47</v>
      </c>
      <c r="DF113" s="228">
        <v>34.5</v>
      </c>
      <c r="DG113" s="228">
        <v>-10.6</v>
      </c>
      <c r="DH113" s="228">
        <v>-0.03</v>
      </c>
      <c r="DI113" s="228">
        <v>24.8</v>
      </c>
      <c r="DJ113" s="228">
        <v>23.2</v>
      </c>
      <c r="DK113" s="228">
        <v>1.6</v>
      </c>
      <c r="DL113" s="228">
        <v>1.6</v>
      </c>
      <c r="DM113" s="228">
        <v>21.83</v>
      </c>
      <c r="DN113" s="228">
        <v>22.01</v>
      </c>
      <c r="DO113" s="228">
        <v>-0.18</v>
      </c>
      <c r="DP113" s="228">
        <v>-0.18</v>
      </c>
      <c r="DQ113" s="228">
        <v>0.7</v>
      </c>
      <c r="DR113" s="228">
        <v>0.68</v>
      </c>
      <c r="DS113" s="228">
        <v>0.02</v>
      </c>
      <c r="DT113" s="229">
        <v>2.9399999999999999E-2</v>
      </c>
      <c r="DU113" s="228">
        <v>800</v>
      </c>
      <c r="DV113" s="228">
        <v>780</v>
      </c>
      <c r="DW113" s="228">
        <v>0.46</v>
      </c>
      <c r="DX113" s="228">
        <v>0.6</v>
      </c>
      <c r="DY113" s="228">
        <v>-0.14000000000000001</v>
      </c>
      <c r="DZ113" s="229">
        <v>-0.23330000000000001</v>
      </c>
      <c r="EA113" s="229">
        <v>0.1578</v>
      </c>
      <c r="EB113" s="230">
        <v>1853250</v>
      </c>
      <c r="EC113" s="229">
        <v>4.3E-3</v>
      </c>
      <c r="ED113" s="229">
        <v>0.1578</v>
      </c>
      <c r="EE113" s="228">
        <v>3.27</v>
      </c>
      <c r="EF113" s="229">
        <v>4.3E-3</v>
      </c>
      <c r="EG113" s="230">
        <v>272234</v>
      </c>
      <c r="EH113" s="230">
        <v>276444</v>
      </c>
      <c r="EI113" s="229">
        <v>-1.52E-2</v>
      </c>
      <c r="EJ113" s="229">
        <v>0.4889</v>
      </c>
      <c r="EK113" s="228">
        <v>369.7</v>
      </c>
      <c r="EL113" s="228">
        <v>158.82</v>
      </c>
      <c r="EM113" s="228">
        <v>149.68</v>
      </c>
      <c r="EN113" s="228">
        <v>0</v>
      </c>
      <c r="EO113" s="228">
        <v>678.2</v>
      </c>
      <c r="EP113" s="228">
        <v>706.15</v>
      </c>
      <c r="EQ113" s="228">
        <v>-27.95</v>
      </c>
      <c r="ER113" s="229">
        <v>-3.9600000000000003E-2</v>
      </c>
      <c r="ES113" s="228">
        <v>676.42</v>
      </c>
      <c r="ET113" s="228">
        <v>434.84</v>
      </c>
      <c r="EU113" s="231">
        <v>1121.1300000000001</v>
      </c>
      <c r="EV113" s="231">
        <v>60165566</v>
      </c>
      <c r="EW113" s="231">
        <v>2232.39</v>
      </c>
      <c r="EX113" s="231">
        <v>2183.84</v>
      </c>
      <c r="EY113" s="228">
        <v>48.55</v>
      </c>
      <c r="EZ113" s="229">
        <v>2.2200000000000001E-2</v>
      </c>
      <c r="FA113" s="229">
        <v>0.47860000000000003</v>
      </c>
      <c r="FB113" s="227" t="s">
        <v>567</v>
      </c>
      <c r="FC113">
        <f t="shared" si="1"/>
        <v>190</v>
      </c>
    </row>
    <row r="114" spans="1:159" ht="17.25" thickBot="1" x14ac:dyDescent="0.3">
      <c r="A114" s="226">
        <v>45860</v>
      </c>
      <c r="B114" s="227" t="s">
        <v>175</v>
      </c>
      <c r="C114" s="227" t="s">
        <v>666</v>
      </c>
      <c r="D114" s="228">
        <v>3450</v>
      </c>
      <c r="E114" s="228">
        <v>9</v>
      </c>
      <c r="F114" s="228">
        <v>156.28</v>
      </c>
      <c r="G114" s="228">
        <v>157.79</v>
      </c>
      <c r="H114" s="228">
        <v>-1.51</v>
      </c>
      <c r="I114" s="229">
        <v>-9.5999999999999992E-3</v>
      </c>
      <c r="J114" s="228">
        <v>156.22</v>
      </c>
      <c r="K114" s="228">
        <v>157.30000000000001</v>
      </c>
      <c r="L114" s="228">
        <v>-1.08</v>
      </c>
      <c r="M114" s="229">
        <v>-6.8999999999999999E-3</v>
      </c>
      <c r="N114" s="228">
        <v>156.28</v>
      </c>
      <c r="O114" s="228">
        <v>157.79</v>
      </c>
      <c r="P114" s="228">
        <v>-1.51</v>
      </c>
      <c r="Q114" s="229">
        <v>-9.5999999999999992E-3</v>
      </c>
      <c r="R114" s="228">
        <v>156.15</v>
      </c>
      <c r="S114" s="228">
        <v>157.85</v>
      </c>
      <c r="T114" s="228">
        <v>-1.7</v>
      </c>
      <c r="U114" s="229">
        <v>-1.0800000000000001E-2</v>
      </c>
      <c r="V114" s="228">
        <v>0</v>
      </c>
      <c r="W114" s="228">
        <v>0</v>
      </c>
      <c r="X114" s="228">
        <v>0</v>
      </c>
      <c r="Y114" s="229">
        <v>0</v>
      </c>
      <c r="Z114" s="228">
        <v>0.06</v>
      </c>
      <c r="AA114" s="228">
        <v>0.49</v>
      </c>
      <c r="AB114" s="228">
        <v>-0.43</v>
      </c>
      <c r="AC114" s="229">
        <v>4.0000000000000002E-4</v>
      </c>
      <c r="AD114" s="228">
        <v>0.06</v>
      </c>
      <c r="AE114" s="228">
        <v>0.49</v>
      </c>
      <c r="AF114" s="228">
        <v>-0.43</v>
      </c>
      <c r="AG114" s="229">
        <v>4.0000000000000002E-4</v>
      </c>
      <c r="AH114" s="228">
        <v>-7.0000000000000007E-2</v>
      </c>
      <c r="AI114" s="228">
        <v>0.55000000000000004</v>
      </c>
      <c r="AJ114" s="228">
        <v>-0.62</v>
      </c>
      <c r="AK114" s="229">
        <v>-4.0000000000000002E-4</v>
      </c>
      <c r="AL114" s="228">
        <v>0</v>
      </c>
      <c r="AM114" s="228">
        <v>0</v>
      </c>
      <c r="AN114" s="228">
        <v>0</v>
      </c>
      <c r="AO114" s="229">
        <v>0</v>
      </c>
      <c r="AP114" s="228">
        <v>157.26</v>
      </c>
      <c r="AQ114" s="228">
        <v>157.19999999999999</v>
      </c>
      <c r="AR114" s="228">
        <v>0</v>
      </c>
      <c r="AS114" s="228">
        <v>101</v>
      </c>
      <c r="AT114" s="228">
        <v>103</v>
      </c>
      <c r="AU114" s="228">
        <v>-3</v>
      </c>
      <c r="AV114" s="229">
        <v>-2.4500000000000001E-2</v>
      </c>
      <c r="AW114" s="228">
        <v>67</v>
      </c>
      <c r="AX114" s="228">
        <v>79</v>
      </c>
      <c r="AY114" s="228">
        <v>-12</v>
      </c>
      <c r="AZ114" s="229">
        <v>-0.15759999999999999</v>
      </c>
      <c r="BA114" s="228">
        <v>32</v>
      </c>
      <c r="BB114" s="228">
        <v>23</v>
      </c>
      <c r="BC114" s="228">
        <v>9</v>
      </c>
      <c r="BD114" s="229">
        <v>0.37619999999999998</v>
      </c>
      <c r="BE114" s="228">
        <v>0</v>
      </c>
      <c r="BF114" s="228">
        <v>0</v>
      </c>
      <c r="BG114" s="228">
        <v>0</v>
      </c>
      <c r="BH114" s="229">
        <v>0</v>
      </c>
      <c r="BI114" s="228">
        <v>297</v>
      </c>
      <c r="BJ114" s="228">
        <v>285</v>
      </c>
      <c r="BK114" s="228">
        <v>12</v>
      </c>
      <c r="BL114" s="229">
        <v>4.1799999999999997E-2</v>
      </c>
      <c r="BM114" s="228">
        <v>62</v>
      </c>
      <c r="BN114" s="228">
        <v>74</v>
      </c>
      <c r="BO114" s="228">
        <v>-12</v>
      </c>
      <c r="BP114" s="229">
        <v>-0.1676</v>
      </c>
      <c r="BQ114" s="228">
        <v>460</v>
      </c>
      <c r="BR114" s="228">
        <v>463</v>
      </c>
      <c r="BS114" s="228">
        <v>-3</v>
      </c>
      <c r="BT114" s="229">
        <v>-6.4999999999999997E-3</v>
      </c>
      <c r="BU114" s="230">
        <v>4702480</v>
      </c>
      <c r="BV114" s="230">
        <v>6434506</v>
      </c>
      <c r="BW114" s="230">
        <v>-1732026</v>
      </c>
      <c r="BX114" s="229">
        <v>-0.26919999999999999</v>
      </c>
      <c r="BY114" s="228">
        <v>755</v>
      </c>
      <c r="BZ114" s="228">
        <v>732</v>
      </c>
      <c r="CA114" s="228">
        <v>23</v>
      </c>
      <c r="CB114" s="229">
        <v>3.1199999999999999E-2</v>
      </c>
      <c r="CC114" s="228">
        <v>573</v>
      </c>
      <c r="CD114" s="228">
        <v>567</v>
      </c>
      <c r="CE114" s="228">
        <v>6</v>
      </c>
      <c r="CF114" s="229">
        <v>1.14E-2</v>
      </c>
      <c r="CG114" s="228">
        <v>157</v>
      </c>
      <c r="CH114" s="228">
        <v>142</v>
      </c>
      <c r="CI114" s="228">
        <v>15</v>
      </c>
      <c r="CJ114" s="229">
        <v>0.1024</v>
      </c>
      <c r="CK114" s="228">
        <v>0</v>
      </c>
      <c r="CL114" s="228">
        <v>0</v>
      </c>
      <c r="CM114" s="228">
        <v>0</v>
      </c>
      <c r="CN114" s="229">
        <v>0</v>
      </c>
      <c r="CO114" s="228">
        <v>571</v>
      </c>
      <c r="CP114" s="228">
        <v>582</v>
      </c>
      <c r="CQ114" s="228">
        <v>-11</v>
      </c>
      <c r="CR114" s="229">
        <v>-1.9400000000000001E-2</v>
      </c>
      <c r="CS114" s="228">
        <v>274</v>
      </c>
      <c r="CT114" s="228">
        <v>272</v>
      </c>
      <c r="CU114" s="228">
        <v>2</v>
      </c>
      <c r="CV114" s="229">
        <v>9.1000000000000004E-3</v>
      </c>
      <c r="CW114" s="230">
        <v>1600</v>
      </c>
      <c r="CX114" s="230">
        <v>1586</v>
      </c>
      <c r="CY114" s="228">
        <v>14</v>
      </c>
      <c r="CZ114" s="229">
        <v>8.8000000000000005E-3</v>
      </c>
      <c r="DA114" s="228">
        <v>40.65</v>
      </c>
      <c r="DB114" s="228">
        <v>38.76</v>
      </c>
      <c r="DC114" s="228">
        <v>1.89</v>
      </c>
      <c r="DD114" s="228">
        <v>1.89</v>
      </c>
      <c r="DE114" s="228">
        <v>57.92</v>
      </c>
      <c r="DF114" s="228">
        <v>58.05</v>
      </c>
      <c r="DG114" s="228">
        <v>-17.27</v>
      </c>
      <c r="DH114" s="228">
        <v>-0.13</v>
      </c>
      <c r="DI114" s="228">
        <v>41.4</v>
      </c>
      <c r="DJ114" s="228">
        <v>39.86</v>
      </c>
      <c r="DK114" s="228">
        <v>1.54</v>
      </c>
      <c r="DL114" s="228">
        <v>1.54</v>
      </c>
      <c r="DM114" s="228">
        <v>37.020000000000003</v>
      </c>
      <c r="DN114" s="228">
        <v>34.51</v>
      </c>
      <c r="DO114" s="228">
        <v>2.5099999999999998</v>
      </c>
      <c r="DP114" s="228">
        <v>2.5099999999999998</v>
      </c>
      <c r="DQ114" s="228">
        <v>0.48</v>
      </c>
      <c r="DR114" s="228">
        <v>0.47</v>
      </c>
      <c r="DS114" s="228">
        <v>0.01</v>
      </c>
      <c r="DT114" s="229">
        <v>2.1299999999999999E-2</v>
      </c>
      <c r="DU114" s="228">
        <v>170</v>
      </c>
      <c r="DV114" s="228">
        <v>150</v>
      </c>
      <c r="DW114" s="228">
        <v>0.21</v>
      </c>
      <c r="DX114" s="228">
        <v>0.26</v>
      </c>
      <c r="DY114" s="228">
        <v>-0.05</v>
      </c>
      <c r="DZ114" s="229">
        <v>-0.1923</v>
      </c>
      <c r="EA114" s="229">
        <v>0.20760000000000001</v>
      </c>
      <c r="EB114" s="230">
        <v>9094200</v>
      </c>
      <c r="EC114" s="229">
        <v>-8.0000000000000004E-4</v>
      </c>
      <c r="ED114" s="229">
        <v>0.20760000000000001</v>
      </c>
      <c r="EE114" s="228">
        <v>-0.06</v>
      </c>
      <c r="EF114" s="229">
        <v>-4.0000000000000002E-4</v>
      </c>
      <c r="EG114" s="230">
        <v>1860248</v>
      </c>
      <c r="EH114" s="230">
        <v>2567795</v>
      </c>
      <c r="EI114" s="229">
        <v>-0.27550000000000002</v>
      </c>
      <c r="EJ114" s="229">
        <v>0.39560000000000001</v>
      </c>
      <c r="EK114" s="228">
        <v>324.29000000000002</v>
      </c>
      <c r="EL114" s="228">
        <v>62.51</v>
      </c>
      <c r="EM114" s="228">
        <v>101.56</v>
      </c>
      <c r="EN114" s="228">
        <v>0</v>
      </c>
      <c r="EO114" s="228">
        <v>488.35</v>
      </c>
      <c r="EP114" s="228">
        <v>491.68</v>
      </c>
      <c r="EQ114" s="228">
        <v>-3.33</v>
      </c>
      <c r="ER114" s="229">
        <v>-6.7999999999999996E-3</v>
      </c>
      <c r="ES114" s="228">
        <v>631.67999999999995</v>
      </c>
      <c r="ET114" s="228">
        <v>278.14999999999998</v>
      </c>
      <c r="EU114" s="228">
        <v>754.78</v>
      </c>
      <c r="EV114" s="231">
        <v>158681547</v>
      </c>
      <c r="EW114" s="231">
        <v>1664.61</v>
      </c>
      <c r="EX114" s="231">
        <v>1661.53</v>
      </c>
      <c r="EY114" s="228">
        <v>3.08</v>
      </c>
      <c r="EZ114" s="229">
        <v>1.9E-3</v>
      </c>
      <c r="FA114" s="229">
        <v>0.64500000000000002</v>
      </c>
      <c r="FB114" s="227" t="s">
        <v>567</v>
      </c>
      <c r="FC114">
        <f t="shared" si="1"/>
        <v>182</v>
      </c>
    </row>
    <row r="115" spans="1:159" ht="17.25" thickBot="1" x14ac:dyDescent="0.3">
      <c r="A115" s="226">
        <v>45860</v>
      </c>
      <c r="B115" s="227" t="s">
        <v>215</v>
      </c>
      <c r="C115" s="227" t="s">
        <v>593</v>
      </c>
      <c r="D115" s="228">
        <v>4250</v>
      </c>
      <c r="E115" s="228">
        <v>9</v>
      </c>
      <c r="F115" s="228">
        <v>130.13999999999999</v>
      </c>
      <c r="G115" s="228">
        <v>134.79</v>
      </c>
      <c r="H115" s="228">
        <v>-4.6500000000000004</v>
      </c>
      <c r="I115" s="229">
        <v>-3.4500000000000003E-2</v>
      </c>
      <c r="J115" s="228">
        <v>130.77000000000001</v>
      </c>
      <c r="K115" s="228">
        <v>134.37</v>
      </c>
      <c r="L115" s="228">
        <v>-3.6</v>
      </c>
      <c r="M115" s="229">
        <v>-2.6800000000000001E-2</v>
      </c>
      <c r="N115" s="228">
        <v>130.13999999999999</v>
      </c>
      <c r="O115" s="228">
        <v>134.79</v>
      </c>
      <c r="P115" s="228">
        <v>-4.6500000000000004</v>
      </c>
      <c r="Q115" s="229">
        <v>-3.4500000000000003E-2</v>
      </c>
      <c r="R115" s="228">
        <v>129.96</v>
      </c>
      <c r="S115" s="228">
        <v>134.9</v>
      </c>
      <c r="T115" s="228">
        <v>-4.9400000000000004</v>
      </c>
      <c r="U115" s="229">
        <v>-3.6600000000000001E-2</v>
      </c>
      <c r="V115" s="228">
        <v>0</v>
      </c>
      <c r="W115" s="228">
        <v>0</v>
      </c>
      <c r="X115" s="228">
        <v>0</v>
      </c>
      <c r="Y115" s="229">
        <v>0</v>
      </c>
      <c r="Z115" s="228">
        <v>-0.63</v>
      </c>
      <c r="AA115" s="228">
        <v>0.42</v>
      </c>
      <c r="AB115" s="228">
        <v>-1.05</v>
      </c>
      <c r="AC115" s="229">
        <v>-4.7999999999999996E-3</v>
      </c>
      <c r="AD115" s="228">
        <v>-0.63</v>
      </c>
      <c r="AE115" s="228">
        <v>0.42</v>
      </c>
      <c r="AF115" s="228">
        <v>-1.05</v>
      </c>
      <c r="AG115" s="229">
        <v>-4.7999999999999996E-3</v>
      </c>
      <c r="AH115" s="228">
        <v>-0.81</v>
      </c>
      <c r="AI115" s="228">
        <v>0.53</v>
      </c>
      <c r="AJ115" s="228">
        <v>-1.34</v>
      </c>
      <c r="AK115" s="229">
        <v>-6.1999999999999998E-3</v>
      </c>
      <c r="AL115" s="228">
        <v>0</v>
      </c>
      <c r="AM115" s="228">
        <v>0</v>
      </c>
      <c r="AN115" s="228">
        <v>0</v>
      </c>
      <c r="AO115" s="229">
        <v>0</v>
      </c>
      <c r="AP115" s="228">
        <v>131.59</v>
      </c>
      <c r="AQ115" s="228">
        <v>131.43</v>
      </c>
      <c r="AR115" s="228">
        <v>0</v>
      </c>
      <c r="AS115" s="228">
        <v>270</v>
      </c>
      <c r="AT115" s="228">
        <v>96</v>
      </c>
      <c r="AU115" s="228">
        <v>174</v>
      </c>
      <c r="AV115" s="229">
        <v>1.8150999999999999</v>
      </c>
      <c r="AW115" s="228">
        <v>197</v>
      </c>
      <c r="AX115" s="228">
        <v>74</v>
      </c>
      <c r="AY115" s="228">
        <v>123</v>
      </c>
      <c r="AZ115" s="229">
        <v>1.6587000000000001</v>
      </c>
      <c r="BA115" s="228">
        <v>67</v>
      </c>
      <c r="BB115" s="228">
        <v>20</v>
      </c>
      <c r="BC115" s="228">
        <v>47</v>
      </c>
      <c r="BD115" s="229">
        <v>2.3008000000000002</v>
      </c>
      <c r="BE115" s="228">
        <v>0</v>
      </c>
      <c r="BF115" s="228">
        <v>0</v>
      </c>
      <c r="BG115" s="228">
        <v>0</v>
      </c>
      <c r="BH115" s="229">
        <v>0</v>
      </c>
      <c r="BI115" s="228">
        <v>789</v>
      </c>
      <c r="BJ115" s="228">
        <v>338</v>
      </c>
      <c r="BK115" s="228">
        <v>451</v>
      </c>
      <c r="BL115" s="229">
        <v>1.3362000000000001</v>
      </c>
      <c r="BM115" s="228">
        <v>417</v>
      </c>
      <c r="BN115" s="228">
        <v>153</v>
      </c>
      <c r="BO115" s="228">
        <v>264</v>
      </c>
      <c r="BP115" s="229">
        <v>1.728</v>
      </c>
      <c r="BQ115" s="230">
        <v>1476</v>
      </c>
      <c r="BR115" s="228">
        <v>587</v>
      </c>
      <c r="BS115" s="228">
        <v>890</v>
      </c>
      <c r="BT115" s="229">
        <v>1.5167999999999999</v>
      </c>
      <c r="BU115" s="230">
        <v>18286629</v>
      </c>
      <c r="BV115" s="230">
        <v>7719374</v>
      </c>
      <c r="BW115" s="230">
        <v>10567255</v>
      </c>
      <c r="BX115" s="229">
        <v>1.3689</v>
      </c>
      <c r="BY115" s="228">
        <v>712</v>
      </c>
      <c r="BZ115" s="228">
        <v>628</v>
      </c>
      <c r="CA115" s="228">
        <v>83</v>
      </c>
      <c r="CB115" s="229">
        <v>0.13250000000000001</v>
      </c>
      <c r="CC115" s="228">
        <v>565</v>
      </c>
      <c r="CD115" s="228">
        <v>520</v>
      </c>
      <c r="CE115" s="228">
        <v>46</v>
      </c>
      <c r="CF115" s="229">
        <v>8.8200000000000001E-2</v>
      </c>
      <c r="CG115" s="228">
        <v>127</v>
      </c>
      <c r="CH115" s="228">
        <v>93</v>
      </c>
      <c r="CI115" s="228">
        <v>34</v>
      </c>
      <c r="CJ115" s="229">
        <v>0.36580000000000001</v>
      </c>
      <c r="CK115" s="228">
        <v>0</v>
      </c>
      <c r="CL115" s="228">
        <v>0</v>
      </c>
      <c r="CM115" s="228">
        <v>0</v>
      </c>
      <c r="CN115" s="229">
        <v>0</v>
      </c>
      <c r="CO115" s="228">
        <v>627</v>
      </c>
      <c r="CP115" s="228">
        <v>479</v>
      </c>
      <c r="CQ115" s="228">
        <v>148</v>
      </c>
      <c r="CR115" s="229">
        <v>0.30819999999999997</v>
      </c>
      <c r="CS115" s="228">
        <v>276</v>
      </c>
      <c r="CT115" s="228">
        <v>207</v>
      </c>
      <c r="CU115" s="228">
        <v>69</v>
      </c>
      <c r="CV115" s="229">
        <v>0.33239999999999997</v>
      </c>
      <c r="CW115" s="230">
        <v>1614</v>
      </c>
      <c r="CX115" s="230">
        <v>1314</v>
      </c>
      <c r="CY115" s="228">
        <v>300</v>
      </c>
      <c r="CZ115" s="229">
        <v>0.22800000000000001</v>
      </c>
      <c r="DA115" s="228">
        <v>44.94</v>
      </c>
      <c r="DB115" s="228">
        <v>39.72</v>
      </c>
      <c r="DC115" s="228">
        <v>5.22</v>
      </c>
      <c r="DD115" s="228">
        <v>5.22</v>
      </c>
      <c r="DE115" s="228">
        <v>52.87</v>
      </c>
      <c r="DF115" s="228">
        <v>52.79</v>
      </c>
      <c r="DG115" s="228">
        <v>-7.93</v>
      </c>
      <c r="DH115" s="228">
        <v>0.08</v>
      </c>
      <c r="DI115" s="228">
        <v>46.14</v>
      </c>
      <c r="DJ115" s="228">
        <v>40.51</v>
      </c>
      <c r="DK115" s="228">
        <v>5.63</v>
      </c>
      <c r="DL115" s="228">
        <v>5.63</v>
      </c>
      <c r="DM115" s="228">
        <v>42.67</v>
      </c>
      <c r="DN115" s="228">
        <v>37.979999999999997</v>
      </c>
      <c r="DO115" s="228">
        <v>4.6900000000000004</v>
      </c>
      <c r="DP115" s="228">
        <v>4.6900000000000004</v>
      </c>
      <c r="DQ115" s="228">
        <v>0.44</v>
      </c>
      <c r="DR115" s="228">
        <v>0.43</v>
      </c>
      <c r="DS115" s="228">
        <v>0.01</v>
      </c>
      <c r="DT115" s="229">
        <v>2.3300000000000001E-2</v>
      </c>
      <c r="DU115" s="228">
        <v>140</v>
      </c>
      <c r="DV115" s="228">
        <v>140</v>
      </c>
      <c r="DW115" s="228">
        <v>0.53</v>
      </c>
      <c r="DX115" s="228">
        <v>0.45</v>
      </c>
      <c r="DY115" s="228">
        <v>0.08</v>
      </c>
      <c r="DZ115" s="229">
        <v>0.17780000000000001</v>
      </c>
      <c r="EA115" s="229">
        <v>0.17879999999999999</v>
      </c>
      <c r="EB115" s="230">
        <v>7157000</v>
      </c>
      <c r="EC115" s="229">
        <v>-1.4E-3</v>
      </c>
      <c r="ED115" s="229">
        <v>0.17879999999999999</v>
      </c>
      <c r="EE115" s="228">
        <v>-0.16</v>
      </c>
      <c r="EF115" s="229">
        <v>-1.1999999999999999E-3</v>
      </c>
      <c r="EG115" s="230">
        <v>8625644</v>
      </c>
      <c r="EH115" s="230">
        <v>2691340</v>
      </c>
      <c r="EI115" s="229">
        <v>2.2050000000000001</v>
      </c>
      <c r="EJ115" s="229">
        <v>0.47170000000000001</v>
      </c>
      <c r="EK115" s="228">
        <v>857.83</v>
      </c>
      <c r="EL115" s="228">
        <v>423.05</v>
      </c>
      <c r="EM115" s="228">
        <v>273.23</v>
      </c>
      <c r="EN115" s="228">
        <v>0</v>
      </c>
      <c r="EO115" s="231">
        <v>1554.11</v>
      </c>
      <c r="EP115" s="228">
        <v>632</v>
      </c>
      <c r="EQ115" s="228">
        <v>922.11</v>
      </c>
      <c r="ER115" s="229">
        <v>1.4590000000000001</v>
      </c>
      <c r="ES115" s="228">
        <v>693.62</v>
      </c>
      <c r="ET115" s="228">
        <v>279.08</v>
      </c>
      <c r="EU115" s="228">
        <v>711.44</v>
      </c>
      <c r="EV115" s="231">
        <v>356413800</v>
      </c>
      <c r="EW115" s="231">
        <v>1684.15</v>
      </c>
      <c r="EX115" s="231">
        <v>1402.49</v>
      </c>
      <c r="EY115" s="228">
        <v>281.66000000000003</v>
      </c>
      <c r="EZ115" s="229">
        <v>0.20080000000000001</v>
      </c>
      <c r="FA115" s="229">
        <v>0.34789999999999999</v>
      </c>
      <c r="FB115" s="227" t="s">
        <v>567</v>
      </c>
      <c r="FC115">
        <f t="shared" si="1"/>
        <v>147</v>
      </c>
    </row>
    <row r="116" spans="1:159" ht="17.25" thickBot="1" x14ac:dyDescent="0.3">
      <c r="A116" s="226">
        <v>45860</v>
      </c>
      <c r="B116" s="227" t="s">
        <v>168</v>
      </c>
      <c r="C116" s="227" t="s">
        <v>242</v>
      </c>
      <c r="D116" s="228">
        <v>1600</v>
      </c>
      <c r="E116" s="228">
        <v>9</v>
      </c>
      <c r="F116" s="228">
        <v>417.2</v>
      </c>
      <c r="G116" s="228">
        <v>420.65</v>
      </c>
      <c r="H116" s="228">
        <v>-3.45</v>
      </c>
      <c r="I116" s="229">
        <v>-8.2000000000000007E-3</v>
      </c>
      <c r="J116" s="228">
        <v>416</v>
      </c>
      <c r="K116" s="228">
        <v>420.1</v>
      </c>
      <c r="L116" s="228">
        <v>-4.0999999999999996</v>
      </c>
      <c r="M116" s="229">
        <v>-9.7999999999999997E-3</v>
      </c>
      <c r="N116" s="228">
        <v>417.2</v>
      </c>
      <c r="O116" s="228">
        <v>420.65</v>
      </c>
      <c r="P116" s="228">
        <v>-3.45</v>
      </c>
      <c r="Q116" s="229">
        <v>-8.2000000000000007E-3</v>
      </c>
      <c r="R116" s="228">
        <v>419.4</v>
      </c>
      <c r="S116" s="228">
        <v>422.95</v>
      </c>
      <c r="T116" s="228">
        <v>-3.55</v>
      </c>
      <c r="U116" s="229">
        <v>-8.3999999999999995E-3</v>
      </c>
      <c r="V116" s="228">
        <v>0</v>
      </c>
      <c r="W116" s="228">
        <v>0</v>
      </c>
      <c r="X116" s="228">
        <v>0</v>
      </c>
      <c r="Y116" s="229">
        <v>0</v>
      </c>
      <c r="Z116" s="228">
        <v>1.2</v>
      </c>
      <c r="AA116" s="228">
        <v>0.55000000000000004</v>
      </c>
      <c r="AB116" s="228">
        <v>0.65</v>
      </c>
      <c r="AC116" s="229">
        <v>2.8999999999999998E-3</v>
      </c>
      <c r="AD116" s="228">
        <v>1.2</v>
      </c>
      <c r="AE116" s="228">
        <v>0.55000000000000004</v>
      </c>
      <c r="AF116" s="228">
        <v>0.65</v>
      </c>
      <c r="AG116" s="229">
        <v>2.8999999999999998E-3</v>
      </c>
      <c r="AH116" s="228">
        <v>3.4</v>
      </c>
      <c r="AI116" s="228">
        <v>2.85</v>
      </c>
      <c r="AJ116" s="228">
        <v>0.55000000000000004</v>
      </c>
      <c r="AK116" s="229">
        <v>8.2000000000000007E-3</v>
      </c>
      <c r="AL116" s="228">
        <v>0</v>
      </c>
      <c r="AM116" s="228">
        <v>0</v>
      </c>
      <c r="AN116" s="228">
        <v>0</v>
      </c>
      <c r="AO116" s="229">
        <v>0</v>
      </c>
      <c r="AP116" s="228">
        <v>417.87</v>
      </c>
      <c r="AQ116" s="228">
        <v>419.9</v>
      </c>
      <c r="AR116" s="228">
        <v>0</v>
      </c>
      <c r="AS116" s="228">
        <v>695</v>
      </c>
      <c r="AT116" s="228">
        <v>328</v>
      </c>
      <c r="AU116" s="228">
        <v>367</v>
      </c>
      <c r="AV116" s="229">
        <v>1.1193</v>
      </c>
      <c r="AW116" s="228">
        <v>509</v>
      </c>
      <c r="AX116" s="228">
        <v>263</v>
      </c>
      <c r="AY116" s="228">
        <v>246</v>
      </c>
      <c r="AZ116" s="229">
        <v>0.93289999999999995</v>
      </c>
      <c r="BA116" s="228">
        <v>178</v>
      </c>
      <c r="BB116" s="228">
        <v>62</v>
      </c>
      <c r="BC116" s="228">
        <v>116</v>
      </c>
      <c r="BD116" s="229">
        <v>1.8841000000000001</v>
      </c>
      <c r="BE116" s="228">
        <v>0</v>
      </c>
      <c r="BF116" s="228">
        <v>0</v>
      </c>
      <c r="BG116" s="228">
        <v>0</v>
      </c>
      <c r="BH116" s="229">
        <v>0</v>
      </c>
      <c r="BI116" s="230">
        <v>1733</v>
      </c>
      <c r="BJ116" s="230">
        <v>1755</v>
      </c>
      <c r="BK116" s="228">
        <v>-22</v>
      </c>
      <c r="BL116" s="229">
        <v>-1.2699999999999999E-2</v>
      </c>
      <c r="BM116" s="228">
        <v>945</v>
      </c>
      <c r="BN116" s="228">
        <v>761</v>
      </c>
      <c r="BO116" s="228">
        <v>184</v>
      </c>
      <c r="BP116" s="229">
        <v>0.2412</v>
      </c>
      <c r="BQ116" s="230">
        <v>3373</v>
      </c>
      <c r="BR116" s="230">
        <v>2845</v>
      </c>
      <c r="BS116" s="228">
        <v>528</v>
      </c>
      <c r="BT116" s="229">
        <v>0.1857</v>
      </c>
      <c r="BU116" s="230">
        <v>10162446</v>
      </c>
      <c r="BV116" s="230">
        <v>5386423</v>
      </c>
      <c r="BW116" s="230">
        <v>4776023</v>
      </c>
      <c r="BX116" s="229">
        <v>0.88670000000000004</v>
      </c>
      <c r="BY116" s="230">
        <v>4742</v>
      </c>
      <c r="BZ116" s="230">
        <v>4736</v>
      </c>
      <c r="CA116" s="228">
        <v>6</v>
      </c>
      <c r="CB116" s="229">
        <v>1.2999999999999999E-3</v>
      </c>
      <c r="CC116" s="230">
        <v>4002</v>
      </c>
      <c r="CD116" s="230">
        <v>4147</v>
      </c>
      <c r="CE116" s="228">
        <v>-145</v>
      </c>
      <c r="CF116" s="229">
        <v>-3.49E-2</v>
      </c>
      <c r="CG116" s="228">
        <v>613</v>
      </c>
      <c r="CH116" s="228">
        <v>465</v>
      </c>
      <c r="CI116" s="228">
        <v>147</v>
      </c>
      <c r="CJ116" s="229">
        <v>0.31640000000000001</v>
      </c>
      <c r="CK116" s="228">
        <v>0</v>
      </c>
      <c r="CL116" s="228">
        <v>0</v>
      </c>
      <c r="CM116" s="228">
        <v>0</v>
      </c>
      <c r="CN116" s="229">
        <v>0</v>
      </c>
      <c r="CO116" s="230">
        <v>2218</v>
      </c>
      <c r="CP116" s="230">
        <v>2167</v>
      </c>
      <c r="CQ116" s="228">
        <v>51</v>
      </c>
      <c r="CR116" s="229">
        <v>2.3400000000000001E-2</v>
      </c>
      <c r="CS116" s="230">
        <v>1276</v>
      </c>
      <c r="CT116" s="230">
        <v>1240</v>
      </c>
      <c r="CU116" s="228">
        <v>36</v>
      </c>
      <c r="CV116" s="229">
        <v>2.9000000000000001E-2</v>
      </c>
      <c r="CW116" s="230">
        <v>8235</v>
      </c>
      <c r="CX116" s="230">
        <v>8142</v>
      </c>
      <c r="CY116" s="228">
        <v>93</v>
      </c>
      <c r="CZ116" s="229">
        <v>1.14E-2</v>
      </c>
      <c r="DA116" s="228">
        <v>13.8</v>
      </c>
      <c r="DB116" s="228">
        <v>14.15</v>
      </c>
      <c r="DC116" s="228">
        <v>-0.35</v>
      </c>
      <c r="DD116" s="228">
        <v>-0.35</v>
      </c>
      <c r="DE116" s="228">
        <v>20.82</v>
      </c>
      <c r="DF116" s="228">
        <v>20.83</v>
      </c>
      <c r="DG116" s="228">
        <v>-7.02</v>
      </c>
      <c r="DH116" s="228">
        <v>-0.01</v>
      </c>
      <c r="DI116" s="228">
        <v>14.07</v>
      </c>
      <c r="DJ116" s="228">
        <v>14.62</v>
      </c>
      <c r="DK116" s="228">
        <v>-0.55000000000000004</v>
      </c>
      <c r="DL116" s="228">
        <v>-0.55000000000000004</v>
      </c>
      <c r="DM116" s="228">
        <v>13.32</v>
      </c>
      <c r="DN116" s="228">
        <v>13.08</v>
      </c>
      <c r="DO116" s="228">
        <v>0.24</v>
      </c>
      <c r="DP116" s="228">
        <v>0.24</v>
      </c>
      <c r="DQ116" s="228">
        <v>0.57999999999999996</v>
      </c>
      <c r="DR116" s="228">
        <v>0.56999999999999995</v>
      </c>
      <c r="DS116" s="228">
        <v>0.01</v>
      </c>
      <c r="DT116" s="229">
        <v>1.7500000000000002E-2</v>
      </c>
      <c r="DU116" s="228">
        <v>420</v>
      </c>
      <c r="DV116" s="228">
        <v>420</v>
      </c>
      <c r="DW116" s="228">
        <v>0.55000000000000004</v>
      </c>
      <c r="DX116" s="228">
        <v>0.43</v>
      </c>
      <c r="DY116" s="228">
        <v>0.12</v>
      </c>
      <c r="DZ116" s="229">
        <v>0.27910000000000001</v>
      </c>
      <c r="EA116" s="229">
        <v>0.12920000000000001</v>
      </c>
      <c r="EB116" s="230">
        <v>11156800</v>
      </c>
      <c r="EC116" s="229">
        <v>5.3E-3</v>
      </c>
      <c r="ED116" s="229">
        <v>0.12920000000000001</v>
      </c>
      <c r="EE116" s="228">
        <v>2.0299999999999998</v>
      </c>
      <c r="EF116" s="229">
        <v>4.8999999999999998E-3</v>
      </c>
      <c r="EG116" s="230">
        <v>7532078</v>
      </c>
      <c r="EH116" s="230">
        <v>3177337</v>
      </c>
      <c r="EI116" s="229">
        <v>1.3706</v>
      </c>
      <c r="EJ116" s="229">
        <v>0.74119999999999997</v>
      </c>
      <c r="EK116" s="231">
        <v>1778.91</v>
      </c>
      <c r="EL116" s="228">
        <v>948.59</v>
      </c>
      <c r="EM116" s="228">
        <v>697.09</v>
      </c>
      <c r="EN116" s="228">
        <v>0</v>
      </c>
      <c r="EO116" s="231">
        <v>3424.59</v>
      </c>
      <c r="EP116" s="231">
        <v>2922.48</v>
      </c>
      <c r="EQ116" s="228">
        <v>502.1</v>
      </c>
      <c r="ER116" s="229">
        <v>0.17180000000000001</v>
      </c>
      <c r="ES116" s="231">
        <v>2294.4499999999998</v>
      </c>
      <c r="ET116" s="231">
        <v>1258.17</v>
      </c>
      <c r="EU116" s="231">
        <v>4746.45</v>
      </c>
      <c r="EV116" s="231">
        <v>2502122210</v>
      </c>
      <c r="EW116" s="231">
        <v>8299.06</v>
      </c>
      <c r="EX116" s="231">
        <v>8246.1299999999992</v>
      </c>
      <c r="EY116" s="228">
        <v>52.93</v>
      </c>
      <c r="EZ116" s="229">
        <v>6.4000000000000003E-3</v>
      </c>
      <c r="FA116" s="229">
        <v>7.8899999999999998E-2</v>
      </c>
      <c r="FB116" s="227" t="s">
        <v>567</v>
      </c>
      <c r="FC116">
        <f t="shared" si="1"/>
        <v>740</v>
      </c>
    </row>
    <row r="117" spans="1:159" ht="17.25" thickBot="1" x14ac:dyDescent="0.3">
      <c r="A117" s="226">
        <v>45860</v>
      </c>
      <c r="B117" s="227" t="s">
        <v>227</v>
      </c>
      <c r="C117" s="227" t="s">
        <v>243</v>
      </c>
      <c r="D117" s="228">
        <v>625</v>
      </c>
      <c r="E117" s="228">
        <v>9</v>
      </c>
      <c r="F117" s="228">
        <v>965.25</v>
      </c>
      <c r="G117" s="228">
        <v>963.55</v>
      </c>
      <c r="H117" s="228">
        <v>1.7</v>
      </c>
      <c r="I117" s="229">
        <v>1.8E-3</v>
      </c>
      <c r="J117" s="228">
        <v>965</v>
      </c>
      <c r="K117" s="228">
        <v>960.05</v>
      </c>
      <c r="L117" s="228">
        <v>4.95</v>
      </c>
      <c r="M117" s="229">
        <v>5.1999999999999998E-3</v>
      </c>
      <c r="N117" s="228">
        <v>965.25</v>
      </c>
      <c r="O117" s="228">
        <v>963.55</v>
      </c>
      <c r="P117" s="228">
        <v>1.7</v>
      </c>
      <c r="Q117" s="229">
        <v>1.8E-3</v>
      </c>
      <c r="R117" s="228">
        <v>968</v>
      </c>
      <c r="S117" s="228">
        <v>966</v>
      </c>
      <c r="T117" s="228">
        <v>2</v>
      </c>
      <c r="U117" s="229">
        <v>2.0999999999999999E-3</v>
      </c>
      <c r="V117" s="228">
        <v>0</v>
      </c>
      <c r="W117" s="228">
        <v>0</v>
      </c>
      <c r="X117" s="228">
        <v>0</v>
      </c>
      <c r="Y117" s="229">
        <v>0</v>
      </c>
      <c r="Z117" s="228">
        <v>0.25</v>
      </c>
      <c r="AA117" s="228">
        <v>3.5</v>
      </c>
      <c r="AB117" s="228">
        <v>-3.25</v>
      </c>
      <c r="AC117" s="229">
        <v>2.9999999999999997E-4</v>
      </c>
      <c r="AD117" s="228">
        <v>0.25</v>
      </c>
      <c r="AE117" s="228">
        <v>3.5</v>
      </c>
      <c r="AF117" s="228">
        <v>-3.25</v>
      </c>
      <c r="AG117" s="229">
        <v>2.9999999999999997E-4</v>
      </c>
      <c r="AH117" s="228">
        <v>3</v>
      </c>
      <c r="AI117" s="228">
        <v>5.95</v>
      </c>
      <c r="AJ117" s="228">
        <v>-2.95</v>
      </c>
      <c r="AK117" s="229">
        <v>3.0999999999999999E-3</v>
      </c>
      <c r="AL117" s="228">
        <v>0</v>
      </c>
      <c r="AM117" s="228">
        <v>0</v>
      </c>
      <c r="AN117" s="228">
        <v>0</v>
      </c>
      <c r="AO117" s="229">
        <v>0</v>
      </c>
      <c r="AP117" s="228">
        <v>968.61</v>
      </c>
      <c r="AQ117" s="228">
        <v>971.55</v>
      </c>
      <c r="AR117" s="228">
        <v>0</v>
      </c>
      <c r="AS117" s="228">
        <v>290</v>
      </c>
      <c r="AT117" s="228">
        <v>296</v>
      </c>
      <c r="AU117" s="228">
        <v>-6</v>
      </c>
      <c r="AV117" s="229">
        <v>-2.0799999999999999E-2</v>
      </c>
      <c r="AW117" s="228">
        <v>259</v>
      </c>
      <c r="AX117" s="228">
        <v>257</v>
      </c>
      <c r="AY117" s="228">
        <v>2</v>
      </c>
      <c r="AZ117" s="229">
        <v>6.6E-3</v>
      </c>
      <c r="BA117" s="228">
        <v>31</v>
      </c>
      <c r="BB117" s="228">
        <v>38</v>
      </c>
      <c r="BC117" s="228">
        <v>-7</v>
      </c>
      <c r="BD117" s="229">
        <v>-0.19620000000000001</v>
      </c>
      <c r="BE117" s="228">
        <v>0</v>
      </c>
      <c r="BF117" s="228">
        <v>0</v>
      </c>
      <c r="BG117" s="228">
        <v>0</v>
      </c>
      <c r="BH117" s="229">
        <v>0</v>
      </c>
      <c r="BI117" s="228">
        <v>475</v>
      </c>
      <c r="BJ117" s="228">
        <v>465</v>
      </c>
      <c r="BK117" s="228">
        <v>10</v>
      </c>
      <c r="BL117" s="229">
        <v>2.2200000000000001E-2</v>
      </c>
      <c r="BM117" s="228">
        <v>304</v>
      </c>
      <c r="BN117" s="228">
        <v>266</v>
      </c>
      <c r="BO117" s="228">
        <v>37</v>
      </c>
      <c r="BP117" s="229">
        <v>0.14050000000000001</v>
      </c>
      <c r="BQ117" s="230">
        <v>1069</v>
      </c>
      <c r="BR117" s="230">
        <v>1027</v>
      </c>
      <c r="BS117" s="228">
        <v>42</v>
      </c>
      <c r="BT117" s="229">
        <v>4.0500000000000001E-2</v>
      </c>
      <c r="BU117" s="230">
        <v>1955641</v>
      </c>
      <c r="BV117" s="230">
        <v>1395805</v>
      </c>
      <c r="BW117" s="230">
        <v>559836</v>
      </c>
      <c r="BX117" s="229">
        <v>0.40110000000000001</v>
      </c>
      <c r="BY117" s="230">
        <v>1666</v>
      </c>
      <c r="BZ117" s="230">
        <v>1715</v>
      </c>
      <c r="CA117" s="228">
        <v>-49</v>
      </c>
      <c r="CB117" s="229">
        <v>-2.8500000000000001E-2</v>
      </c>
      <c r="CC117" s="230">
        <v>1600</v>
      </c>
      <c r="CD117" s="230">
        <v>1654</v>
      </c>
      <c r="CE117" s="228">
        <v>-55</v>
      </c>
      <c r="CF117" s="229">
        <v>-3.3000000000000002E-2</v>
      </c>
      <c r="CG117" s="228">
        <v>64</v>
      </c>
      <c r="CH117" s="228">
        <v>58</v>
      </c>
      <c r="CI117" s="228">
        <v>6</v>
      </c>
      <c r="CJ117" s="229">
        <v>9.4899999999999998E-2</v>
      </c>
      <c r="CK117" s="228">
        <v>0</v>
      </c>
      <c r="CL117" s="228">
        <v>0</v>
      </c>
      <c r="CM117" s="228">
        <v>0</v>
      </c>
      <c r="CN117" s="229">
        <v>0</v>
      </c>
      <c r="CO117" s="228">
        <v>469</v>
      </c>
      <c r="CP117" s="228">
        <v>464</v>
      </c>
      <c r="CQ117" s="228">
        <v>4</v>
      </c>
      <c r="CR117" s="229">
        <v>9.1000000000000004E-3</v>
      </c>
      <c r="CS117" s="228">
        <v>388</v>
      </c>
      <c r="CT117" s="228">
        <v>377</v>
      </c>
      <c r="CU117" s="228">
        <v>11</v>
      </c>
      <c r="CV117" s="229">
        <v>2.98E-2</v>
      </c>
      <c r="CW117" s="230">
        <v>2523</v>
      </c>
      <c r="CX117" s="230">
        <v>2556</v>
      </c>
      <c r="CY117" s="228">
        <v>-33</v>
      </c>
      <c r="CZ117" s="229">
        <v>-1.3100000000000001E-2</v>
      </c>
      <c r="DA117" s="228">
        <v>31.47</v>
      </c>
      <c r="DB117" s="228">
        <v>33.979999999999997</v>
      </c>
      <c r="DC117" s="228">
        <v>-2.5099999999999998</v>
      </c>
      <c r="DD117" s="228">
        <v>-2.5099999999999998</v>
      </c>
      <c r="DE117" s="228">
        <v>37.590000000000003</v>
      </c>
      <c r="DF117" s="228">
        <v>37.68</v>
      </c>
      <c r="DG117" s="228">
        <v>-6.12</v>
      </c>
      <c r="DH117" s="228">
        <v>-0.09</v>
      </c>
      <c r="DI117" s="228">
        <v>31.29</v>
      </c>
      <c r="DJ117" s="228">
        <v>33.44</v>
      </c>
      <c r="DK117" s="228">
        <v>-2.15</v>
      </c>
      <c r="DL117" s="228">
        <v>-2.15</v>
      </c>
      <c r="DM117" s="228">
        <v>31.75</v>
      </c>
      <c r="DN117" s="228">
        <v>34.92</v>
      </c>
      <c r="DO117" s="228">
        <v>-3.17</v>
      </c>
      <c r="DP117" s="228">
        <v>-3.17</v>
      </c>
      <c r="DQ117" s="228">
        <v>0.83</v>
      </c>
      <c r="DR117" s="228">
        <v>0.81</v>
      </c>
      <c r="DS117" s="228">
        <v>0.02</v>
      </c>
      <c r="DT117" s="229">
        <v>2.47E-2</v>
      </c>
      <c r="DU117" s="231">
        <v>1000</v>
      </c>
      <c r="DV117" s="228">
        <v>900</v>
      </c>
      <c r="DW117" s="228">
        <v>0.64</v>
      </c>
      <c r="DX117" s="228">
        <v>0.56999999999999995</v>
      </c>
      <c r="DY117" s="228">
        <v>7.0000000000000007E-2</v>
      </c>
      <c r="DZ117" s="229">
        <v>0.12280000000000001</v>
      </c>
      <c r="EA117" s="229">
        <v>3.8399999999999997E-2</v>
      </c>
      <c r="EB117" s="230">
        <v>605625</v>
      </c>
      <c r="EC117" s="229">
        <v>2.8E-3</v>
      </c>
      <c r="ED117" s="229">
        <v>3.8399999999999997E-2</v>
      </c>
      <c r="EE117" s="228">
        <v>2.94</v>
      </c>
      <c r="EF117" s="229">
        <v>3.0000000000000001E-3</v>
      </c>
      <c r="EG117" s="230">
        <v>908507</v>
      </c>
      <c r="EH117" s="230">
        <v>558496</v>
      </c>
      <c r="EI117" s="229">
        <v>0.62670000000000003</v>
      </c>
      <c r="EJ117" s="229">
        <v>0.46460000000000001</v>
      </c>
      <c r="EK117" s="228">
        <v>491.11</v>
      </c>
      <c r="EL117" s="228">
        <v>298.79000000000002</v>
      </c>
      <c r="EM117" s="228">
        <v>291.17</v>
      </c>
      <c r="EN117" s="228">
        <v>0</v>
      </c>
      <c r="EO117" s="231">
        <v>1081.07</v>
      </c>
      <c r="EP117" s="231">
        <v>1036.26</v>
      </c>
      <c r="EQ117" s="228">
        <v>44.81</v>
      </c>
      <c r="ER117" s="229">
        <v>4.3200000000000002E-2</v>
      </c>
      <c r="ES117" s="228">
        <v>480.17</v>
      </c>
      <c r="ET117" s="228">
        <v>369.93</v>
      </c>
      <c r="EU117" s="231">
        <v>1666.47</v>
      </c>
      <c r="EV117" s="231">
        <v>75417775</v>
      </c>
      <c r="EW117" s="231">
        <v>2516.5700000000002</v>
      </c>
      <c r="EX117" s="231">
        <v>2546.77</v>
      </c>
      <c r="EY117" s="228">
        <v>-30.2</v>
      </c>
      <c r="EZ117" s="229">
        <v>-1.1900000000000001E-2</v>
      </c>
      <c r="FA117" s="229">
        <v>0.34660000000000002</v>
      </c>
      <c r="FB117" s="227" t="s">
        <v>556</v>
      </c>
      <c r="FC117">
        <f t="shared" si="1"/>
        <v>66</v>
      </c>
    </row>
    <row r="118" spans="1:159" ht="17.25" thickBot="1" x14ac:dyDescent="0.3">
      <c r="A118" s="226">
        <v>45860</v>
      </c>
      <c r="B118" s="227" t="s">
        <v>175</v>
      </c>
      <c r="C118" s="227" t="s">
        <v>571</v>
      </c>
      <c r="D118" s="228">
        <v>2350</v>
      </c>
      <c r="E118" s="228">
        <v>9</v>
      </c>
      <c r="F118" s="228">
        <v>311.45</v>
      </c>
      <c r="G118" s="228">
        <v>318.35000000000002</v>
      </c>
      <c r="H118" s="228">
        <v>-6.9</v>
      </c>
      <c r="I118" s="229">
        <v>-2.1700000000000001E-2</v>
      </c>
      <c r="J118" s="228">
        <v>310.8</v>
      </c>
      <c r="K118" s="228">
        <v>317.25</v>
      </c>
      <c r="L118" s="228">
        <v>-6.45</v>
      </c>
      <c r="M118" s="229">
        <v>-2.0299999999999999E-2</v>
      </c>
      <c r="N118" s="228">
        <v>311.45</v>
      </c>
      <c r="O118" s="228">
        <v>318.35000000000002</v>
      </c>
      <c r="P118" s="228">
        <v>-6.9</v>
      </c>
      <c r="Q118" s="229">
        <v>-2.1700000000000001E-2</v>
      </c>
      <c r="R118" s="228">
        <v>312.75</v>
      </c>
      <c r="S118" s="228">
        <v>319.35000000000002</v>
      </c>
      <c r="T118" s="228">
        <v>-6.6</v>
      </c>
      <c r="U118" s="229">
        <v>-2.07E-2</v>
      </c>
      <c r="V118" s="228">
        <v>0</v>
      </c>
      <c r="W118" s="228">
        <v>0</v>
      </c>
      <c r="X118" s="228">
        <v>0</v>
      </c>
      <c r="Y118" s="229">
        <v>0</v>
      </c>
      <c r="Z118" s="228">
        <v>0.65</v>
      </c>
      <c r="AA118" s="228">
        <v>1.1000000000000001</v>
      </c>
      <c r="AB118" s="228">
        <v>-0.45</v>
      </c>
      <c r="AC118" s="229">
        <v>2.0999999999999999E-3</v>
      </c>
      <c r="AD118" s="228">
        <v>0.65</v>
      </c>
      <c r="AE118" s="228">
        <v>1.1000000000000001</v>
      </c>
      <c r="AF118" s="228">
        <v>-0.45</v>
      </c>
      <c r="AG118" s="229">
        <v>2.0999999999999999E-3</v>
      </c>
      <c r="AH118" s="228">
        <v>1.95</v>
      </c>
      <c r="AI118" s="228">
        <v>2.1</v>
      </c>
      <c r="AJ118" s="228">
        <v>-0.15</v>
      </c>
      <c r="AK118" s="229">
        <v>6.3E-3</v>
      </c>
      <c r="AL118" s="228">
        <v>0</v>
      </c>
      <c r="AM118" s="228">
        <v>0</v>
      </c>
      <c r="AN118" s="228">
        <v>0</v>
      </c>
      <c r="AO118" s="229">
        <v>0</v>
      </c>
      <c r="AP118" s="228">
        <v>313.8</v>
      </c>
      <c r="AQ118" s="228">
        <v>314.77999999999997</v>
      </c>
      <c r="AR118" s="228">
        <v>0</v>
      </c>
      <c r="AS118" s="228">
        <v>638</v>
      </c>
      <c r="AT118" s="228">
        <v>608</v>
      </c>
      <c r="AU118" s="228">
        <v>30</v>
      </c>
      <c r="AV118" s="229">
        <v>5.0099999999999999E-2</v>
      </c>
      <c r="AW118" s="228">
        <v>428</v>
      </c>
      <c r="AX118" s="228">
        <v>463</v>
      </c>
      <c r="AY118" s="228">
        <v>-35</v>
      </c>
      <c r="AZ118" s="229">
        <v>-7.5999999999999998E-2</v>
      </c>
      <c r="BA118" s="228">
        <v>187</v>
      </c>
      <c r="BB118" s="228">
        <v>133</v>
      </c>
      <c r="BC118" s="228">
        <v>54</v>
      </c>
      <c r="BD118" s="229">
        <v>0.40660000000000002</v>
      </c>
      <c r="BE118" s="228">
        <v>0</v>
      </c>
      <c r="BF118" s="228">
        <v>0</v>
      </c>
      <c r="BG118" s="228">
        <v>0</v>
      </c>
      <c r="BH118" s="229">
        <v>0</v>
      </c>
      <c r="BI118" s="230">
        <v>3641</v>
      </c>
      <c r="BJ118" s="230">
        <v>3112</v>
      </c>
      <c r="BK118" s="228">
        <v>529</v>
      </c>
      <c r="BL118" s="229">
        <v>0.1699</v>
      </c>
      <c r="BM118" s="230">
        <v>1592</v>
      </c>
      <c r="BN118" s="230">
        <v>1444</v>
      </c>
      <c r="BO118" s="228">
        <v>148</v>
      </c>
      <c r="BP118" s="229">
        <v>0.1026</v>
      </c>
      <c r="BQ118" s="230">
        <v>5871</v>
      </c>
      <c r="BR118" s="230">
        <v>5164</v>
      </c>
      <c r="BS118" s="228">
        <v>707</v>
      </c>
      <c r="BT118" s="229">
        <v>0.13700000000000001</v>
      </c>
      <c r="BU118" s="230">
        <v>17283671</v>
      </c>
      <c r="BV118" s="230">
        <v>17999219</v>
      </c>
      <c r="BW118" s="230">
        <v>-715548</v>
      </c>
      <c r="BX118" s="229">
        <v>-3.9800000000000002E-2</v>
      </c>
      <c r="BY118" s="230">
        <v>3682</v>
      </c>
      <c r="BZ118" s="230">
        <v>3637</v>
      </c>
      <c r="CA118" s="228">
        <v>45</v>
      </c>
      <c r="CB118" s="229">
        <v>1.23E-2</v>
      </c>
      <c r="CC118" s="230">
        <v>2471</v>
      </c>
      <c r="CD118" s="230">
        <v>2543</v>
      </c>
      <c r="CE118" s="228">
        <v>-72</v>
      </c>
      <c r="CF118" s="229">
        <v>-2.8400000000000002E-2</v>
      </c>
      <c r="CG118" s="230">
        <v>1103</v>
      </c>
      <c r="CH118" s="230">
        <v>1001</v>
      </c>
      <c r="CI118" s="228">
        <v>102</v>
      </c>
      <c r="CJ118" s="229">
        <v>0.1021</v>
      </c>
      <c r="CK118" s="228">
        <v>0</v>
      </c>
      <c r="CL118" s="228">
        <v>0</v>
      </c>
      <c r="CM118" s="228">
        <v>0</v>
      </c>
      <c r="CN118" s="229">
        <v>0</v>
      </c>
      <c r="CO118" s="230">
        <v>3038</v>
      </c>
      <c r="CP118" s="230">
        <v>2841</v>
      </c>
      <c r="CQ118" s="228">
        <v>197</v>
      </c>
      <c r="CR118" s="229">
        <v>6.93E-2</v>
      </c>
      <c r="CS118" s="230">
        <v>1565</v>
      </c>
      <c r="CT118" s="230">
        <v>1501</v>
      </c>
      <c r="CU118" s="228">
        <v>63</v>
      </c>
      <c r="CV118" s="229">
        <v>4.2299999999999997E-2</v>
      </c>
      <c r="CW118" s="230">
        <v>8285</v>
      </c>
      <c r="CX118" s="230">
        <v>7980</v>
      </c>
      <c r="CY118" s="228">
        <v>305</v>
      </c>
      <c r="CZ118" s="229">
        <v>3.8199999999999998E-2</v>
      </c>
      <c r="DA118" s="228">
        <v>29.52</v>
      </c>
      <c r="DB118" s="228">
        <v>29.34</v>
      </c>
      <c r="DC118" s="228">
        <v>0.18</v>
      </c>
      <c r="DD118" s="228">
        <v>0.18</v>
      </c>
      <c r="DE118" s="228">
        <v>39.26</v>
      </c>
      <c r="DF118" s="228">
        <v>39.24</v>
      </c>
      <c r="DG118" s="228">
        <v>-9.74</v>
      </c>
      <c r="DH118" s="228">
        <v>0.02</v>
      </c>
      <c r="DI118" s="228">
        <v>30.49</v>
      </c>
      <c r="DJ118" s="228">
        <v>29.41</v>
      </c>
      <c r="DK118" s="228">
        <v>1.08</v>
      </c>
      <c r="DL118" s="228">
        <v>1.08</v>
      </c>
      <c r="DM118" s="228">
        <v>27.29</v>
      </c>
      <c r="DN118" s="228">
        <v>29.18</v>
      </c>
      <c r="DO118" s="228">
        <v>-1.89</v>
      </c>
      <c r="DP118" s="228">
        <v>-1.89</v>
      </c>
      <c r="DQ118" s="228">
        <v>0.51</v>
      </c>
      <c r="DR118" s="228">
        <v>0.53</v>
      </c>
      <c r="DS118" s="228">
        <v>-0.02</v>
      </c>
      <c r="DT118" s="229">
        <v>-3.7699999999999997E-2</v>
      </c>
      <c r="DU118" s="228">
        <v>330</v>
      </c>
      <c r="DV118" s="228">
        <v>300</v>
      </c>
      <c r="DW118" s="228">
        <v>0.44</v>
      </c>
      <c r="DX118" s="228">
        <v>0.46</v>
      </c>
      <c r="DY118" s="228">
        <v>-0.02</v>
      </c>
      <c r="DZ118" s="229">
        <v>-4.3499999999999997E-2</v>
      </c>
      <c r="EA118" s="229">
        <v>0.29970000000000002</v>
      </c>
      <c r="EB118" s="230">
        <v>32148000</v>
      </c>
      <c r="EC118" s="229">
        <v>4.1999999999999997E-3</v>
      </c>
      <c r="ED118" s="229">
        <v>0.29970000000000002</v>
      </c>
      <c r="EE118" s="228">
        <v>0.98</v>
      </c>
      <c r="EF118" s="229">
        <v>3.0999999999999999E-3</v>
      </c>
      <c r="EG118" s="230">
        <v>8704040</v>
      </c>
      <c r="EH118" s="230">
        <v>8251657</v>
      </c>
      <c r="EI118" s="229">
        <v>5.4800000000000001E-2</v>
      </c>
      <c r="EJ118" s="229">
        <v>0.50360000000000005</v>
      </c>
      <c r="EK118" s="231">
        <v>3874.02</v>
      </c>
      <c r="EL118" s="231">
        <v>1601.32</v>
      </c>
      <c r="EM118" s="228">
        <v>644.07000000000005</v>
      </c>
      <c r="EN118" s="228">
        <v>0</v>
      </c>
      <c r="EO118" s="231">
        <v>6119.41</v>
      </c>
      <c r="EP118" s="231">
        <v>5409.85</v>
      </c>
      <c r="EQ118" s="228">
        <v>709.55</v>
      </c>
      <c r="ER118" s="229">
        <v>0.13120000000000001</v>
      </c>
      <c r="ES118" s="231">
        <v>3262.46</v>
      </c>
      <c r="ET118" s="231">
        <v>1534.47</v>
      </c>
      <c r="EU118" s="231">
        <v>3687.6</v>
      </c>
      <c r="EV118" s="231">
        <v>671850851</v>
      </c>
      <c r="EW118" s="231">
        <v>8484.5400000000009</v>
      </c>
      <c r="EX118" s="231">
        <v>8258.9500000000007</v>
      </c>
      <c r="EY118" s="228">
        <v>225.59</v>
      </c>
      <c r="EZ118" s="229">
        <v>2.7300000000000001E-2</v>
      </c>
      <c r="FA118" s="229">
        <v>0.39589999999999997</v>
      </c>
      <c r="FB118" s="227" t="s">
        <v>567</v>
      </c>
      <c r="FC118">
        <f t="shared" si="1"/>
        <v>1211</v>
      </c>
    </row>
    <row r="119" spans="1:159" ht="17.25" thickBot="1" x14ac:dyDescent="0.3">
      <c r="A119" s="226">
        <v>45860</v>
      </c>
      <c r="B119" s="227" t="s">
        <v>227</v>
      </c>
      <c r="C119" s="227" t="s">
        <v>582</v>
      </c>
      <c r="D119" s="228">
        <v>850</v>
      </c>
      <c r="E119" s="228">
        <v>9</v>
      </c>
      <c r="F119" s="228">
        <v>690.45</v>
      </c>
      <c r="G119" s="228">
        <v>700.35</v>
      </c>
      <c r="H119" s="228">
        <v>-9.9</v>
      </c>
      <c r="I119" s="229">
        <v>-1.41E-2</v>
      </c>
      <c r="J119" s="228">
        <v>688.9</v>
      </c>
      <c r="K119" s="228">
        <v>697.85</v>
      </c>
      <c r="L119" s="228">
        <v>-8.9499999999999993</v>
      </c>
      <c r="M119" s="229">
        <v>-1.2800000000000001E-2</v>
      </c>
      <c r="N119" s="228">
        <v>690.45</v>
      </c>
      <c r="O119" s="228">
        <v>700.35</v>
      </c>
      <c r="P119" s="228">
        <v>-9.9</v>
      </c>
      <c r="Q119" s="229">
        <v>-1.41E-2</v>
      </c>
      <c r="R119" s="228">
        <v>688.75</v>
      </c>
      <c r="S119" s="228">
        <v>700</v>
      </c>
      <c r="T119" s="228">
        <v>-11.25</v>
      </c>
      <c r="U119" s="229">
        <v>-1.61E-2</v>
      </c>
      <c r="V119" s="228">
        <v>0</v>
      </c>
      <c r="W119" s="228">
        <v>0</v>
      </c>
      <c r="X119" s="228">
        <v>0</v>
      </c>
      <c r="Y119" s="229">
        <v>0</v>
      </c>
      <c r="Z119" s="228">
        <v>1.55</v>
      </c>
      <c r="AA119" s="228">
        <v>2.5</v>
      </c>
      <c r="AB119" s="228">
        <v>-0.95</v>
      </c>
      <c r="AC119" s="229">
        <v>2.2000000000000001E-3</v>
      </c>
      <c r="AD119" s="228">
        <v>1.55</v>
      </c>
      <c r="AE119" s="228">
        <v>2.5</v>
      </c>
      <c r="AF119" s="228">
        <v>-0.95</v>
      </c>
      <c r="AG119" s="229">
        <v>2.2000000000000001E-3</v>
      </c>
      <c r="AH119" s="228">
        <v>-0.15</v>
      </c>
      <c r="AI119" s="228">
        <v>2.15</v>
      </c>
      <c r="AJ119" s="228">
        <v>-2.2999999999999998</v>
      </c>
      <c r="AK119" s="229">
        <v>-2.0000000000000001E-4</v>
      </c>
      <c r="AL119" s="228">
        <v>0</v>
      </c>
      <c r="AM119" s="228">
        <v>0</v>
      </c>
      <c r="AN119" s="228">
        <v>0</v>
      </c>
      <c r="AO119" s="229">
        <v>0</v>
      </c>
      <c r="AP119" s="228">
        <v>691.68</v>
      </c>
      <c r="AQ119" s="228">
        <v>690.73</v>
      </c>
      <c r="AR119" s="228">
        <v>0</v>
      </c>
      <c r="AS119" s="228">
        <v>63</v>
      </c>
      <c r="AT119" s="228">
        <v>181</v>
      </c>
      <c r="AU119" s="228">
        <v>-119</v>
      </c>
      <c r="AV119" s="229">
        <v>-0.65510000000000002</v>
      </c>
      <c r="AW119" s="228">
        <v>44</v>
      </c>
      <c r="AX119" s="228">
        <v>161</v>
      </c>
      <c r="AY119" s="228">
        <v>-117</v>
      </c>
      <c r="AZ119" s="229">
        <v>-0.72589999999999999</v>
      </c>
      <c r="BA119" s="228">
        <v>18</v>
      </c>
      <c r="BB119" s="228">
        <v>20</v>
      </c>
      <c r="BC119" s="228">
        <v>-2</v>
      </c>
      <c r="BD119" s="229">
        <v>-9.01E-2</v>
      </c>
      <c r="BE119" s="228">
        <v>0</v>
      </c>
      <c r="BF119" s="228">
        <v>0</v>
      </c>
      <c r="BG119" s="228">
        <v>0</v>
      </c>
      <c r="BH119" s="229">
        <v>0</v>
      </c>
      <c r="BI119" s="228">
        <v>112</v>
      </c>
      <c r="BJ119" s="228">
        <v>586</v>
      </c>
      <c r="BK119" s="228">
        <v>-473</v>
      </c>
      <c r="BL119" s="229">
        <v>-0.80810000000000004</v>
      </c>
      <c r="BM119" s="228">
        <v>94</v>
      </c>
      <c r="BN119" s="228">
        <v>132</v>
      </c>
      <c r="BO119" s="228">
        <v>-38</v>
      </c>
      <c r="BP119" s="229">
        <v>-0.28870000000000001</v>
      </c>
      <c r="BQ119" s="228">
        <v>269</v>
      </c>
      <c r="BR119" s="228">
        <v>899</v>
      </c>
      <c r="BS119" s="228">
        <v>-630</v>
      </c>
      <c r="BT119" s="229">
        <v>-0.70099999999999996</v>
      </c>
      <c r="BU119" s="230">
        <v>353570</v>
      </c>
      <c r="BV119" s="230">
        <v>1680972</v>
      </c>
      <c r="BW119" s="230">
        <v>-1327402</v>
      </c>
      <c r="BX119" s="229">
        <v>-0.78969999999999996</v>
      </c>
      <c r="BY119" s="228">
        <v>507</v>
      </c>
      <c r="BZ119" s="228">
        <v>505</v>
      </c>
      <c r="CA119" s="228">
        <v>2</v>
      </c>
      <c r="CB119" s="229">
        <v>3.7000000000000002E-3</v>
      </c>
      <c r="CC119" s="228">
        <v>435</v>
      </c>
      <c r="CD119" s="228">
        <v>438</v>
      </c>
      <c r="CE119" s="228">
        <v>-3</v>
      </c>
      <c r="CF119" s="229">
        <v>-6.0000000000000001E-3</v>
      </c>
      <c r="CG119" s="228">
        <v>72</v>
      </c>
      <c r="CH119" s="228">
        <v>67</v>
      </c>
      <c r="CI119" s="228">
        <v>5</v>
      </c>
      <c r="CJ119" s="229">
        <v>6.7299999999999999E-2</v>
      </c>
      <c r="CK119" s="228">
        <v>0</v>
      </c>
      <c r="CL119" s="228">
        <v>0</v>
      </c>
      <c r="CM119" s="228">
        <v>0</v>
      </c>
      <c r="CN119" s="229">
        <v>0</v>
      </c>
      <c r="CO119" s="228">
        <v>133</v>
      </c>
      <c r="CP119" s="228">
        <v>134</v>
      </c>
      <c r="CQ119" s="228">
        <v>-1</v>
      </c>
      <c r="CR119" s="229">
        <v>-9.1999999999999998E-3</v>
      </c>
      <c r="CS119" s="228">
        <v>77</v>
      </c>
      <c r="CT119" s="228">
        <v>81</v>
      </c>
      <c r="CU119" s="228">
        <v>-5</v>
      </c>
      <c r="CV119" s="229">
        <v>-5.8500000000000003E-2</v>
      </c>
      <c r="CW119" s="228">
        <v>716</v>
      </c>
      <c r="CX119" s="228">
        <v>720</v>
      </c>
      <c r="CY119" s="228">
        <v>-4</v>
      </c>
      <c r="CZ119" s="229">
        <v>-5.7000000000000002E-3</v>
      </c>
      <c r="DA119" s="228">
        <v>34.54</v>
      </c>
      <c r="DB119" s="228">
        <v>35.43</v>
      </c>
      <c r="DC119" s="228">
        <v>-0.89</v>
      </c>
      <c r="DD119" s="228">
        <v>-0.89</v>
      </c>
      <c r="DE119" s="228">
        <v>44.99</v>
      </c>
      <c r="DF119" s="228">
        <v>45.06</v>
      </c>
      <c r="DG119" s="228">
        <v>-10.45</v>
      </c>
      <c r="DH119" s="228">
        <v>-7.0000000000000007E-2</v>
      </c>
      <c r="DI119" s="228">
        <v>35.369999999999997</v>
      </c>
      <c r="DJ119" s="228">
        <v>35.33</v>
      </c>
      <c r="DK119" s="228">
        <v>0.04</v>
      </c>
      <c r="DL119" s="228">
        <v>0.04</v>
      </c>
      <c r="DM119" s="228">
        <v>33.549999999999997</v>
      </c>
      <c r="DN119" s="228">
        <v>35.909999999999997</v>
      </c>
      <c r="DO119" s="228">
        <v>-2.36</v>
      </c>
      <c r="DP119" s="228">
        <v>-2.36</v>
      </c>
      <c r="DQ119" s="228">
        <v>0.57999999999999996</v>
      </c>
      <c r="DR119" s="228">
        <v>0.61</v>
      </c>
      <c r="DS119" s="228">
        <v>-0.03</v>
      </c>
      <c r="DT119" s="229">
        <v>-4.9200000000000001E-2</v>
      </c>
      <c r="DU119" s="228">
        <v>700</v>
      </c>
      <c r="DV119" s="228">
        <v>700</v>
      </c>
      <c r="DW119" s="228">
        <v>0.83</v>
      </c>
      <c r="DX119" s="228">
        <v>0.23</v>
      </c>
      <c r="DY119" s="228">
        <v>0.6</v>
      </c>
      <c r="DZ119" s="229">
        <v>2.6086999999999998</v>
      </c>
      <c r="EA119" s="229">
        <v>0.1414</v>
      </c>
      <c r="EB119" s="230">
        <v>972400</v>
      </c>
      <c r="EC119" s="229">
        <v>-2.5000000000000001E-3</v>
      </c>
      <c r="ED119" s="229">
        <v>0.1414</v>
      </c>
      <c r="EE119" s="228">
        <v>-0.95</v>
      </c>
      <c r="EF119" s="229">
        <v>-1.4E-3</v>
      </c>
      <c r="EG119" s="230">
        <v>117329</v>
      </c>
      <c r="EH119" s="230">
        <v>642161</v>
      </c>
      <c r="EI119" s="229">
        <v>-0.81730000000000003</v>
      </c>
      <c r="EJ119" s="229">
        <v>0.33179999999999998</v>
      </c>
      <c r="EK119" s="228">
        <v>119.08</v>
      </c>
      <c r="EL119" s="228">
        <v>92.37</v>
      </c>
      <c r="EM119" s="228">
        <v>62.65</v>
      </c>
      <c r="EN119" s="228">
        <v>0</v>
      </c>
      <c r="EO119" s="228">
        <v>274.10000000000002</v>
      </c>
      <c r="EP119" s="228">
        <v>928.52</v>
      </c>
      <c r="EQ119" s="228">
        <v>-654.41</v>
      </c>
      <c r="ER119" s="229">
        <v>-0.70479999999999998</v>
      </c>
      <c r="ES119" s="228">
        <v>139.34</v>
      </c>
      <c r="ET119" s="228">
        <v>74.010000000000005</v>
      </c>
      <c r="EU119" s="228">
        <v>506.66</v>
      </c>
      <c r="EV119" s="231">
        <v>64423956</v>
      </c>
      <c r="EW119" s="228">
        <v>720.01</v>
      </c>
      <c r="EX119" s="228">
        <v>731.89</v>
      </c>
      <c r="EY119" s="228">
        <v>-11.88</v>
      </c>
      <c r="EZ119" s="229">
        <v>-1.6199999999999999E-2</v>
      </c>
      <c r="FA119" s="229">
        <v>0.161</v>
      </c>
      <c r="FB119" s="227" t="s">
        <v>567</v>
      </c>
      <c r="FC119">
        <f t="shared" si="1"/>
        <v>72</v>
      </c>
    </row>
    <row r="120" spans="1:159" ht="17.25" thickBot="1" x14ac:dyDescent="0.3">
      <c r="A120" s="226">
        <v>45860</v>
      </c>
      <c r="B120" s="227" t="s">
        <v>161</v>
      </c>
      <c r="C120" s="227" t="s">
        <v>581</v>
      </c>
      <c r="D120" s="228">
        <v>1000</v>
      </c>
      <c r="E120" s="228">
        <v>9</v>
      </c>
      <c r="F120" s="228">
        <v>531.9</v>
      </c>
      <c r="G120" s="228">
        <v>533.54999999999995</v>
      </c>
      <c r="H120" s="228">
        <v>-1.65</v>
      </c>
      <c r="I120" s="229">
        <v>-3.0999999999999999E-3</v>
      </c>
      <c r="J120" s="228">
        <v>531.54999999999995</v>
      </c>
      <c r="K120" s="228">
        <v>531.70000000000005</v>
      </c>
      <c r="L120" s="228">
        <v>-0.15</v>
      </c>
      <c r="M120" s="229">
        <v>-2.9999999999999997E-4</v>
      </c>
      <c r="N120" s="228">
        <v>531.9</v>
      </c>
      <c r="O120" s="228">
        <v>533.54999999999995</v>
      </c>
      <c r="P120" s="228">
        <v>-1.65</v>
      </c>
      <c r="Q120" s="229">
        <v>-3.0999999999999999E-3</v>
      </c>
      <c r="R120" s="228">
        <v>534.5</v>
      </c>
      <c r="S120" s="228">
        <v>536.25</v>
      </c>
      <c r="T120" s="228">
        <v>-1.75</v>
      </c>
      <c r="U120" s="229">
        <v>-3.3E-3</v>
      </c>
      <c r="V120" s="228">
        <v>0</v>
      </c>
      <c r="W120" s="228">
        <v>0</v>
      </c>
      <c r="X120" s="228">
        <v>0</v>
      </c>
      <c r="Y120" s="229">
        <v>0</v>
      </c>
      <c r="Z120" s="228">
        <v>0.35</v>
      </c>
      <c r="AA120" s="228">
        <v>1.85</v>
      </c>
      <c r="AB120" s="228">
        <v>-1.5</v>
      </c>
      <c r="AC120" s="229">
        <v>6.9999999999999999E-4</v>
      </c>
      <c r="AD120" s="228">
        <v>0.35</v>
      </c>
      <c r="AE120" s="228">
        <v>1.85</v>
      </c>
      <c r="AF120" s="228">
        <v>-1.5</v>
      </c>
      <c r="AG120" s="229">
        <v>6.9999999999999999E-4</v>
      </c>
      <c r="AH120" s="228">
        <v>2.95</v>
      </c>
      <c r="AI120" s="228">
        <v>4.55</v>
      </c>
      <c r="AJ120" s="228">
        <v>-1.6</v>
      </c>
      <c r="AK120" s="229">
        <v>5.4999999999999997E-3</v>
      </c>
      <c r="AL120" s="228">
        <v>0</v>
      </c>
      <c r="AM120" s="228">
        <v>0</v>
      </c>
      <c r="AN120" s="228">
        <v>0</v>
      </c>
      <c r="AO120" s="229">
        <v>0</v>
      </c>
      <c r="AP120" s="228">
        <v>532.88</v>
      </c>
      <c r="AQ120" s="228">
        <v>535.46</v>
      </c>
      <c r="AR120" s="228">
        <v>0</v>
      </c>
      <c r="AS120" s="228">
        <v>201</v>
      </c>
      <c r="AT120" s="228">
        <v>245</v>
      </c>
      <c r="AU120" s="228">
        <v>-44</v>
      </c>
      <c r="AV120" s="229">
        <v>-0.1784</v>
      </c>
      <c r="AW120" s="228">
        <v>152</v>
      </c>
      <c r="AX120" s="228">
        <v>207</v>
      </c>
      <c r="AY120" s="228">
        <v>-55</v>
      </c>
      <c r="AZ120" s="229">
        <v>-0.26569999999999999</v>
      </c>
      <c r="BA120" s="228">
        <v>49</v>
      </c>
      <c r="BB120" s="228">
        <v>37</v>
      </c>
      <c r="BC120" s="228">
        <v>12</v>
      </c>
      <c r="BD120" s="229">
        <v>0.33139999999999997</v>
      </c>
      <c r="BE120" s="228">
        <v>0</v>
      </c>
      <c r="BF120" s="228">
        <v>0</v>
      </c>
      <c r="BG120" s="228">
        <v>0</v>
      </c>
      <c r="BH120" s="229">
        <v>0</v>
      </c>
      <c r="BI120" s="228">
        <v>341</v>
      </c>
      <c r="BJ120" s="228">
        <v>573</v>
      </c>
      <c r="BK120" s="228">
        <v>-232</v>
      </c>
      <c r="BL120" s="229">
        <v>-0.40529999999999999</v>
      </c>
      <c r="BM120" s="228">
        <v>97</v>
      </c>
      <c r="BN120" s="228">
        <v>163</v>
      </c>
      <c r="BO120" s="228">
        <v>-66</v>
      </c>
      <c r="BP120" s="229">
        <v>-0.40489999999999998</v>
      </c>
      <c r="BQ120" s="228">
        <v>639</v>
      </c>
      <c r="BR120" s="228">
        <v>981</v>
      </c>
      <c r="BS120" s="228">
        <v>-342</v>
      </c>
      <c r="BT120" s="229">
        <v>-0.34860000000000002</v>
      </c>
      <c r="BU120" s="230">
        <v>2884793</v>
      </c>
      <c r="BV120" s="230">
        <v>3044085</v>
      </c>
      <c r="BW120" s="230">
        <v>-159292</v>
      </c>
      <c r="BX120" s="229">
        <v>-5.2299999999999999E-2</v>
      </c>
      <c r="BY120" s="230">
        <v>2484</v>
      </c>
      <c r="BZ120" s="230">
        <v>2471</v>
      </c>
      <c r="CA120" s="228">
        <v>13</v>
      </c>
      <c r="CB120" s="229">
        <v>5.1999999999999998E-3</v>
      </c>
      <c r="CC120" s="230">
        <v>2339</v>
      </c>
      <c r="CD120" s="230">
        <v>2351</v>
      </c>
      <c r="CE120" s="228">
        <v>-11</v>
      </c>
      <c r="CF120" s="229">
        <v>-4.7999999999999996E-3</v>
      </c>
      <c r="CG120" s="228">
        <v>137</v>
      </c>
      <c r="CH120" s="228">
        <v>113</v>
      </c>
      <c r="CI120" s="228">
        <v>24</v>
      </c>
      <c r="CJ120" s="229">
        <v>0.2142</v>
      </c>
      <c r="CK120" s="228">
        <v>0</v>
      </c>
      <c r="CL120" s="228">
        <v>0</v>
      </c>
      <c r="CM120" s="228">
        <v>0</v>
      </c>
      <c r="CN120" s="229">
        <v>0</v>
      </c>
      <c r="CO120" s="228">
        <v>599</v>
      </c>
      <c r="CP120" s="228">
        <v>590</v>
      </c>
      <c r="CQ120" s="228">
        <v>10</v>
      </c>
      <c r="CR120" s="229">
        <v>1.6400000000000001E-2</v>
      </c>
      <c r="CS120" s="228">
        <v>304</v>
      </c>
      <c r="CT120" s="228">
        <v>307</v>
      </c>
      <c r="CU120" s="228">
        <v>-3</v>
      </c>
      <c r="CV120" s="229">
        <v>-0.01</v>
      </c>
      <c r="CW120" s="230">
        <v>3387</v>
      </c>
      <c r="CX120" s="230">
        <v>3368</v>
      </c>
      <c r="CY120" s="228">
        <v>20</v>
      </c>
      <c r="CZ120" s="229">
        <v>5.7999999999999996E-3</v>
      </c>
      <c r="DA120" s="228">
        <v>35.01</v>
      </c>
      <c r="DB120" s="228">
        <v>36.99</v>
      </c>
      <c r="DC120" s="228">
        <v>-1.98</v>
      </c>
      <c r="DD120" s="228">
        <v>-1.98</v>
      </c>
      <c r="DE120" s="228">
        <v>49.56</v>
      </c>
      <c r="DF120" s="228">
        <v>49.68</v>
      </c>
      <c r="DG120" s="228">
        <v>-14.55</v>
      </c>
      <c r="DH120" s="228">
        <v>-0.12</v>
      </c>
      <c r="DI120" s="228">
        <v>34.869999999999997</v>
      </c>
      <c r="DJ120" s="228">
        <v>36.909999999999997</v>
      </c>
      <c r="DK120" s="228">
        <v>-2.04</v>
      </c>
      <c r="DL120" s="228">
        <v>-2.04</v>
      </c>
      <c r="DM120" s="228">
        <v>35.479999999999997</v>
      </c>
      <c r="DN120" s="228">
        <v>37.29</v>
      </c>
      <c r="DO120" s="228">
        <v>-1.81</v>
      </c>
      <c r="DP120" s="228">
        <v>-1.81</v>
      </c>
      <c r="DQ120" s="228">
        <v>0.51</v>
      </c>
      <c r="DR120" s="228">
        <v>0.52</v>
      </c>
      <c r="DS120" s="228">
        <v>-0.01</v>
      </c>
      <c r="DT120" s="229">
        <v>-1.9199999999999998E-2</v>
      </c>
      <c r="DU120" s="228">
        <v>530</v>
      </c>
      <c r="DV120" s="228">
        <v>500</v>
      </c>
      <c r="DW120" s="228">
        <v>0.28000000000000003</v>
      </c>
      <c r="DX120" s="228">
        <v>0.28000000000000003</v>
      </c>
      <c r="DY120" s="228">
        <v>0</v>
      </c>
      <c r="DZ120" s="229">
        <v>0</v>
      </c>
      <c r="EA120" s="229">
        <v>5.5199999999999999E-2</v>
      </c>
      <c r="EB120" s="230">
        <v>2124000</v>
      </c>
      <c r="EC120" s="229">
        <v>4.8999999999999998E-3</v>
      </c>
      <c r="ED120" s="229">
        <v>5.5199999999999999E-2</v>
      </c>
      <c r="EE120" s="228">
        <v>2.58</v>
      </c>
      <c r="EF120" s="229">
        <v>4.7999999999999996E-3</v>
      </c>
      <c r="EG120" s="230">
        <v>1586453</v>
      </c>
      <c r="EH120" s="230">
        <v>1506255</v>
      </c>
      <c r="EI120" s="229">
        <v>5.3199999999999997E-2</v>
      </c>
      <c r="EJ120" s="229">
        <v>0.54990000000000006</v>
      </c>
      <c r="EK120" s="228">
        <v>354.46</v>
      </c>
      <c r="EL120" s="228">
        <v>94.81</v>
      </c>
      <c r="EM120" s="228">
        <v>201.72</v>
      </c>
      <c r="EN120" s="228">
        <v>0</v>
      </c>
      <c r="EO120" s="228">
        <v>650.98</v>
      </c>
      <c r="EP120" s="231">
        <v>1003.94</v>
      </c>
      <c r="EQ120" s="228">
        <v>-352.95</v>
      </c>
      <c r="ER120" s="229">
        <v>-0.35160000000000002</v>
      </c>
      <c r="ES120" s="228">
        <v>602.14</v>
      </c>
      <c r="ET120" s="228">
        <v>290.81</v>
      </c>
      <c r="EU120" s="231">
        <v>2484.61</v>
      </c>
      <c r="EV120" s="231">
        <v>106935382</v>
      </c>
      <c r="EW120" s="231">
        <v>3377.55</v>
      </c>
      <c r="EX120" s="231">
        <v>3365.44</v>
      </c>
      <c r="EY120" s="228">
        <v>12.11</v>
      </c>
      <c r="EZ120" s="229">
        <v>3.5999999999999999E-3</v>
      </c>
      <c r="FA120" s="229">
        <v>0.59550000000000003</v>
      </c>
      <c r="FB120" s="227" t="s">
        <v>567</v>
      </c>
      <c r="FC120">
        <f t="shared" si="1"/>
        <v>145</v>
      </c>
    </row>
    <row r="121" spans="1:159" ht="17.25" thickBot="1" x14ac:dyDescent="0.3">
      <c r="A121" s="226">
        <v>45860</v>
      </c>
      <c r="B121" s="227" t="s">
        <v>227</v>
      </c>
      <c r="C121" s="227" t="s">
        <v>244</v>
      </c>
      <c r="D121" s="228">
        <v>675</v>
      </c>
      <c r="E121" s="228">
        <v>9</v>
      </c>
      <c r="F121" s="231">
        <v>1033.4000000000001</v>
      </c>
      <c r="G121" s="231">
        <v>1035.5</v>
      </c>
      <c r="H121" s="228">
        <v>-2.1</v>
      </c>
      <c r="I121" s="229">
        <v>-2E-3</v>
      </c>
      <c r="J121" s="231">
        <v>1030.7</v>
      </c>
      <c r="K121" s="231">
        <v>1034.8</v>
      </c>
      <c r="L121" s="228">
        <v>-4.0999999999999996</v>
      </c>
      <c r="M121" s="229">
        <v>-4.0000000000000001E-3</v>
      </c>
      <c r="N121" s="231">
        <v>1033.4000000000001</v>
      </c>
      <c r="O121" s="231">
        <v>1035.5</v>
      </c>
      <c r="P121" s="228">
        <v>-2.1</v>
      </c>
      <c r="Q121" s="229">
        <v>-2E-3</v>
      </c>
      <c r="R121" s="231">
        <v>1038.4000000000001</v>
      </c>
      <c r="S121" s="231">
        <v>1040.5999999999999</v>
      </c>
      <c r="T121" s="228">
        <v>-2.2000000000000002</v>
      </c>
      <c r="U121" s="229">
        <v>-2.0999999999999999E-3</v>
      </c>
      <c r="V121" s="228">
        <v>0</v>
      </c>
      <c r="W121" s="228">
        <v>0</v>
      </c>
      <c r="X121" s="228">
        <v>0</v>
      </c>
      <c r="Y121" s="229">
        <v>0</v>
      </c>
      <c r="Z121" s="228">
        <v>2.7</v>
      </c>
      <c r="AA121" s="228">
        <v>0.7</v>
      </c>
      <c r="AB121" s="228">
        <v>2</v>
      </c>
      <c r="AC121" s="229">
        <v>2.5999999999999999E-3</v>
      </c>
      <c r="AD121" s="228">
        <v>2.7</v>
      </c>
      <c r="AE121" s="228">
        <v>0.7</v>
      </c>
      <c r="AF121" s="228">
        <v>2</v>
      </c>
      <c r="AG121" s="229">
        <v>2.5999999999999999E-3</v>
      </c>
      <c r="AH121" s="228">
        <v>7.7</v>
      </c>
      <c r="AI121" s="228">
        <v>5.8</v>
      </c>
      <c r="AJ121" s="228">
        <v>1.9</v>
      </c>
      <c r="AK121" s="229">
        <v>7.4999999999999997E-3</v>
      </c>
      <c r="AL121" s="228">
        <v>0</v>
      </c>
      <c r="AM121" s="228">
        <v>0</v>
      </c>
      <c r="AN121" s="228">
        <v>0</v>
      </c>
      <c r="AO121" s="229">
        <v>0</v>
      </c>
      <c r="AP121" s="231">
        <v>1037.8800000000001</v>
      </c>
      <c r="AQ121" s="231">
        <v>1042.4100000000001</v>
      </c>
      <c r="AR121" s="228">
        <v>0</v>
      </c>
      <c r="AS121" s="228">
        <v>313</v>
      </c>
      <c r="AT121" s="228">
        <v>729</v>
      </c>
      <c r="AU121" s="228">
        <v>-416</v>
      </c>
      <c r="AV121" s="229">
        <v>-0.57120000000000004</v>
      </c>
      <c r="AW121" s="228">
        <v>265</v>
      </c>
      <c r="AX121" s="228">
        <v>659</v>
      </c>
      <c r="AY121" s="228">
        <v>-394</v>
      </c>
      <c r="AZ121" s="229">
        <v>-0.59750000000000003</v>
      </c>
      <c r="BA121" s="228">
        <v>43</v>
      </c>
      <c r="BB121" s="228">
        <v>64</v>
      </c>
      <c r="BC121" s="228">
        <v>-21</v>
      </c>
      <c r="BD121" s="229">
        <v>-0.3221</v>
      </c>
      <c r="BE121" s="228">
        <v>0</v>
      </c>
      <c r="BF121" s="228">
        <v>0</v>
      </c>
      <c r="BG121" s="228">
        <v>0</v>
      </c>
      <c r="BH121" s="229">
        <v>0</v>
      </c>
      <c r="BI121" s="230">
        <v>1106</v>
      </c>
      <c r="BJ121" s="230">
        <v>3138</v>
      </c>
      <c r="BK121" s="230">
        <v>-2032</v>
      </c>
      <c r="BL121" s="229">
        <v>-0.64749999999999996</v>
      </c>
      <c r="BM121" s="228">
        <v>468</v>
      </c>
      <c r="BN121" s="230">
        <v>1047</v>
      </c>
      <c r="BO121" s="228">
        <v>-579</v>
      </c>
      <c r="BP121" s="229">
        <v>-0.55310000000000004</v>
      </c>
      <c r="BQ121" s="230">
        <v>1887</v>
      </c>
      <c r="BR121" s="230">
        <v>4914</v>
      </c>
      <c r="BS121" s="230">
        <v>-3027</v>
      </c>
      <c r="BT121" s="229">
        <v>-0.61599999999999999</v>
      </c>
      <c r="BU121" s="230">
        <v>1356371</v>
      </c>
      <c r="BV121" s="230">
        <v>2849634</v>
      </c>
      <c r="BW121" s="230">
        <v>-1493263</v>
      </c>
      <c r="BX121" s="229">
        <v>-0.52400000000000002</v>
      </c>
      <c r="BY121" s="230">
        <v>4017</v>
      </c>
      <c r="BZ121" s="230">
        <v>4030</v>
      </c>
      <c r="CA121" s="228">
        <v>-14</v>
      </c>
      <c r="CB121" s="229">
        <v>-3.3999999999999998E-3</v>
      </c>
      <c r="CC121" s="230">
        <v>3857</v>
      </c>
      <c r="CD121" s="230">
        <v>3882</v>
      </c>
      <c r="CE121" s="228">
        <v>-25</v>
      </c>
      <c r="CF121" s="229">
        <v>-6.4000000000000003E-3</v>
      </c>
      <c r="CG121" s="228">
        <v>153</v>
      </c>
      <c r="CH121" s="228">
        <v>142</v>
      </c>
      <c r="CI121" s="228">
        <v>12</v>
      </c>
      <c r="CJ121" s="229">
        <v>8.1100000000000005E-2</v>
      </c>
      <c r="CK121" s="228">
        <v>0</v>
      </c>
      <c r="CL121" s="228">
        <v>0</v>
      </c>
      <c r="CM121" s="228">
        <v>0</v>
      </c>
      <c r="CN121" s="229">
        <v>0</v>
      </c>
      <c r="CO121" s="228">
        <v>974</v>
      </c>
      <c r="CP121" s="230">
        <v>1091</v>
      </c>
      <c r="CQ121" s="228">
        <v>-117</v>
      </c>
      <c r="CR121" s="229">
        <v>-0.1071</v>
      </c>
      <c r="CS121" s="228">
        <v>626</v>
      </c>
      <c r="CT121" s="228">
        <v>672</v>
      </c>
      <c r="CU121" s="228">
        <v>-46</v>
      </c>
      <c r="CV121" s="229">
        <v>-6.8900000000000003E-2</v>
      </c>
      <c r="CW121" s="230">
        <v>5617</v>
      </c>
      <c r="CX121" s="230">
        <v>5794</v>
      </c>
      <c r="CY121" s="228">
        <v>-177</v>
      </c>
      <c r="CZ121" s="229">
        <v>-3.0499999999999999E-2</v>
      </c>
      <c r="DA121" s="228">
        <v>24.59</v>
      </c>
      <c r="DB121" s="228">
        <v>24.49</v>
      </c>
      <c r="DC121" s="228">
        <v>0.1</v>
      </c>
      <c r="DD121" s="228">
        <v>0.1</v>
      </c>
      <c r="DE121" s="228">
        <v>31.46</v>
      </c>
      <c r="DF121" s="228">
        <v>31.54</v>
      </c>
      <c r="DG121" s="228">
        <v>-6.87</v>
      </c>
      <c r="DH121" s="228">
        <v>-0.08</v>
      </c>
      <c r="DI121" s="228">
        <v>24.88</v>
      </c>
      <c r="DJ121" s="228">
        <v>24.72</v>
      </c>
      <c r="DK121" s="228">
        <v>0.16</v>
      </c>
      <c r="DL121" s="228">
        <v>0.16</v>
      </c>
      <c r="DM121" s="228">
        <v>23.91</v>
      </c>
      <c r="DN121" s="228">
        <v>23.82</v>
      </c>
      <c r="DO121" s="228">
        <v>0.09</v>
      </c>
      <c r="DP121" s="228">
        <v>0.09</v>
      </c>
      <c r="DQ121" s="228">
        <v>0.64</v>
      </c>
      <c r="DR121" s="228">
        <v>0.62</v>
      </c>
      <c r="DS121" s="228">
        <v>0.02</v>
      </c>
      <c r="DT121" s="229">
        <v>3.2300000000000002E-2</v>
      </c>
      <c r="DU121" s="231">
        <v>1180</v>
      </c>
      <c r="DV121" s="231">
        <v>1000</v>
      </c>
      <c r="DW121" s="228">
        <v>0.42</v>
      </c>
      <c r="DX121" s="228">
        <v>0.33</v>
      </c>
      <c r="DY121" s="228">
        <v>0.09</v>
      </c>
      <c r="DZ121" s="229">
        <v>0.2727</v>
      </c>
      <c r="EA121" s="229">
        <v>3.8199999999999998E-2</v>
      </c>
      <c r="EB121" s="230">
        <v>1373625</v>
      </c>
      <c r="EC121" s="229">
        <v>4.7999999999999996E-3</v>
      </c>
      <c r="ED121" s="229">
        <v>3.8199999999999998E-2</v>
      </c>
      <c r="EE121" s="228">
        <v>4.53</v>
      </c>
      <c r="EF121" s="229">
        <v>4.4000000000000003E-3</v>
      </c>
      <c r="EG121" s="230">
        <v>720068</v>
      </c>
      <c r="EH121" s="230">
        <v>953998</v>
      </c>
      <c r="EI121" s="229">
        <v>-0.2452</v>
      </c>
      <c r="EJ121" s="229">
        <v>0.53090000000000004</v>
      </c>
      <c r="EK121" s="231">
        <v>1151.79</v>
      </c>
      <c r="EL121" s="228">
        <v>462.17</v>
      </c>
      <c r="EM121" s="228">
        <v>314.08999999999997</v>
      </c>
      <c r="EN121" s="228">
        <v>0</v>
      </c>
      <c r="EO121" s="231">
        <v>1928.04</v>
      </c>
      <c r="EP121" s="231">
        <v>5001.17</v>
      </c>
      <c r="EQ121" s="231">
        <v>-3073.13</v>
      </c>
      <c r="ER121" s="229">
        <v>-0.61450000000000005</v>
      </c>
      <c r="ES121" s="231">
        <v>1022.87</v>
      </c>
      <c r="ET121" s="228">
        <v>596.57000000000005</v>
      </c>
      <c r="EU121" s="231">
        <v>4017.55</v>
      </c>
      <c r="EV121" s="231">
        <v>268798007</v>
      </c>
      <c r="EW121" s="231">
        <v>5636.98</v>
      </c>
      <c r="EX121" s="231">
        <v>5823.77</v>
      </c>
      <c r="EY121" s="228">
        <v>-186.79</v>
      </c>
      <c r="EZ121" s="229">
        <v>-3.2099999999999997E-2</v>
      </c>
      <c r="FA121" s="229">
        <v>0.20219999999999999</v>
      </c>
      <c r="FB121" s="227" t="s">
        <v>568</v>
      </c>
      <c r="FC121">
        <f t="shared" si="1"/>
        <v>160</v>
      </c>
    </row>
    <row r="122" spans="1:159" ht="17.25" thickBot="1" x14ac:dyDescent="0.3">
      <c r="A122" s="226">
        <v>45860</v>
      </c>
      <c r="B122" s="227" t="s">
        <v>168</v>
      </c>
      <c r="C122" s="227" t="s">
        <v>245</v>
      </c>
      <c r="D122" s="228">
        <v>1250</v>
      </c>
      <c r="E122" s="228">
        <v>9</v>
      </c>
      <c r="F122" s="228">
        <v>662.9</v>
      </c>
      <c r="G122" s="228">
        <v>680.55</v>
      </c>
      <c r="H122" s="228">
        <v>-17.649999999999999</v>
      </c>
      <c r="I122" s="229">
        <v>-2.5899999999999999E-2</v>
      </c>
      <c r="J122" s="228">
        <v>662.1</v>
      </c>
      <c r="K122" s="228">
        <v>679.35</v>
      </c>
      <c r="L122" s="228">
        <v>-17.25</v>
      </c>
      <c r="M122" s="229">
        <v>-2.5399999999999999E-2</v>
      </c>
      <c r="N122" s="228">
        <v>662.9</v>
      </c>
      <c r="O122" s="228">
        <v>680.55</v>
      </c>
      <c r="P122" s="228">
        <v>-17.649999999999999</v>
      </c>
      <c r="Q122" s="229">
        <v>-2.5899999999999999E-2</v>
      </c>
      <c r="R122" s="228">
        <v>666.2</v>
      </c>
      <c r="S122" s="228">
        <v>684</v>
      </c>
      <c r="T122" s="228">
        <v>-17.8</v>
      </c>
      <c r="U122" s="229">
        <v>-2.5999999999999999E-2</v>
      </c>
      <c r="V122" s="228">
        <v>0</v>
      </c>
      <c r="W122" s="228">
        <v>0</v>
      </c>
      <c r="X122" s="228">
        <v>0</v>
      </c>
      <c r="Y122" s="229">
        <v>0</v>
      </c>
      <c r="Z122" s="228">
        <v>0.8</v>
      </c>
      <c r="AA122" s="228">
        <v>1.2</v>
      </c>
      <c r="AB122" s="228">
        <v>-0.4</v>
      </c>
      <c r="AC122" s="229">
        <v>1.1999999999999999E-3</v>
      </c>
      <c r="AD122" s="228">
        <v>0.8</v>
      </c>
      <c r="AE122" s="228">
        <v>1.2</v>
      </c>
      <c r="AF122" s="228">
        <v>-0.4</v>
      </c>
      <c r="AG122" s="229">
        <v>1.1999999999999999E-3</v>
      </c>
      <c r="AH122" s="228">
        <v>4.0999999999999996</v>
      </c>
      <c r="AI122" s="228">
        <v>4.6500000000000004</v>
      </c>
      <c r="AJ122" s="228">
        <v>-0.55000000000000004</v>
      </c>
      <c r="AK122" s="229">
        <v>6.1999999999999998E-3</v>
      </c>
      <c r="AL122" s="228">
        <v>0</v>
      </c>
      <c r="AM122" s="228">
        <v>0</v>
      </c>
      <c r="AN122" s="228">
        <v>0</v>
      </c>
      <c r="AO122" s="229">
        <v>0</v>
      </c>
      <c r="AP122" s="228">
        <v>667.24</v>
      </c>
      <c r="AQ122" s="228">
        <v>670.74</v>
      </c>
      <c r="AR122" s="228">
        <v>0</v>
      </c>
      <c r="AS122" s="228">
        <v>213</v>
      </c>
      <c r="AT122" s="228">
        <v>105</v>
      </c>
      <c r="AU122" s="228">
        <v>108</v>
      </c>
      <c r="AV122" s="229">
        <v>1.0341</v>
      </c>
      <c r="AW122" s="228">
        <v>178</v>
      </c>
      <c r="AX122" s="228">
        <v>94</v>
      </c>
      <c r="AY122" s="228">
        <v>85</v>
      </c>
      <c r="AZ122" s="229">
        <v>0.90620000000000001</v>
      </c>
      <c r="BA122" s="228">
        <v>31</v>
      </c>
      <c r="BB122" s="228">
        <v>10</v>
      </c>
      <c r="BC122" s="228">
        <v>21</v>
      </c>
      <c r="BD122" s="229">
        <v>2.0813000000000001</v>
      </c>
      <c r="BE122" s="228">
        <v>0</v>
      </c>
      <c r="BF122" s="228">
        <v>0</v>
      </c>
      <c r="BG122" s="228">
        <v>0</v>
      </c>
      <c r="BH122" s="229">
        <v>0</v>
      </c>
      <c r="BI122" s="228">
        <v>535</v>
      </c>
      <c r="BJ122" s="228">
        <v>280</v>
      </c>
      <c r="BK122" s="228">
        <v>255</v>
      </c>
      <c r="BL122" s="229">
        <v>0.90869999999999995</v>
      </c>
      <c r="BM122" s="228">
        <v>238</v>
      </c>
      <c r="BN122" s="228">
        <v>112</v>
      </c>
      <c r="BO122" s="228">
        <v>126</v>
      </c>
      <c r="BP122" s="229">
        <v>1.1329</v>
      </c>
      <c r="BQ122" s="228">
        <v>986</v>
      </c>
      <c r="BR122" s="228">
        <v>497</v>
      </c>
      <c r="BS122" s="228">
        <v>489</v>
      </c>
      <c r="BT122" s="229">
        <v>0.98550000000000004</v>
      </c>
      <c r="BU122" s="230">
        <v>701427</v>
      </c>
      <c r="BV122" s="230">
        <v>599375</v>
      </c>
      <c r="BW122" s="230">
        <v>102052</v>
      </c>
      <c r="BX122" s="229">
        <v>0.17030000000000001</v>
      </c>
      <c r="BY122" s="230">
        <v>1455</v>
      </c>
      <c r="BZ122" s="230">
        <v>1457</v>
      </c>
      <c r="CA122" s="228">
        <v>-2</v>
      </c>
      <c r="CB122" s="229">
        <v>-1.4E-3</v>
      </c>
      <c r="CC122" s="230">
        <v>1382</v>
      </c>
      <c r="CD122" s="230">
        <v>1402</v>
      </c>
      <c r="CE122" s="228">
        <v>-21</v>
      </c>
      <c r="CF122" s="229">
        <v>-1.47E-2</v>
      </c>
      <c r="CG122" s="228">
        <v>70</v>
      </c>
      <c r="CH122" s="228">
        <v>52</v>
      </c>
      <c r="CI122" s="228">
        <v>18</v>
      </c>
      <c r="CJ122" s="229">
        <v>0.33600000000000002</v>
      </c>
      <c r="CK122" s="228">
        <v>0</v>
      </c>
      <c r="CL122" s="228">
        <v>0</v>
      </c>
      <c r="CM122" s="228">
        <v>0</v>
      </c>
      <c r="CN122" s="229">
        <v>0</v>
      </c>
      <c r="CO122" s="228">
        <v>574</v>
      </c>
      <c r="CP122" s="228">
        <v>547</v>
      </c>
      <c r="CQ122" s="228">
        <v>27</v>
      </c>
      <c r="CR122" s="229">
        <v>4.9700000000000001E-2</v>
      </c>
      <c r="CS122" s="228">
        <v>233</v>
      </c>
      <c r="CT122" s="228">
        <v>230</v>
      </c>
      <c r="CU122" s="228">
        <v>3</v>
      </c>
      <c r="CV122" s="229">
        <v>1.26E-2</v>
      </c>
      <c r="CW122" s="230">
        <v>2262</v>
      </c>
      <c r="CX122" s="230">
        <v>2234</v>
      </c>
      <c r="CY122" s="228">
        <v>28</v>
      </c>
      <c r="CZ122" s="229">
        <v>1.2500000000000001E-2</v>
      </c>
      <c r="DA122" s="228">
        <v>30.75</v>
      </c>
      <c r="DB122" s="228">
        <v>29.19</v>
      </c>
      <c r="DC122" s="228">
        <v>1.56</v>
      </c>
      <c r="DD122" s="228">
        <v>1.56</v>
      </c>
      <c r="DE122" s="228">
        <v>36.520000000000003</v>
      </c>
      <c r="DF122" s="228">
        <v>36.44</v>
      </c>
      <c r="DG122" s="228">
        <v>-5.77</v>
      </c>
      <c r="DH122" s="228">
        <v>0.08</v>
      </c>
      <c r="DI122" s="228">
        <v>31.81</v>
      </c>
      <c r="DJ122" s="228">
        <v>29.58</v>
      </c>
      <c r="DK122" s="228">
        <v>2.23</v>
      </c>
      <c r="DL122" s="228">
        <v>2.23</v>
      </c>
      <c r="DM122" s="228">
        <v>28.34</v>
      </c>
      <c r="DN122" s="228">
        <v>28.19</v>
      </c>
      <c r="DO122" s="228">
        <v>0.15</v>
      </c>
      <c r="DP122" s="228">
        <v>0.15</v>
      </c>
      <c r="DQ122" s="228">
        <v>0.41</v>
      </c>
      <c r="DR122" s="228">
        <v>0.42</v>
      </c>
      <c r="DS122" s="228">
        <v>-0.01</v>
      </c>
      <c r="DT122" s="229">
        <v>-2.3800000000000002E-2</v>
      </c>
      <c r="DU122" s="228">
        <v>760</v>
      </c>
      <c r="DV122" s="228">
        <v>680</v>
      </c>
      <c r="DW122" s="228">
        <v>0.44</v>
      </c>
      <c r="DX122" s="228">
        <v>0.4</v>
      </c>
      <c r="DY122" s="228">
        <v>0.04</v>
      </c>
      <c r="DZ122" s="229">
        <v>0.1</v>
      </c>
      <c r="EA122" s="229">
        <v>4.8000000000000001E-2</v>
      </c>
      <c r="EB122" s="230">
        <v>788750</v>
      </c>
      <c r="EC122" s="229">
        <v>5.0000000000000001E-3</v>
      </c>
      <c r="ED122" s="229">
        <v>4.8000000000000001E-2</v>
      </c>
      <c r="EE122" s="228">
        <v>3.5</v>
      </c>
      <c r="EF122" s="229">
        <v>5.1999999999999998E-3</v>
      </c>
      <c r="EG122" s="230">
        <v>331335</v>
      </c>
      <c r="EH122" s="230">
        <v>315971</v>
      </c>
      <c r="EI122" s="229">
        <v>4.8599999999999997E-2</v>
      </c>
      <c r="EJ122" s="229">
        <v>0.47239999999999999</v>
      </c>
      <c r="EK122" s="228">
        <v>573.61</v>
      </c>
      <c r="EL122" s="228">
        <v>241.42</v>
      </c>
      <c r="EM122" s="228">
        <v>214.29</v>
      </c>
      <c r="EN122" s="228">
        <v>0</v>
      </c>
      <c r="EO122" s="231">
        <v>1029.32</v>
      </c>
      <c r="EP122" s="228">
        <v>525.85</v>
      </c>
      <c r="EQ122" s="228">
        <v>503.47</v>
      </c>
      <c r="ER122" s="229">
        <v>0.95740000000000003</v>
      </c>
      <c r="ES122" s="228">
        <v>629.98</v>
      </c>
      <c r="ET122" s="228">
        <v>233.13</v>
      </c>
      <c r="EU122" s="231">
        <v>1455.61</v>
      </c>
      <c r="EV122" s="231">
        <v>76179695</v>
      </c>
      <c r="EW122" s="231">
        <v>2318.71</v>
      </c>
      <c r="EX122" s="231">
        <v>2333.4</v>
      </c>
      <c r="EY122" s="228">
        <v>-14.69</v>
      </c>
      <c r="EZ122" s="229">
        <v>-6.3E-3</v>
      </c>
      <c r="FA122" s="229">
        <v>0.44800000000000001</v>
      </c>
      <c r="FB122" s="227" t="s">
        <v>568</v>
      </c>
      <c r="FC122">
        <f t="shared" si="1"/>
        <v>73</v>
      </c>
    </row>
    <row r="123" spans="1:159" ht="17.25" thickBot="1" x14ac:dyDescent="0.3">
      <c r="A123" s="226">
        <v>45860</v>
      </c>
      <c r="B123" s="227" t="s">
        <v>168</v>
      </c>
      <c r="C123" s="227" t="s">
        <v>583</v>
      </c>
      <c r="D123" s="228">
        <v>1175</v>
      </c>
      <c r="E123" s="228">
        <v>9</v>
      </c>
      <c r="F123" s="228">
        <v>595.1</v>
      </c>
      <c r="G123" s="228">
        <v>592.65</v>
      </c>
      <c r="H123" s="228">
        <v>2.4500000000000002</v>
      </c>
      <c r="I123" s="229">
        <v>4.1000000000000003E-3</v>
      </c>
      <c r="J123" s="228">
        <v>593.04999999999995</v>
      </c>
      <c r="K123" s="228">
        <v>591.20000000000005</v>
      </c>
      <c r="L123" s="228">
        <v>1.85</v>
      </c>
      <c r="M123" s="229">
        <v>3.0999999999999999E-3</v>
      </c>
      <c r="N123" s="228">
        <v>595.1</v>
      </c>
      <c r="O123" s="228">
        <v>592.65</v>
      </c>
      <c r="P123" s="228">
        <v>2.4500000000000002</v>
      </c>
      <c r="Q123" s="229">
        <v>4.1000000000000003E-3</v>
      </c>
      <c r="R123" s="228">
        <v>596.75</v>
      </c>
      <c r="S123" s="228">
        <v>594.45000000000005</v>
      </c>
      <c r="T123" s="228">
        <v>2.2999999999999998</v>
      </c>
      <c r="U123" s="229">
        <v>3.8999999999999998E-3</v>
      </c>
      <c r="V123" s="228">
        <v>0</v>
      </c>
      <c r="W123" s="228">
        <v>0</v>
      </c>
      <c r="X123" s="228">
        <v>0</v>
      </c>
      <c r="Y123" s="229">
        <v>0</v>
      </c>
      <c r="Z123" s="228">
        <v>2.0499999999999998</v>
      </c>
      <c r="AA123" s="228">
        <v>1.45</v>
      </c>
      <c r="AB123" s="228">
        <v>0.6</v>
      </c>
      <c r="AC123" s="229">
        <v>3.5000000000000001E-3</v>
      </c>
      <c r="AD123" s="228">
        <v>2.0499999999999998</v>
      </c>
      <c r="AE123" s="228">
        <v>1.45</v>
      </c>
      <c r="AF123" s="228">
        <v>0.6</v>
      </c>
      <c r="AG123" s="229">
        <v>3.5000000000000001E-3</v>
      </c>
      <c r="AH123" s="228">
        <v>3.7</v>
      </c>
      <c r="AI123" s="228">
        <v>3.25</v>
      </c>
      <c r="AJ123" s="228">
        <v>0.45</v>
      </c>
      <c r="AK123" s="229">
        <v>6.1999999999999998E-3</v>
      </c>
      <c r="AL123" s="228">
        <v>0</v>
      </c>
      <c r="AM123" s="228">
        <v>0</v>
      </c>
      <c r="AN123" s="228">
        <v>0</v>
      </c>
      <c r="AO123" s="229">
        <v>0</v>
      </c>
      <c r="AP123" s="228">
        <v>593.16999999999996</v>
      </c>
      <c r="AQ123" s="228">
        <v>594.77</v>
      </c>
      <c r="AR123" s="228">
        <v>0</v>
      </c>
      <c r="AS123" s="228">
        <v>120</v>
      </c>
      <c r="AT123" s="228">
        <v>154</v>
      </c>
      <c r="AU123" s="228">
        <v>-34</v>
      </c>
      <c r="AV123" s="229">
        <v>-0.21820000000000001</v>
      </c>
      <c r="AW123" s="228">
        <v>105</v>
      </c>
      <c r="AX123" s="228">
        <v>128</v>
      </c>
      <c r="AY123" s="228">
        <v>-23</v>
      </c>
      <c r="AZ123" s="229">
        <v>-0.17799999999999999</v>
      </c>
      <c r="BA123" s="228">
        <v>15</v>
      </c>
      <c r="BB123" s="228">
        <v>26</v>
      </c>
      <c r="BC123" s="228">
        <v>-11</v>
      </c>
      <c r="BD123" s="229">
        <v>-0.41639999999999999</v>
      </c>
      <c r="BE123" s="228">
        <v>0</v>
      </c>
      <c r="BF123" s="228">
        <v>0</v>
      </c>
      <c r="BG123" s="228">
        <v>0</v>
      </c>
      <c r="BH123" s="229">
        <v>0</v>
      </c>
      <c r="BI123" s="228">
        <v>348</v>
      </c>
      <c r="BJ123" s="228">
        <v>538</v>
      </c>
      <c r="BK123" s="228">
        <v>-190</v>
      </c>
      <c r="BL123" s="229">
        <v>-0.35289999999999999</v>
      </c>
      <c r="BM123" s="228">
        <v>132</v>
      </c>
      <c r="BN123" s="228">
        <v>209</v>
      </c>
      <c r="BO123" s="228">
        <v>-77</v>
      </c>
      <c r="BP123" s="229">
        <v>-0.37040000000000001</v>
      </c>
      <c r="BQ123" s="228">
        <v>600</v>
      </c>
      <c r="BR123" s="228">
        <v>901</v>
      </c>
      <c r="BS123" s="228">
        <v>-301</v>
      </c>
      <c r="BT123" s="229">
        <v>-0.33400000000000002</v>
      </c>
      <c r="BU123" s="230">
        <v>2723139</v>
      </c>
      <c r="BV123" s="230">
        <v>2439418</v>
      </c>
      <c r="BW123" s="230">
        <v>283721</v>
      </c>
      <c r="BX123" s="229">
        <v>0.1163</v>
      </c>
      <c r="BY123" s="230">
        <v>1313</v>
      </c>
      <c r="BZ123" s="230">
        <v>1320</v>
      </c>
      <c r="CA123" s="228">
        <v>-7</v>
      </c>
      <c r="CB123" s="229">
        <v>-5.1999999999999998E-3</v>
      </c>
      <c r="CC123" s="230">
        <v>1213</v>
      </c>
      <c r="CD123" s="230">
        <v>1223</v>
      </c>
      <c r="CE123" s="228">
        <v>-10</v>
      </c>
      <c r="CF123" s="229">
        <v>-8.2000000000000007E-3</v>
      </c>
      <c r="CG123" s="228">
        <v>96</v>
      </c>
      <c r="CH123" s="228">
        <v>93</v>
      </c>
      <c r="CI123" s="228">
        <v>3</v>
      </c>
      <c r="CJ123" s="229">
        <v>3.32E-2</v>
      </c>
      <c r="CK123" s="228">
        <v>0</v>
      </c>
      <c r="CL123" s="228">
        <v>0</v>
      </c>
      <c r="CM123" s="228">
        <v>0</v>
      </c>
      <c r="CN123" s="229">
        <v>0</v>
      </c>
      <c r="CO123" s="228">
        <v>355</v>
      </c>
      <c r="CP123" s="228">
        <v>377</v>
      </c>
      <c r="CQ123" s="228">
        <v>-22</v>
      </c>
      <c r="CR123" s="229">
        <v>-5.9499999999999997E-2</v>
      </c>
      <c r="CS123" s="228">
        <v>237</v>
      </c>
      <c r="CT123" s="228">
        <v>244</v>
      </c>
      <c r="CU123" s="228">
        <v>-7</v>
      </c>
      <c r="CV123" s="229">
        <v>-2.86E-2</v>
      </c>
      <c r="CW123" s="230">
        <v>1905</v>
      </c>
      <c r="CX123" s="230">
        <v>1942</v>
      </c>
      <c r="CY123" s="228">
        <v>-36</v>
      </c>
      <c r="CZ123" s="229">
        <v>-1.8700000000000001E-2</v>
      </c>
      <c r="DA123" s="228">
        <v>33.57</v>
      </c>
      <c r="DB123" s="228">
        <v>36.28</v>
      </c>
      <c r="DC123" s="228">
        <v>-2.71</v>
      </c>
      <c r="DD123" s="228">
        <v>-2.71</v>
      </c>
      <c r="DE123" s="228">
        <v>54.12</v>
      </c>
      <c r="DF123" s="228">
        <v>54.25</v>
      </c>
      <c r="DG123" s="228">
        <v>-20.55</v>
      </c>
      <c r="DH123" s="228">
        <v>-0.13</v>
      </c>
      <c r="DI123" s="228">
        <v>33.4</v>
      </c>
      <c r="DJ123" s="228">
        <v>36.53</v>
      </c>
      <c r="DK123" s="228">
        <v>-3.13</v>
      </c>
      <c r="DL123" s="228">
        <v>-3.13</v>
      </c>
      <c r="DM123" s="228">
        <v>34.01</v>
      </c>
      <c r="DN123" s="228">
        <v>35.619999999999997</v>
      </c>
      <c r="DO123" s="228">
        <v>-1.61</v>
      </c>
      <c r="DP123" s="228">
        <v>-1.61</v>
      </c>
      <c r="DQ123" s="228">
        <v>0.67</v>
      </c>
      <c r="DR123" s="228">
        <v>0.65</v>
      </c>
      <c r="DS123" s="228">
        <v>0.02</v>
      </c>
      <c r="DT123" s="229">
        <v>3.0800000000000001E-2</v>
      </c>
      <c r="DU123" s="228">
        <v>600</v>
      </c>
      <c r="DV123" s="228">
        <v>560</v>
      </c>
      <c r="DW123" s="228">
        <v>0.38</v>
      </c>
      <c r="DX123" s="228">
        <v>0.39</v>
      </c>
      <c r="DY123" s="228">
        <v>-0.01</v>
      </c>
      <c r="DZ123" s="229">
        <v>-2.5600000000000001E-2</v>
      </c>
      <c r="EA123" s="229">
        <v>7.2800000000000004E-2</v>
      </c>
      <c r="EB123" s="230">
        <v>1555700</v>
      </c>
      <c r="EC123" s="229">
        <v>2.8E-3</v>
      </c>
      <c r="ED123" s="229">
        <v>7.2800000000000004E-2</v>
      </c>
      <c r="EE123" s="228">
        <v>1.6</v>
      </c>
      <c r="EF123" s="229">
        <v>2.7000000000000001E-3</v>
      </c>
      <c r="EG123" s="230">
        <v>1090208</v>
      </c>
      <c r="EH123" s="230">
        <v>712364</v>
      </c>
      <c r="EI123" s="229">
        <v>0.53039999999999998</v>
      </c>
      <c r="EJ123" s="229">
        <v>0.40029999999999999</v>
      </c>
      <c r="EK123" s="228">
        <v>360.56</v>
      </c>
      <c r="EL123" s="228">
        <v>129.93</v>
      </c>
      <c r="EM123" s="228">
        <v>120.13</v>
      </c>
      <c r="EN123" s="228">
        <v>0</v>
      </c>
      <c r="EO123" s="228">
        <v>610.62</v>
      </c>
      <c r="EP123" s="228">
        <v>922.6</v>
      </c>
      <c r="EQ123" s="228">
        <v>-311.97000000000003</v>
      </c>
      <c r="ER123" s="229">
        <v>-0.33810000000000001</v>
      </c>
      <c r="ES123" s="228">
        <v>358.86</v>
      </c>
      <c r="ET123" s="228">
        <v>222.59</v>
      </c>
      <c r="EU123" s="231">
        <v>1313.54</v>
      </c>
      <c r="EV123" s="231">
        <v>76642895</v>
      </c>
      <c r="EW123" s="231">
        <v>1894.98</v>
      </c>
      <c r="EX123" s="231">
        <v>1926.75</v>
      </c>
      <c r="EY123" s="228">
        <v>-31.77</v>
      </c>
      <c r="EZ123" s="229">
        <v>-1.6500000000000001E-2</v>
      </c>
      <c r="FA123" s="229">
        <v>0.4178</v>
      </c>
      <c r="FB123" s="227" t="s">
        <v>556</v>
      </c>
      <c r="FC123">
        <f t="shared" si="1"/>
        <v>100</v>
      </c>
    </row>
    <row r="124" spans="1:159" ht="17.25" thickBot="1" x14ac:dyDescent="0.3">
      <c r="A124" s="226">
        <v>45860</v>
      </c>
      <c r="B124" s="227" t="s">
        <v>184</v>
      </c>
      <c r="C124" s="227" t="s">
        <v>678</v>
      </c>
      <c r="D124" s="228">
        <v>100</v>
      </c>
      <c r="E124" s="228">
        <v>9</v>
      </c>
      <c r="F124" s="231">
        <v>5797</v>
      </c>
      <c r="G124" s="231">
        <v>5919.5</v>
      </c>
      <c r="H124" s="228">
        <v>-122.5</v>
      </c>
      <c r="I124" s="229">
        <v>-2.07E-2</v>
      </c>
      <c r="J124" s="231">
        <v>5783</v>
      </c>
      <c r="K124" s="231">
        <v>5897</v>
      </c>
      <c r="L124" s="228">
        <v>-114</v>
      </c>
      <c r="M124" s="229">
        <v>-1.9300000000000001E-2</v>
      </c>
      <c r="N124" s="231">
        <v>5797</v>
      </c>
      <c r="O124" s="231">
        <v>5919.5</v>
      </c>
      <c r="P124" s="228">
        <v>-122.5</v>
      </c>
      <c r="Q124" s="229">
        <v>-2.07E-2</v>
      </c>
      <c r="R124" s="231">
        <v>5821.5</v>
      </c>
      <c r="S124" s="231">
        <v>5941.5</v>
      </c>
      <c r="T124" s="228">
        <v>-120</v>
      </c>
      <c r="U124" s="229">
        <v>-2.0199999999999999E-2</v>
      </c>
      <c r="V124" s="228">
        <v>0</v>
      </c>
      <c r="W124" s="228">
        <v>0</v>
      </c>
      <c r="X124" s="228">
        <v>0</v>
      </c>
      <c r="Y124" s="229">
        <v>0</v>
      </c>
      <c r="Z124" s="228">
        <v>14</v>
      </c>
      <c r="AA124" s="228">
        <v>22.5</v>
      </c>
      <c r="AB124" s="228">
        <v>-8.5</v>
      </c>
      <c r="AC124" s="229">
        <v>2.3999999999999998E-3</v>
      </c>
      <c r="AD124" s="228">
        <v>14</v>
      </c>
      <c r="AE124" s="228">
        <v>22.5</v>
      </c>
      <c r="AF124" s="228">
        <v>-8.5</v>
      </c>
      <c r="AG124" s="229">
        <v>2.3999999999999998E-3</v>
      </c>
      <c r="AH124" s="228">
        <v>38.5</v>
      </c>
      <c r="AI124" s="228">
        <v>44.5</v>
      </c>
      <c r="AJ124" s="228">
        <v>-6</v>
      </c>
      <c r="AK124" s="229">
        <v>6.7000000000000002E-3</v>
      </c>
      <c r="AL124" s="228">
        <v>0</v>
      </c>
      <c r="AM124" s="228">
        <v>0</v>
      </c>
      <c r="AN124" s="228">
        <v>0</v>
      </c>
      <c r="AO124" s="229">
        <v>0</v>
      </c>
      <c r="AP124" s="231">
        <v>5817.54</v>
      </c>
      <c r="AQ124" s="231">
        <v>5843.66</v>
      </c>
      <c r="AR124" s="228">
        <v>0</v>
      </c>
      <c r="AS124" s="228">
        <v>90</v>
      </c>
      <c r="AT124" s="228">
        <v>112</v>
      </c>
      <c r="AU124" s="228">
        <v>-22</v>
      </c>
      <c r="AV124" s="229">
        <v>-0.19769999999999999</v>
      </c>
      <c r="AW124" s="228">
        <v>80</v>
      </c>
      <c r="AX124" s="228">
        <v>103</v>
      </c>
      <c r="AY124" s="228">
        <v>-23</v>
      </c>
      <c r="AZ124" s="229">
        <v>-0.22220000000000001</v>
      </c>
      <c r="BA124" s="228">
        <v>9</v>
      </c>
      <c r="BB124" s="228">
        <v>9</v>
      </c>
      <c r="BC124" s="228">
        <v>0</v>
      </c>
      <c r="BD124" s="229">
        <v>-1.9199999999999998E-2</v>
      </c>
      <c r="BE124" s="228">
        <v>0</v>
      </c>
      <c r="BF124" s="228">
        <v>0</v>
      </c>
      <c r="BG124" s="228">
        <v>0</v>
      </c>
      <c r="BH124" s="229">
        <v>0</v>
      </c>
      <c r="BI124" s="228">
        <v>218</v>
      </c>
      <c r="BJ124" s="228">
        <v>276</v>
      </c>
      <c r="BK124" s="228">
        <v>-57</v>
      </c>
      <c r="BL124" s="229">
        <v>-0.2082</v>
      </c>
      <c r="BM124" s="228">
        <v>47</v>
      </c>
      <c r="BN124" s="228">
        <v>54</v>
      </c>
      <c r="BO124" s="228">
        <v>-8</v>
      </c>
      <c r="BP124" s="229">
        <v>-0.13919999999999999</v>
      </c>
      <c r="BQ124" s="228">
        <v>355</v>
      </c>
      <c r="BR124" s="228">
        <v>442</v>
      </c>
      <c r="BS124" s="228">
        <v>-87</v>
      </c>
      <c r="BT124" s="229">
        <v>-0.1971</v>
      </c>
      <c r="BU124" s="230">
        <v>195151</v>
      </c>
      <c r="BV124" s="230">
        <v>210350</v>
      </c>
      <c r="BW124" s="230">
        <v>-15199</v>
      </c>
      <c r="BX124" s="229">
        <v>-7.2300000000000003E-2</v>
      </c>
      <c r="BY124" s="228">
        <v>362</v>
      </c>
      <c r="BZ124" s="228">
        <v>360</v>
      </c>
      <c r="CA124" s="228">
        <v>2</v>
      </c>
      <c r="CB124" s="229">
        <v>5.5999999999999999E-3</v>
      </c>
      <c r="CC124" s="228">
        <v>328</v>
      </c>
      <c r="CD124" s="228">
        <v>333</v>
      </c>
      <c r="CE124" s="228">
        <v>-4</v>
      </c>
      <c r="CF124" s="229">
        <v>-1.34E-2</v>
      </c>
      <c r="CG124" s="228">
        <v>29</v>
      </c>
      <c r="CH124" s="228">
        <v>24</v>
      </c>
      <c r="CI124" s="228">
        <v>5</v>
      </c>
      <c r="CJ124" s="229">
        <v>0.22570000000000001</v>
      </c>
      <c r="CK124" s="228">
        <v>0</v>
      </c>
      <c r="CL124" s="228">
        <v>0</v>
      </c>
      <c r="CM124" s="228">
        <v>0</v>
      </c>
      <c r="CN124" s="229">
        <v>0</v>
      </c>
      <c r="CO124" s="228">
        <v>346</v>
      </c>
      <c r="CP124" s="228">
        <v>342</v>
      </c>
      <c r="CQ124" s="228">
        <v>3</v>
      </c>
      <c r="CR124" s="229">
        <v>9.7999999999999997E-3</v>
      </c>
      <c r="CS124" s="228">
        <v>145</v>
      </c>
      <c r="CT124" s="228">
        <v>142</v>
      </c>
      <c r="CU124" s="228">
        <v>2</v>
      </c>
      <c r="CV124" s="229">
        <v>1.7600000000000001E-2</v>
      </c>
      <c r="CW124" s="228">
        <v>852</v>
      </c>
      <c r="CX124" s="228">
        <v>844</v>
      </c>
      <c r="CY124" s="228">
        <v>8</v>
      </c>
      <c r="CZ124" s="229">
        <v>9.2999999999999992E-3</v>
      </c>
      <c r="DA124" s="228">
        <v>45.09</v>
      </c>
      <c r="DB124" s="228">
        <v>43.39</v>
      </c>
      <c r="DC124" s="228">
        <v>1.7</v>
      </c>
      <c r="DD124" s="228">
        <v>1.7</v>
      </c>
      <c r="DE124" s="228">
        <v>58.1</v>
      </c>
      <c r="DF124" s="228">
        <v>58.17</v>
      </c>
      <c r="DG124" s="228">
        <v>-13.01</v>
      </c>
      <c r="DH124" s="228">
        <v>-7.0000000000000007E-2</v>
      </c>
      <c r="DI124" s="228">
        <v>45.7</v>
      </c>
      <c r="DJ124" s="228">
        <v>43.47</v>
      </c>
      <c r="DK124" s="228">
        <v>2.23</v>
      </c>
      <c r="DL124" s="228">
        <v>2.23</v>
      </c>
      <c r="DM124" s="228">
        <v>42.26</v>
      </c>
      <c r="DN124" s="228">
        <v>42.97</v>
      </c>
      <c r="DO124" s="228">
        <v>-0.71</v>
      </c>
      <c r="DP124" s="228">
        <v>-0.71</v>
      </c>
      <c r="DQ124" s="228">
        <v>0.42</v>
      </c>
      <c r="DR124" s="228">
        <v>0.42</v>
      </c>
      <c r="DS124" s="228">
        <v>0</v>
      </c>
      <c r="DT124" s="229">
        <v>0</v>
      </c>
      <c r="DU124" s="231">
        <v>6000</v>
      </c>
      <c r="DV124" s="231">
        <v>6000</v>
      </c>
      <c r="DW124" s="228">
        <v>0.21</v>
      </c>
      <c r="DX124" s="228">
        <v>0.2</v>
      </c>
      <c r="DY124" s="228">
        <v>0.01</v>
      </c>
      <c r="DZ124" s="229">
        <v>0.05</v>
      </c>
      <c r="EA124" s="229">
        <v>8.09E-2</v>
      </c>
      <c r="EB124" s="230">
        <v>41200</v>
      </c>
      <c r="EC124" s="229">
        <v>4.1999999999999997E-3</v>
      </c>
      <c r="ED124" s="229">
        <v>8.09E-2</v>
      </c>
      <c r="EE124" s="228">
        <v>26.12</v>
      </c>
      <c r="EF124" s="229">
        <v>4.4999999999999997E-3</v>
      </c>
      <c r="EG124" s="230">
        <v>82618</v>
      </c>
      <c r="EH124" s="230">
        <v>60809</v>
      </c>
      <c r="EI124" s="229">
        <v>0.35859999999999997</v>
      </c>
      <c r="EJ124" s="229">
        <v>0.4234</v>
      </c>
      <c r="EK124" s="228">
        <v>238.35</v>
      </c>
      <c r="EL124" s="228">
        <v>47.3</v>
      </c>
      <c r="EM124" s="228">
        <v>90.22</v>
      </c>
      <c r="EN124" s="228">
        <v>0</v>
      </c>
      <c r="EO124" s="228">
        <v>375.87</v>
      </c>
      <c r="EP124" s="228">
        <v>467.99</v>
      </c>
      <c r="EQ124" s="228">
        <v>-92.12</v>
      </c>
      <c r="ER124" s="229">
        <v>-0.1968</v>
      </c>
      <c r="ES124" s="228">
        <v>372.5</v>
      </c>
      <c r="ET124" s="228">
        <v>146.28</v>
      </c>
      <c r="EU124" s="228">
        <v>362.13</v>
      </c>
      <c r="EV124" s="231">
        <v>5409447</v>
      </c>
      <c r="EW124" s="228">
        <v>880.91</v>
      </c>
      <c r="EX124" s="228">
        <v>882.02</v>
      </c>
      <c r="EY124" s="228">
        <v>-1.1100000000000001</v>
      </c>
      <c r="EZ124" s="229">
        <v>-1.2999999999999999E-3</v>
      </c>
      <c r="FA124" s="229">
        <v>0.2717</v>
      </c>
      <c r="FB124" s="227" t="s">
        <v>567</v>
      </c>
      <c r="FC124">
        <f t="shared" si="1"/>
        <v>34</v>
      </c>
    </row>
    <row r="125" spans="1:159" ht="17.25" thickBot="1" x14ac:dyDescent="0.3">
      <c r="A125" s="226">
        <v>45860</v>
      </c>
      <c r="B125" s="227" t="s">
        <v>161</v>
      </c>
      <c r="C125" s="227" t="s">
        <v>611</v>
      </c>
      <c r="D125" s="228">
        <v>175</v>
      </c>
      <c r="E125" s="228">
        <v>9</v>
      </c>
      <c r="F125" s="231">
        <v>3992.5</v>
      </c>
      <c r="G125" s="231">
        <v>3978</v>
      </c>
      <c r="H125" s="228">
        <v>14.5</v>
      </c>
      <c r="I125" s="229">
        <v>3.5999999999999999E-3</v>
      </c>
      <c r="J125" s="231">
        <v>3990.3</v>
      </c>
      <c r="K125" s="231">
        <v>3972.4</v>
      </c>
      <c r="L125" s="228">
        <v>17.899999999999999</v>
      </c>
      <c r="M125" s="229">
        <v>4.4999999999999997E-3</v>
      </c>
      <c r="N125" s="231">
        <v>3992.5</v>
      </c>
      <c r="O125" s="231">
        <v>3978</v>
      </c>
      <c r="P125" s="228">
        <v>14.5</v>
      </c>
      <c r="Q125" s="229">
        <v>3.5999999999999999E-3</v>
      </c>
      <c r="R125" s="231">
        <v>3997.8</v>
      </c>
      <c r="S125" s="231">
        <v>3972.4</v>
      </c>
      <c r="T125" s="228">
        <v>25.4</v>
      </c>
      <c r="U125" s="229">
        <v>6.4000000000000003E-3</v>
      </c>
      <c r="V125" s="228">
        <v>0</v>
      </c>
      <c r="W125" s="228">
        <v>0</v>
      </c>
      <c r="X125" s="228">
        <v>0</v>
      </c>
      <c r="Y125" s="229">
        <v>0</v>
      </c>
      <c r="Z125" s="228">
        <v>2.2000000000000002</v>
      </c>
      <c r="AA125" s="228">
        <v>5.6</v>
      </c>
      <c r="AB125" s="228">
        <v>-3.4</v>
      </c>
      <c r="AC125" s="229">
        <v>5.9999999999999995E-4</v>
      </c>
      <c r="AD125" s="228">
        <v>2.2000000000000002</v>
      </c>
      <c r="AE125" s="228">
        <v>5.6</v>
      </c>
      <c r="AF125" s="228">
        <v>-3.4</v>
      </c>
      <c r="AG125" s="229">
        <v>5.9999999999999995E-4</v>
      </c>
      <c r="AH125" s="228">
        <v>7.5</v>
      </c>
      <c r="AI125" s="228">
        <v>0</v>
      </c>
      <c r="AJ125" s="228">
        <v>7.5</v>
      </c>
      <c r="AK125" s="229">
        <v>1.9E-3</v>
      </c>
      <c r="AL125" s="228">
        <v>0</v>
      </c>
      <c r="AM125" s="228">
        <v>0</v>
      </c>
      <c r="AN125" s="228">
        <v>0</v>
      </c>
      <c r="AO125" s="229">
        <v>0</v>
      </c>
      <c r="AP125" s="231">
        <v>3996.29</v>
      </c>
      <c r="AQ125" s="231">
        <v>4001.46</v>
      </c>
      <c r="AR125" s="228">
        <v>0</v>
      </c>
      <c r="AS125" s="228">
        <v>228</v>
      </c>
      <c r="AT125" s="228">
        <v>202</v>
      </c>
      <c r="AU125" s="228">
        <v>26</v>
      </c>
      <c r="AV125" s="229">
        <v>0.13039999999999999</v>
      </c>
      <c r="AW125" s="228">
        <v>200</v>
      </c>
      <c r="AX125" s="228">
        <v>173</v>
      </c>
      <c r="AY125" s="228">
        <v>27</v>
      </c>
      <c r="AZ125" s="229">
        <v>0.154</v>
      </c>
      <c r="BA125" s="228">
        <v>26</v>
      </c>
      <c r="BB125" s="228">
        <v>27</v>
      </c>
      <c r="BC125" s="228">
        <v>-1</v>
      </c>
      <c r="BD125" s="229">
        <v>-5.3400000000000003E-2</v>
      </c>
      <c r="BE125" s="228">
        <v>0</v>
      </c>
      <c r="BF125" s="228">
        <v>0</v>
      </c>
      <c r="BG125" s="228">
        <v>0</v>
      </c>
      <c r="BH125" s="229">
        <v>0</v>
      </c>
      <c r="BI125" s="230">
        <v>1048</v>
      </c>
      <c r="BJ125" s="228">
        <v>468</v>
      </c>
      <c r="BK125" s="228">
        <v>579</v>
      </c>
      <c r="BL125" s="229">
        <v>1.2369000000000001</v>
      </c>
      <c r="BM125" s="228">
        <v>353</v>
      </c>
      <c r="BN125" s="228">
        <v>178</v>
      </c>
      <c r="BO125" s="228">
        <v>175</v>
      </c>
      <c r="BP125" s="229">
        <v>0.98540000000000005</v>
      </c>
      <c r="BQ125" s="230">
        <v>1629</v>
      </c>
      <c r="BR125" s="228">
        <v>848</v>
      </c>
      <c r="BS125" s="228">
        <v>781</v>
      </c>
      <c r="BT125" s="229">
        <v>0.92069999999999996</v>
      </c>
      <c r="BU125" s="230">
        <v>348972</v>
      </c>
      <c r="BV125" s="230">
        <v>375375</v>
      </c>
      <c r="BW125" s="230">
        <v>-26403</v>
      </c>
      <c r="BX125" s="229">
        <v>-7.0300000000000001E-2</v>
      </c>
      <c r="BY125" s="228">
        <v>474</v>
      </c>
      <c r="BZ125" s="228">
        <v>477</v>
      </c>
      <c r="CA125" s="228">
        <v>-3</v>
      </c>
      <c r="CB125" s="229">
        <v>-6.6E-3</v>
      </c>
      <c r="CC125" s="228">
        <v>429</v>
      </c>
      <c r="CD125" s="228">
        <v>436</v>
      </c>
      <c r="CE125" s="228">
        <v>-8</v>
      </c>
      <c r="CF125" s="229">
        <v>-1.78E-2</v>
      </c>
      <c r="CG125" s="228">
        <v>42</v>
      </c>
      <c r="CH125" s="228">
        <v>38</v>
      </c>
      <c r="CI125" s="228">
        <v>4</v>
      </c>
      <c r="CJ125" s="229">
        <v>9.8400000000000001E-2</v>
      </c>
      <c r="CK125" s="228">
        <v>0</v>
      </c>
      <c r="CL125" s="228">
        <v>0</v>
      </c>
      <c r="CM125" s="228">
        <v>0</v>
      </c>
      <c r="CN125" s="229">
        <v>0</v>
      </c>
      <c r="CO125" s="228">
        <v>326</v>
      </c>
      <c r="CP125" s="228">
        <v>243</v>
      </c>
      <c r="CQ125" s="228">
        <v>83</v>
      </c>
      <c r="CR125" s="229">
        <v>0.34200000000000003</v>
      </c>
      <c r="CS125" s="228">
        <v>202</v>
      </c>
      <c r="CT125" s="228">
        <v>154</v>
      </c>
      <c r="CU125" s="228">
        <v>49</v>
      </c>
      <c r="CV125" s="229">
        <v>0.31709999999999999</v>
      </c>
      <c r="CW125" s="230">
        <v>1002</v>
      </c>
      <c r="CX125" s="228">
        <v>873</v>
      </c>
      <c r="CY125" s="228">
        <v>129</v>
      </c>
      <c r="CZ125" s="229">
        <v>0.14729999999999999</v>
      </c>
      <c r="DA125" s="228">
        <v>43.43</v>
      </c>
      <c r="DB125" s="228">
        <v>40.49</v>
      </c>
      <c r="DC125" s="228">
        <v>2.94</v>
      </c>
      <c r="DD125" s="228">
        <v>2.94</v>
      </c>
      <c r="DE125" s="228">
        <v>53.92</v>
      </c>
      <c r="DF125" s="228">
        <v>54.05</v>
      </c>
      <c r="DG125" s="228">
        <v>-10.49</v>
      </c>
      <c r="DH125" s="228">
        <v>-0.13</v>
      </c>
      <c r="DI125" s="228">
        <v>43.57</v>
      </c>
      <c r="DJ125" s="228">
        <v>40.68</v>
      </c>
      <c r="DK125" s="228">
        <v>2.89</v>
      </c>
      <c r="DL125" s="228">
        <v>2.89</v>
      </c>
      <c r="DM125" s="228">
        <v>43.03</v>
      </c>
      <c r="DN125" s="228">
        <v>40.01</v>
      </c>
      <c r="DO125" s="228">
        <v>3.02</v>
      </c>
      <c r="DP125" s="228">
        <v>3.02</v>
      </c>
      <c r="DQ125" s="228">
        <v>0.62</v>
      </c>
      <c r="DR125" s="228">
        <v>0.63</v>
      </c>
      <c r="DS125" s="228">
        <v>-0.01</v>
      </c>
      <c r="DT125" s="229">
        <v>-1.5900000000000001E-2</v>
      </c>
      <c r="DU125" s="231">
        <v>4000</v>
      </c>
      <c r="DV125" s="231">
        <v>3800</v>
      </c>
      <c r="DW125" s="228">
        <v>0.34</v>
      </c>
      <c r="DX125" s="228">
        <v>0.38</v>
      </c>
      <c r="DY125" s="228">
        <v>-0.04</v>
      </c>
      <c r="DZ125" s="229">
        <v>-0.1053</v>
      </c>
      <c r="EA125" s="229">
        <v>8.8900000000000007E-2</v>
      </c>
      <c r="EB125" s="230">
        <v>96075</v>
      </c>
      <c r="EC125" s="229">
        <v>1.2999999999999999E-3</v>
      </c>
      <c r="ED125" s="229">
        <v>8.8900000000000007E-2</v>
      </c>
      <c r="EE125" s="228">
        <v>5.17</v>
      </c>
      <c r="EF125" s="229">
        <v>1.2999999999999999E-3</v>
      </c>
      <c r="EG125" s="230">
        <v>139446</v>
      </c>
      <c r="EH125" s="230">
        <v>171911</v>
      </c>
      <c r="EI125" s="229">
        <v>-0.1888</v>
      </c>
      <c r="EJ125" s="229">
        <v>0.39960000000000001</v>
      </c>
      <c r="EK125" s="231">
        <v>1095.98</v>
      </c>
      <c r="EL125" s="228">
        <v>343.98</v>
      </c>
      <c r="EM125" s="228">
        <v>228.52</v>
      </c>
      <c r="EN125" s="228">
        <v>0</v>
      </c>
      <c r="EO125" s="231">
        <v>1668.48</v>
      </c>
      <c r="EP125" s="228">
        <v>857.47</v>
      </c>
      <c r="EQ125" s="228">
        <v>811.01</v>
      </c>
      <c r="ER125" s="229">
        <v>0.94579999999999997</v>
      </c>
      <c r="ES125" s="228">
        <v>332.71</v>
      </c>
      <c r="ET125" s="228">
        <v>189.79</v>
      </c>
      <c r="EU125" s="228">
        <v>473.77</v>
      </c>
      <c r="EV125" s="231">
        <v>12418320</v>
      </c>
      <c r="EW125" s="228">
        <v>996.27</v>
      </c>
      <c r="EX125" s="228">
        <v>862.97</v>
      </c>
      <c r="EY125" s="228">
        <v>133.30000000000001</v>
      </c>
      <c r="EZ125" s="229">
        <v>0.1545</v>
      </c>
      <c r="FA125" s="229">
        <v>0.2021</v>
      </c>
      <c r="FB125" s="227" t="s">
        <v>556</v>
      </c>
      <c r="FC125">
        <f t="shared" si="1"/>
        <v>45</v>
      </c>
    </row>
    <row r="126" spans="1:159" ht="17.25" thickBot="1" x14ac:dyDescent="0.3">
      <c r="A126" s="226">
        <v>45860</v>
      </c>
      <c r="B126" s="227" t="s">
        <v>175</v>
      </c>
      <c r="C126" s="227" t="s">
        <v>685</v>
      </c>
      <c r="D126" s="228">
        <v>450</v>
      </c>
      <c r="E126" s="228">
        <v>9</v>
      </c>
      <c r="F126" s="231">
        <v>1283.0999999999999</v>
      </c>
      <c r="G126" s="231">
        <v>1276.5</v>
      </c>
      <c r="H126" s="228">
        <v>6.6</v>
      </c>
      <c r="I126" s="229">
        <v>5.1999999999999998E-3</v>
      </c>
      <c r="J126" s="231">
        <v>1282.4000000000001</v>
      </c>
      <c r="K126" s="231">
        <v>1274.2</v>
      </c>
      <c r="L126" s="228">
        <v>8.1999999999999993</v>
      </c>
      <c r="M126" s="229">
        <v>6.4000000000000003E-3</v>
      </c>
      <c r="N126" s="231">
        <v>1283.0999999999999</v>
      </c>
      <c r="O126" s="231">
        <v>1276.5</v>
      </c>
      <c r="P126" s="228">
        <v>6.6</v>
      </c>
      <c r="Q126" s="229">
        <v>5.1999999999999998E-3</v>
      </c>
      <c r="R126" s="231">
        <v>1285.7</v>
      </c>
      <c r="S126" s="231">
        <v>1279</v>
      </c>
      <c r="T126" s="228">
        <v>6.7</v>
      </c>
      <c r="U126" s="229">
        <v>5.1999999999999998E-3</v>
      </c>
      <c r="V126" s="228">
        <v>0</v>
      </c>
      <c r="W126" s="228">
        <v>0</v>
      </c>
      <c r="X126" s="228">
        <v>0</v>
      </c>
      <c r="Y126" s="229">
        <v>0</v>
      </c>
      <c r="Z126" s="228">
        <v>0.7</v>
      </c>
      <c r="AA126" s="228">
        <v>2.2999999999999998</v>
      </c>
      <c r="AB126" s="228">
        <v>-1.6</v>
      </c>
      <c r="AC126" s="229">
        <v>5.0000000000000001E-4</v>
      </c>
      <c r="AD126" s="228">
        <v>0.7</v>
      </c>
      <c r="AE126" s="228">
        <v>2.2999999999999998</v>
      </c>
      <c r="AF126" s="228">
        <v>-1.6</v>
      </c>
      <c r="AG126" s="229">
        <v>5.0000000000000001E-4</v>
      </c>
      <c r="AH126" s="228">
        <v>3.3</v>
      </c>
      <c r="AI126" s="228">
        <v>4.8</v>
      </c>
      <c r="AJ126" s="228">
        <v>-1.5</v>
      </c>
      <c r="AK126" s="229">
        <v>2.5999999999999999E-3</v>
      </c>
      <c r="AL126" s="228">
        <v>0</v>
      </c>
      <c r="AM126" s="228">
        <v>0</v>
      </c>
      <c r="AN126" s="228">
        <v>0</v>
      </c>
      <c r="AO126" s="229">
        <v>0</v>
      </c>
      <c r="AP126" s="231">
        <v>1279.32</v>
      </c>
      <c r="AQ126" s="231">
        <v>1281.8800000000001</v>
      </c>
      <c r="AR126" s="228">
        <v>0</v>
      </c>
      <c r="AS126" s="228">
        <v>81</v>
      </c>
      <c r="AT126" s="228">
        <v>42</v>
      </c>
      <c r="AU126" s="228">
        <v>39</v>
      </c>
      <c r="AV126" s="229">
        <v>0.91390000000000005</v>
      </c>
      <c r="AW126" s="228">
        <v>77</v>
      </c>
      <c r="AX126" s="228">
        <v>38</v>
      </c>
      <c r="AY126" s="228">
        <v>39</v>
      </c>
      <c r="AZ126" s="229">
        <v>1.0091000000000001</v>
      </c>
      <c r="BA126" s="228">
        <v>4</v>
      </c>
      <c r="BB126" s="228">
        <v>4</v>
      </c>
      <c r="BC126" s="228">
        <v>0</v>
      </c>
      <c r="BD126" s="229">
        <v>-8.4500000000000006E-2</v>
      </c>
      <c r="BE126" s="228">
        <v>0</v>
      </c>
      <c r="BF126" s="228">
        <v>0</v>
      </c>
      <c r="BG126" s="228">
        <v>0</v>
      </c>
      <c r="BH126" s="229">
        <v>0</v>
      </c>
      <c r="BI126" s="228">
        <v>59</v>
      </c>
      <c r="BJ126" s="228">
        <v>70</v>
      </c>
      <c r="BK126" s="228">
        <v>-12</v>
      </c>
      <c r="BL126" s="229">
        <v>-0.16669999999999999</v>
      </c>
      <c r="BM126" s="228">
        <v>10</v>
      </c>
      <c r="BN126" s="228">
        <v>16</v>
      </c>
      <c r="BO126" s="228">
        <v>-6</v>
      </c>
      <c r="BP126" s="229">
        <v>-0.34889999999999999</v>
      </c>
      <c r="BQ126" s="228">
        <v>150</v>
      </c>
      <c r="BR126" s="228">
        <v>129</v>
      </c>
      <c r="BS126" s="228">
        <v>21</v>
      </c>
      <c r="BT126" s="229">
        <v>0.1656</v>
      </c>
      <c r="BU126" s="230">
        <v>878404</v>
      </c>
      <c r="BV126" s="230">
        <v>455807</v>
      </c>
      <c r="BW126" s="230">
        <v>422597</v>
      </c>
      <c r="BX126" s="229">
        <v>0.92710000000000004</v>
      </c>
      <c r="BY126" s="228">
        <v>136</v>
      </c>
      <c r="BZ126" s="228">
        <v>147</v>
      </c>
      <c r="CA126" s="228">
        <v>-11</v>
      </c>
      <c r="CB126" s="229">
        <v>-7.3300000000000004E-2</v>
      </c>
      <c r="CC126" s="228">
        <v>125</v>
      </c>
      <c r="CD126" s="228">
        <v>137</v>
      </c>
      <c r="CE126" s="228">
        <v>-13</v>
      </c>
      <c r="CF126" s="229">
        <v>-9.1399999999999995E-2</v>
      </c>
      <c r="CG126" s="228">
        <v>10</v>
      </c>
      <c r="CH126" s="228">
        <v>8</v>
      </c>
      <c r="CI126" s="228">
        <v>2</v>
      </c>
      <c r="CJ126" s="229">
        <v>0.1915</v>
      </c>
      <c r="CK126" s="228">
        <v>0</v>
      </c>
      <c r="CL126" s="228">
        <v>0</v>
      </c>
      <c r="CM126" s="228">
        <v>0</v>
      </c>
      <c r="CN126" s="229">
        <v>0</v>
      </c>
      <c r="CO126" s="228">
        <v>113</v>
      </c>
      <c r="CP126" s="228">
        <v>113</v>
      </c>
      <c r="CQ126" s="228">
        <v>0</v>
      </c>
      <c r="CR126" s="229">
        <v>0</v>
      </c>
      <c r="CS126" s="228">
        <v>38</v>
      </c>
      <c r="CT126" s="228">
        <v>41</v>
      </c>
      <c r="CU126" s="228">
        <v>-3</v>
      </c>
      <c r="CV126" s="229">
        <v>-7.1400000000000005E-2</v>
      </c>
      <c r="CW126" s="228">
        <v>287</v>
      </c>
      <c r="CX126" s="228">
        <v>300</v>
      </c>
      <c r="CY126" s="228">
        <v>-14</v>
      </c>
      <c r="CZ126" s="229">
        <v>-4.5600000000000002E-2</v>
      </c>
      <c r="DA126" s="228">
        <v>50.39</v>
      </c>
      <c r="DB126" s="228">
        <v>50.81</v>
      </c>
      <c r="DC126" s="228">
        <v>-0.42</v>
      </c>
      <c r="DD126" s="228">
        <v>-0.42</v>
      </c>
      <c r="DE126" s="228">
        <v>60.53</v>
      </c>
      <c r="DF126" s="228">
        <v>60.68</v>
      </c>
      <c r="DG126" s="228">
        <v>-10.14</v>
      </c>
      <c r="DH126" s="228">
        <v>-0.15</v>
      </c>
      <c r="DI126" s="228">
        <v>50.39</v>
      </c>
      <c r="DJ126" s="228">
        <v>51.44</v>
      </c>
      <c r="DK126" s="228">
        <v>-1.05</v>
      </c>
      <c r="DL126" s="228">
        <v>-1.05</v>
      </c>
      <c r="DM126" s="228">
        <v>50.44</v>
      </c>
      <c r="DN126" s="228">
        <v>48.05</v>
      </c>
      <c r="DO126" s="228">
        <v>2.39</v>
      </c>
      <c r="DP126" s="228">
        <v>2.39</v>
      </c>
      <c r="DQ126" s="228">
        <v>0.34</v>
      </c>
      <c r="DR126" s="228">
        <v>0.37</v>
      </c>
      <c r="DS126" s="228">
        <v>-0.03</v>
      </c>
      <c r="DT126" s="229">
        <v>-8.1100000000000005E-2</v>
      </c>
      <c r="DU126" s="231">
        <v>1300</v>
      </c>
      <c r="DV126" s="231">
        <v>1200</v>
      </c>
      <c r="DW126" s="228">
        <v>0.18</v>
      </c>
      <c r="DX126" s="228">
        <v>0.23</v>
      </c>
      <c r="DY126" s="228">
        <v>-0.05</v>
      </c>
      <c r="DZ126" s="229">
        <v>-0.21740000000000001</v>
      </c>
      <c r="EA126" s="229">
        <v>7.1400000000000005E-2</v>
      </c>
      <c r="EB126" s="230">
        <v>63450</v>
      </c>
      <c r="EC126" s="229">
        <v>2E-3</v>
      </c>
      <c r="ED126" s="229">
        <v>7.1400000000000005E-2</v>
      </c>
      <c r="EE126" s="228">
        <v>2.56</v>
      </c>
      <c r="EF126" s="229">
        <v>2E-3</v>
      </c>
      <c r="EG126" s="230">
        <v>479724</v>
      </c>
      <c r="EH126" s="230">
        <v>169774</v>
      </c>
      <c r="EI126" s="229">
        <v>1.8257000000000001</v>
      </c>
      <c r="EJ126" s="229">
        <v>0.54610000000000003</v>
      </c>
      <c r="EK126" s="228">
        <v>61.95</v>
      </c>
      <c r="EL126" s="228">
        <v>10.28</v>
      </c>
      <c r="EM126" s="228">
        <v>80.67</v>
      </c>
      <c r="EN126" s="228">
        <v>0</v>
      </c>
      <c r="EO126" s="228">
        <v>152.88999999999999</v>
      </c>
      <c r="EP126" s="228">
        <v>133.59</v>
      </c>
      <c r="EQ126" s="228">
        <v>19.309999999999999</v>
      </c>
      <c r="ER126" s="229">
        <v>0.14449999999999999</v>
      </c>
      <c r="ES126" s="228">
        <v>121.61</v>
      </c>
      <c r="ET126" s="228">
        <v>36.56</v>
      </c>
      <c r="EU126" s="228">
        <v>135.83000000000001</v>
      </c>
      <c r="EV126" s="231">
        <v>23088182</v>
      </c>
      <c r="EW126" s="228">
        <v>294</v>
      </c>
      <c r="EX126" s="228">
        <v>306.91000000000003</v>
      </c>
      <c r="EY126" s="228">
        <v>-12.91</v>
      </c>
      <c r="EZ126" s="229">
        <v>-4.2099999999999999E-2</v>
      </c>
      <c r="FA126" s="229">
        <v>9.6799999999999997E-2</v>
      </c>
      <c r="FB126" s="227" t="s">
        <v>556</v>
      </c>
      <c r="FC126">
        <f t="shared" si="1"/>
        <v>11</v>
      </c>
    </row>
    <row r="127" spans="1:159" ht="17.25" thickBot="1" x14ac:dyDescent="0.3">
      <c r="A127" s="226">
        <v>45860</v>
      </c>
      <c r="B127" s="227" t="s">
        <v>172</v>
      </c>
      <c r="C127" s="227" t="s">
        <v>246</v>
      </c>
      <c r="D127" s="228">
        <v>400</v>
      </c>
      <c r="E127" s="228">
        <v>9</v>
      </c>
      <c r="F127" s="231">
        <v>2161.8000000000002</v>
      </c>
      <c r="G127" s="231">
        <v>2166.8000000000002</v>
      </c>
      <c r="H127" s="228">
        <v>-5</v>
      </c>
      <c r="I127" s="229">
        <v>-2.3E-3</v>
      </c>
      <c r="J127" s="231">
        <v>2160.1999999999998</v>
      </c>
      <c r="K127" s="231">
        <v>2165.1999999999998</v>
      </c>
      <c r="L127" s="228">
        <v>-5</v>
      </c>
      <c r="M127" s="229">
        <v>-2.3E-3</v>
      </c>
      <c r="N127" s="231">
        <v>2161.8000000000002</v>
      </c>
      <c r="O127" s="231">
        <v>2166.8000000000002</v>
      </c>
      <c r="P127" s="228">
        <v>-5</v>
      </c>
      <c r="Q127" s="229">
        <v>-2.3E-3</v>
      </c>
      <c r="R127" s="231">
        <v>2172.8000000000002</v>
      </c>
      <c r="S127" s="231">
        <v>2177.1999999999998</v>
      </c>
      <c r="T127" s="228">
        <v>-4.4000000000000004</v>
      </c>
      <c r="U127" s="229">
        <v>-2E-3</v>
      </c>
      <c r="V127" s="228">
        <v>0</v>
      </c>
      <c r="W127" s="228">
        <v>0</v>
      </c>
      <c r="X127" s="228">
        <v>0</v>
      </c>
      <c r="Y127" s="229">
        <v>0</v>
      </c>
      <c r="Z127" s="228">
        <v>1.6</v>
      </c>
      <c r="AA127" s="228">
        <v>1.6</v>
      </c>
      <c r="AB127" s="228">
        <v>0</v>
      </c>
      <c r="AC127" s="229">
        <v>6.9999999999999999E-4</v>
      </c>
      <c r="AD127" s="228">
        <v>1.6</v>
      </c>
      <c r="AE127" s="228">
        <v>1.6</v>
      </c>
      <c r="AF127" s="228">
        <v>0</v>
      </c>
      <c r="AG127" s="229">
        <v>6.9999999999999999E-4</v>
      </c>
      <c r="AH127" s="228">
        <v>12.6</v>
      </c>
      <c r="AI127" s="228">
        <v>12</v>
      </c>
      <c r="AJ127" s="228">
        <v>0.6</v>
      </c>
      <c r="AK127" s="229">
        <v>5.7999999999999996E-3</v>
      </c>
      <c r="AL127" s="228">
        <v>0</v>
      </c>
      <c r="AM127" s="228">
        <v>0</v>
      </c>
      <c r="AN127" s="228">
        <v>0</v>
      </c>
      <c r="AO127" s="229">
        <v>0</v>
      </c>
      <c r="AP127" s="231">
        <v>2157.08</v>
      </c>
      <c r="AQ127" s="231">
        <v>2166.16</v>
      </c>
      <c r="AR127" s="228">
        <v>0</v>
      </c>
      <c r="AS127" s="228">
        <v>679</v>
      </c>
      <c r="AT127" s="228">
        <v>869</v>
      </c>
      <c r="AU127" s="228">
        <v>-190</v>
      </c>
      <c r="AV127" s="229">
        <v>-0.21820000000000001</v>
      </c>
      <c r="AW127" s="228">
        <v>533</v>
      </c>
      <c r="AX127" s="228">
        <v>762</v>
      </c>
      <c r="AY127" s="228">
        <v>-229</v>
      </c>
      <c r="AZ127" s="229">
        <v>-0.30070000000000002</v>
      </c>
      <c r="BA127" s="228">
        <v>141</v>
      </c>
      <c r="BB127" s="228">
        <v>104</v>
      </c>
      <c r="BC127" s="228">
        <v>37</v>
      </c>
      <c r="BD127" s="229">
        <v>0.36059999999999998</v>
      </c>
      <c r="BE127" s="228">
        <v>0</v>
      </c>
      <c r="BF127" s="228">
        <v>0</v>
      </c>
      <c r="BG127" s="228">
        <v>0</v>
      </c>
      <c r="BH127" s="229">
        <v>0</v>
      </c>
      <c r="BI127" s="230">
        <v>1299</v>
      </c>
      <c r="BJ127" s="230">
        <v>2074</v>
      </c>
      <c r="BK127" s="228">
        <v>-775</v>
      </c>
      <c r="BL127" s="229">
        <v>-0.37359999999999999</v>
      </c>
      <c r="BM127" s="228">
        <v>787</v>
      </c>
      <c r="BN127" s="230">
        <v>1163</v>
      </c>
      <c r="BO127" s="228">
        <v>-376</v>
      </c>
      <c r="BP127" s="229">
        <v>-0.32350000000000001</v>
      </c>
      <c r="BQ127" s="230">
        <v>2765</v>
      </c>
      <c r="BR127" s="230">
        <v>4106</v>
      </c>
      <c r="BS127" s="230">
        <v>-1341</v>
      </c>
      <c r="BT127" s="229">
        <v>-0.32650000000000001</v>
      </c>
      <c r="BU127" s="230">
        <v>1588966</v>
      </c>
      <c r="BV127" s="230">
        <v>1863293</v>
      </c>
      <c r="BW127" s="230">
        <v>-274327</v>
      </c>
      <c r="BX127" s="229">
        <v>-0.1472</v>
      </c>
      <c r="BY127" s="230">
        <v>7179</v>
      </c>
      <c r="BZ127" s="230">
        <v>7088</v>
      </c>
      <c r="CA127" s="228">
        <v>92</v>
      </c>
      <c r="CB127" s="229">
        <v>1.29E-2</v>
      </c>
      <c r="CC127" s="230">
        <v>5759</v>
      </c>
      <c r="CD127" s="230">
        <v>5727</v>
      </c>
      <c r="CE127" s="228">
        <v>32</v>
      </c>
      <c r="CF127" s="229">
        <v>5.5999999999999999E-3</v>
      </c>
      <c r="CG127" s="230">
        <v>1360</v>
      </c>
      <c r="CH127" s="230">
        <v>1300</v>
      </c>
      <c r="CI127" s="228">
        <v>60</v>
      </c>
      <c r="CJ127" s="229">
        <v>4.5999999999999999E-2</v>
      </c>
      <c r="CK127" s="228">
        <v>0</v>
      </c>
      <c r="CL127" s="228">
        <v>0</v>
      </c>
      <c r="CM127" s="228">
        <v>0</v>
      </c>
      <c r="CN127" s="229">
        <v>0</v>
      </c>
      <c r="CO127" s="230">
        <v>1852</v>
      </c>
      <c r="CP127" s="230">
        <v>1835</v>
      </c>
      <c r="CQ127" s="228">
        <v>16</v>
      </c>
      <c r="CR127" s="229">
        <v>8.9999999999999993E-3</v>
      </c>
      <c r="CS127" s="230">
        <v>1510</v>
      </c>
      <c r="CT127" s="230">
        <v>1514</v>
      </c>
      <c r="CU127" s="228">
        <v>-4</v>
      </c>
      <c r="CV127" s="229">
        <v>-2.8999999999999998E-3</v>
      </c>
      <c r="CW127" s="230">
        <v>10541</v>
      </c>
      <c r="CX127" s="230">
        <v>10437</v>
      </c>
      <c r="CY127" s="228">
        <v>104</v>
      </c>
      <c r="CZ127" s="229">
        <v>9.9000000000000008E-3</v>
      </c>
      <c r="DA127" s="228">
        <v>27.97</v>
      </c>
      <c r="DB127" s="228">
        <v>27.34</v>
      </c>
      <c r="DC127" s="228">
        <v>0.63</v>
      </c>
      <c r="DD127" s="228">
        <v>0.63</v>
      </c>
      <c r="DE127" s="228">
        <v>27.59</v>
      </c>
      <c r="DF127" s="228">
        <v>27.66</v>
      </c>
      <c r="DG127" s="228">
        <v>0.38</v>
      </c>
      <c r="DH127" s="228">
        <v>-7.0000000000000007E-2</v>
      </c>
      <c r="DI127" s="228">
        <v>27.67</v>
      </c>
      <c r="DJ127" s="228">
        <v>26.75</v>
      </c>
      <c r="DK127" s="228">
        <v>0.92</v>
      </c>
      <c r="DL127" s="228">
        <v>0.92</v>
      </c>
      <c r="DM127" s="228">
        <v>28.45</v>
      </c>
      <c r="DN127" s="228">
        <v>28.39</v>
      </c>
      <c r="DO127" s="228">
        <v>0.06</v>
      </c>
      <c r="DP127" s="228">
        <v>0.06</v>
      </c>
      <c r="DQ127" s="228">
        <v>0.82</v>
      </c>
      <c r="DR127" s="228">
        <v>0.83</v>
      </c>
      <c r="DS127" s="228">
        <v>-0.01</v>
      </c>
      <c r="DT127" s="229">
        <v>-1.2E-2</v>
      </c>
      <c r="DU127" s="231">
        <v>2200</v>
      </c>
      <c r="DV127" s="231">
        <v>2100</v>
      </c>
      <c r="DW127" s="228">
        <v>0.61</v>
      </c>
      <c r="DX127" s="228">
        <v>0.56000000000000005</v>
      </c>
      <c r="DY127" s="228">
        <v>0.05</v>
      </c>
      <c r="DZ127" s="229">
        <v>8.9300000000000004E-2</v>
      </c>
      <c r="EA127" s="229">
        <v>0.18940000000000001</v>
      </c>
      <c r="EB127" s="230">
        <v>6015200</v>
      </c>
      <c r="EC127" s="229">
        <v>5.1000000000000004E-3</v>
      </c>
      <c r="ED127" s="229">
        <v>0.18940000000000001</v>
      </c>
      <c r="EE127" s="228">
        <v>9.08</v>
      </c>
      <c r="EF127" s="229">
        <v>4.1999999999999997E-3</v>
      </c>
      <c r="EG127" s="230">
        <v>1054042</v>
      </c>
      <c r="EH127" s="230">
        <v>1290618</v>
      </c>
      <c r="EI127" s="229">
        <v>-0.18329999999999999</v>
      </c>
      <c r="EJ127" s="229">
        <v>0.66339999999999999</v>
      </c>
      <c r="EK127" s="231">
        <v>1343.13</v>
      </c>
      <c r="EL127" s="228">
        <v>781.1</v>
      </c>
      <c r="EM127" s="228">
        <v>678.23</v>
      </c>
      <c r="EN127" s="228">
        <v>0</v>
      </c>
      <c r="EO127" s="231">
        <v>2802.45</v>
      </c>
      <c r="EP127" s="231">
        <v>4163.95</v>
      </c>
      <c r="EQ127" s="231">
        <v>-1361.5</v>
      </c>
      <c r="ER127" s="229">
        <v>-0.32700000000000001</v>
      </c>
      <c r="ES127" s="231">
        <v>1950.53</v>
      </c>
      <c r="ET127" s="231">
        <v>1455.63</v>
      </c>
      <c r="EU127" s="231">
        <v>7186.97</v>
      </c>
      <c r="EV127" s="231">
        <v>294716519</v>
      </c>
      <c r="EW127" s="231">
        <v>10593.13</v>
      </c>
      <c r="EX127" s="231">
        <v>10505.35</v>
      </c>
      <c r="EY127" s="228">
        <v>87.78</v>
      </c>
      <c r="EZ127" s="229">
        <v>8.3999999999999995E-3</v>
      </c>
      <c r="FA127" s="229">
        <v>0.16539999999999999</v>
      </c>
      <c r="FB127" s="227" t="s">
        <v>567</v>
      </c>
      <c r="FC127">
        <f t="shared" si="1"/>
        <v>1420</v>
      </c>
    </row>
    <row r="128" spans="1:159" ht="17.25" thickBot="1" x14ac:dyDescent="0.3">
      <c r="A128" s="226">
        <v>45860</v>
      </c>
      <c r="B128" s="227" t="s">
        <v>221</v>
      </c>
      <c r="C128" s="227" t="s">
        <v>578</v>
      </c>
      <c r="D128" s="228">
        <v>400</v>
      </c>
      <c r="E128" s="228">
        <v>9</v>
      </c>
      <c r="F128" s="231">
        <v>1252.5999999999999</v>
      </c>
      <c r="G128" s="231">
        <v>1263.9000000000001</v>
      </c>
      <c r="H128" s="228">
        <v>-11.3</v>
      </c>
      <c r="I128" s="229">
        <v>-8.8999999999999999E-3</v>
      </c>
      <c r="J128" s="231">
        <v>1256</v>
      </c>
      <c r="K128" s="231">
        <v>1264.5999999999999</v>
      </c>
      <c r="L128" s="228">
        <v>-8.6</v>
      </c>
      <c r="M128" s="229">
        <v>-6.7999999999999996E-3</v>
      </c>
      <c r="N128" s="231">
        <v>1252.5999999999999</v>
      </c>
      <c r="O128" s="231">
        <v>1263.9000000000001</v>
      </c>
      <c r="P128" s="228">
        <v>-11.3</v>
      </c>
      <c r="Q128" s="229">
        <v>-8.8999999999999999E-3</v>
      </c>
      <c r="R128" s="231">
        <v>1255.0999999999999</v>
      </c>
      <c r="S128" s="231">
        <v>1267.4000000000001</v>
      </c>
      <c r="T128" s="228">
        <v>-12.3</v>
      </c>
      <c r="U128" s="229">
        <v>-9.7000000000000003E-3</v>
      </c>
      <c r="V128" s="228">
        <v>0</v>
      </c>
      <c r="W128" s="228">
        <v>0</v>
      </c>
      <c r="X128" s="228">
        <v>0</v>
      </c>
      <c r="Y128" s="229">
        <v>0</v>
      </c>
      <c r="Z128" s="228">
        <v>-3.4</v>
      </c>
      <c r="AA128" s="228">
        <v>-0.7</v>
      </c>
      <c r="AB128" s="228">
        <v>-2.7</v>
      </c>
      <c r="AC128" s="229">
        <v>-2.7000000000000001E-3</v>
      </c>
      <c r="AD128" s="228">
        <v>-3.4</v>
      </c>
      <c r="AE128" s="228">
        <v>-0.7</v>
      </c>
      <c r="AF128" s="228">
        <v>-2.7</v>
      </c>
      <c r="AG128" s="229">
        <v>-2.7000000000000001E-3</v>
      </c>
      <c r="AH128" s="228">
        <v>-0.9</v>
      </c>
      <c r="AI128" s="228">
        <v>2.8</v>
      </c>
      <c r="AJ128" s="228">
        <v>-3.7</v>
      </c>
      <c r="AK128" s="229">
        <v>-6.9999999999999999E-4</v>
      </c>
      <c r="AL128" s="228">
        <v>0</v>
      </c>
      <c r="AM128" s="228">
        <v>0</v>
      </c>
      <c r="AN128" s="228">
        <v>0</v>
      </c>
      <c r="AO128" s="229">
        <v>0</v>
      </c>
      <c r="AP128" s="231">
        <v>1253.8499999999999</v>
      </c>
      <c r="AQ128" s="231">
        <v>1256.56</v>
      </c>
      <c r="AR128" s="228">
        <v>0</v>
      </c>
      <c r="AS128" s="228">
        <v>64</v>
      </c>
      <c r="AT128" s="228">
        <v>67</v>
      </c>
      <c r="AU128" s="228">
        <v>-3</v>
      </c>
      <c r="AV128" s="229">
        <v>-4.4900000000000002E-2</v>
      </c>
      <c r="AW128" s="228">
        <v>44</v>
      </c>
      <c r="AX128" s="228">
        <v>52</v>
      </c>
      <c r="AY128" s="228">
        <v>-8</v>
      </c>
      <c r="AZ128" s="229">
        <v>-0.1605</v>
      </c>
      <c r="BA128" s="228">
        <v>19</v>
      </c>
      <c r="BB128" s="228">
        <v>13</v>
      </c>
      <c r="BC128" s="228">
        <v>5</v>
      </c>
      <c r="BD128" s="229">
        <v>0.4098</v>
      </c>
      <c r="BE128" s="228">
        <v>0</v>
      </c>
      <c r="BF128" s="228">
        <v>0</v>
      </c>
      <c r="BG128" s="228">
        <v>0</v>
      </c>
      <c r="BH128" s="229">
        <v>0</v>
      </c>
      <c r="BI128" s="228">
        <v>121</v>
      </c>
      <c r="BJ128" s="228">
        <v>173</v>
      </c>
      <c r="BK128" s="228">
        <v>-52</v>
      </c>
      <c r="BL128" s="229">
        <v>-0.3</v>
      </c>
      <c r="BM128" s="228">
        <v>57</v>
      </c>
      <c r="BN128" s="228">
        <v>49</v>
      </c>
      <c r="BO128" s="228">
        <v>8</v>
      </c>
      <c r="BP128" s="229">
        <v>0.1545</v>
      </c>
      <c r="BQ128" s="228">
        <v>242</v>
      </c>
      <c r="BR128" s="228">
        <v>289</v>
      </c>
      <c r="BS128" s="228">
        <v>-47</v>
      </c>
      <c r="BT128" s="229">
        <v>-0.1633</v>
      </c>
      <c r="BU128" s="230">
        <v>445421</v>
      </c>
      <c r="BV128" s="230">
        <v>422144</v>
      </c>
      <c r="BW128" s="230">
        <v>23277</v>
      </c>
      <c r="BX128" s="229">
        <v>5.5100000000000003E-2</v>
      </c>
      <c r="BY128" s="228">
        <v>621</v>
      </c>
      <c r="BZ128" s="228">
        <v>607</v>
      </c>
      <c r="CA128" s="228">
        <v>14</v>
      </c>
      <c r="CB128" s="229">
        <v>2.3199999999999998E-2</v>
      </c>
      <c r="CC128" s="228">
        <v>561</v>
      </c>
      <c r="CD128" s="228">
        <v>553</v>
      </c>
      <c r="CE128" s="228">
        <v>8</v>
      </c>
      <c r="CF128" s="229">
        <v>1.5299999999999999E-2</v>
      </c>
      <c r="CG128" s="228">
        <v>53</v>
      </c>
      <c r="CH128" s="228">
        <v>48</v>
      </c>
      <c r="CI128" s="228">
        <v>5</v>
      </c>
      <c r="CJ128" s="229">
        <v>0.1028</v>
      </c>
      <c r="CK128" s="228">
        <v>0</v>
      </c>
      <c r="CL128" s="228">
        <v>0</v>
      </c>
      <c r="CM128" s="228">
        <v>0</v>
      </c>
      <c r="CN128" s="229">
        <v>0</v>
      </c>
      <c r="CO128" s="228">
        <v>429</v>
      </c>
      <c r="CP128" s="228">
        <v>427</v>
      </c>
      <c r="CQ128" s="228">
        <v>2</v>
      </c>
      <c r="CR128" s="229">
        <v>4.1999999999999997E-3</v>
      </c>
      <c r="CS128" s="228">
        <v>285</v>
      </c>
      <c r="CT128" s="228">
        <v>275</v>
      </c>
      <c r="CU128" s="228">
        <v>10</v>
      </c>
      <c r="CV128" s="229">
        <v>3.7499999999999999E-2</v>
      </c>
      <c r="CW128" s="230">
        <v>1335</v>
      </c>
      <c r="CX128" s="230">
        <v>1309</v>
      </c>
      <c r="CY128" s="228">
        <v>26</v>
      </c>
      <c r="CZ128" s="229">
        <v>0.02</v>
      </c>
      <c r="DA128" s="228">
        <v>38.92</v>
      </c>
      <c r="DB128" s="228">
        <v>39.01</v>
      </c>
      <c r="DC128" s="228">
        <v>-0.09</v>
      </c>
      <c r="DD128" s="228">
        <v>-0.09</v>
      </c>
      <c r="DE128" s="228">
        <v>46.4</v>
      </c>
      <c r="DF128" s="228">
        <v>46.5</v>
      </c>
      <c r="DG128" s="228">
        <v>-7.48</v>
      </c>
      <c r="DH128" s="228">
        <v>-0.1</v>
      </c>
      <c r="DI128" s="228">
        <v>39.76</v>
      </c>
      <c r="DJ128" s="228">
        <v>39.479999999999997</v>
      </c>
      <c r="DK128" s="228">
        <v>0.28000000000000003</v>
      </c>
      <c r="DL128" s="228">
        <v>0.28000000000000003</v>
      </c>
      <c r="DM128" s="228">
        <v>37.15</v>
      </c>
      <c r="DN128" s="228">
        <v>37.36</v>
      </c>
      <c r="DO128" s="228">
        <v>-0.21</v>
      </c>
      <c r="DP128" s="228">
        <v>-0.21</v>
      </c>
      <c r="DQ128" s="228">
        <v>0.67</v>
      </c>
      <c r="DR128" s="228">
        <v>0.64</v>
      </c>
      <c r="DS128" s="228">
        <v>0.03</v>
      </c>
      <c r="DT128" s="229">
        <v>4.6899999999999997E-2</v>
      </c>
      <c r="DU128" s="231">
        <v>1300</v>
      </c>
      <c r="DV128" s="231">
        <v>1200</v>
      </c>
      <c r="DW128" s="228">
        <v>0.47</v>
      </c>
      <c r="DX128" s="228">
        <v>0.28999999999999998</v>
      </c>
      <c r="DY128" s="228">
        <v>0.18</v>
      </c>
      <c r="DZ128" s="229">
        <v>0.62070000000000003</v>
      </c>
      <c r="EA128" s="229">
        <v>8.5699999999999998E-2</v>
      </c>
      <c r="EB128" s="230">
        <v>385200</v>
      </c>
      <c r="EC128" s="229">
        <v>2E-3</v>
      </c>
      <c r="ED128" s="229">
        <v>8.5699999999999998E-2</v>
      </c>
      <c r="EE128" s="228">
        <v>2.71</v>
      </c>
      <c r="EF128" s="229">
        <v>2.2000000000000001E-3</v>
      </c>
      <c r="EG128" s="230">
        <v>245241</v>
      </c>
      <c r="EH128" s="230">
        <v>225431</v>
      </c>
      <c r="EI128" s="229">
        <v>8.7900000000000006E-2</v>
      </c>
      <c r="EJ128" s="229">
        <v>0.55059999999999998</v>
      </c>
      <c r="EK128" s="228">
        <v>127.91</v>
      </c>
      <c r="EL128" s="228">
        <v>55.3</v>
      </c>
      <c r="EM128" s="228">
        <v>64.09</v>
      </c>
      <c r="EN128" s="228">
        <v>0</v>
      </c>
      <c r="EO128" s="228">
        <v>247.3</v>
      </c>
      <c r="EP128" s="228">
        <v>301.18</v>
      </c>
      <c r="EQ128" s="228">
        <v>-53.88</v>
      </c>
      <c r="ER128" s="229">
        <v>-0.1789</v>
      </c>
      <c r="ES128" s="228">
        <v>458.76</v>
      </c>
      <c r="ET128" s="228">
        <v>277.33999999999997</v>
      </c>
      <c r="EU128" s="228">
        <v>621.16</v>
      </c>
      <c r="EV128" s="231">
        <v>32698512</v>
      </c>
      <c r="EW128" s="231">
        <v>1357.27</v>
      </c>
      <c r="EX128" s="231">
        <v>1337.62</v>
      </c>
      <c r="EY128" s="228">
        <v>19.649999999999999</v>
      </c>
      <c r="EZ128" s="229">
        <v>1.47E-2</v>
      </c>
      <c r="FA128" s="229">
        <v>0.32600000000000001</v>
      </c>
      <c r="FB128" s="227" t="s">
        <v>567</v>
      </c>
      <c r="FC128">
        <f t="shared" si="1"/>
        <v>60</v>
      </c>
    </row>
    <row r="129" spans="1:159" ht="17.25" thickBot="1" x14ac:dyDescent="0.3">
      <c r="A129" s="226">
        <v>45860</v>
      </c>
      <c r="B129" s="227" t="s">
        <v>170</v>
      </c>
      <c r="C129" s="227" t="s">
        <v>535</v>
      </c>
      <c r="D129" s="228">
        <v>1700</v>
      </c>
      <c r="E129" s="228">
        <v>9</v>
      </c>
      <c r="F129" s="228">
        <v>824.75</v>
      </c>
      <c r="G129" s="228">
        <v>830.25</v>
      </c>
      <c r="H129" s="228">
        <v>-5.5</v>
      </c>
      <c r="I129" s="229">
        <v>-6.6E-3</v>
      </c>
      <c r="J129" s="228">
        <v>823.35</v>
      </c>
      <c r="K129" s="228">
        <v>829.45</v>
      </c>
      <c r="L129" s="228">
        <v>-6.1</v>
      </c>
      <c r="M129" s="229">
        <v>-7.4000000000000003E-3</v>
      </c>
      <c r="N129" s="228">
        <v>824.75</v>
      </c>
      <c r="O129" s="228">
        <v>830.25</v>
      </c>
      <c r="P129" s="228">
        <v>-5.5</v>
      </c>
      <c r="Q129" s="229">
        <v>-6.6E-3</v>
      </c>
      <c r="R129" s="228">
        <v>828.9</v>
      </c>
      <c r="S129" s="228">
        <v>834</v>
      </c>
      <c r="T129" s="228">
        <v>-5.0999999999999996</v>
      </c>
      <c r="U129" s="229">
        <v>-6.1000000000000004E-3</v>
      </c>
      <c r="V129" s="228">
        <v>0</v>
      </c>
      <c r="W129" s="228">
        <v>0</v>
      </c>
      <c r="X129" s="228">
        <v>0</v>
      </c>
      <c r="Y129" s="229">
        <v>0</v>
      </c>
      <c r="Z129" s="228">
        <v>1.4</v>
      </c>
      <c r="AA129" s="228">
        <v>0.8</v>
      </c>
      <c r="AB129" s="228">
        <v>0.6</v>
      </c>
      <c r="AC129" s="229">
        <v>1.6999999999999999E-3</v>
      </c>
      <c r="AD129" s="228">
        <v>1.4</v>
      </c>
      <c r="AE129" s="228">
        <v>0.8</v>
      </c>
      <c r="AF129" s="228">
        <v>0.6</v>
      </c>
      <c r="AG129" s="229">
        <v>1.6999999999999999E-3</v>
      </c>
      <c r="AH129" s="228">
        <v>5.55</v>
      </c>
      <c r="AI129" s="228">
        <v>4.55</v>
      </c>
      <c r="AJ129" s="228">
        <v>1</v>
      </c>
      <c r="AK129" s="229">
        <v>6.7000000000000002E-3</v>
      </c>
      <c r="AL129" s="228">
        <v>0</v>
      </c>
      <c r="AM129" s="228">
        <v>0</v>
      </c>
      <c r="AN129" s="228">
        <v>0</v>
      </c>
      <c r="AO129" s="229">
        <v>0</v>
      </c>
      <c r="AP129" s="228">
        <v>823.2</v>
      </c>
      <c r="AQ129" s="228">
        <v>827</v>
      </c>
      <c r="AR129" s="228">
        <v>0</v>
      </c>
      <c r="AS129" s="228">
        <v>287</v>
      </c>
      <c r="AT129" s="228">
        <v>245</v>
      </c>
      <c r="AU129" s="228">
        <v>43</v>
      </c>
      <c r="AV129" s="229">
        <v>0.1749</v>
      </c>
      <c r="AW129" s="228">
        <v>231</v>
      </c>
      <c r="AX129" s="228">
        <v>204</v>
      </c>
      <c r="AY129" s="228">
        <v>27</v>
      </c>
      <c r="AZ129" s="229">
        <v>0.1343</v>
      </c>
      <c r="BA129" s="228">
        <v>54</v>
      </c>
      <c r="BB129" s="228">
        <v>39</v>
      </c>
      <c r="BC129" s="228">
        <v>14</v>
      </c>
      <c r="BD129" s="229">
        <v>0.36919999999999997</v>
      </c>
      <c r="BE129" s="228">
        <v>0</v>
      </c>
      <c r="BF129" s="228">
        <v>0</v>
      </c>
      <c r="BG129" s="228">
        <v>0</v>
      </c>
      <c r="BH129" s="229">
        <v>0</v>
      </c>
      <c r="BI129" s="228">
        <v>650</v>
      </c>
      <c r="BJ129" s="228">
        <v>679</v>
      </c>
      <c r="BK129" s="228">
        <v>-28</v>
      </c>
      <c r="BL129" s="229">
        <v>-4.19E-2</v>
      </c>
      <c r="BM129" s="228">
        <v>517</v>
      </c>
      <c r="BN129" s="228">
        <v>573</v>
      </c>
      <c r="BO129" s="228">
        <v>-56</v>
      </c>
      <c r="BP129" s="229">
        <v>-9.8299999999999998E-2</v>
      </c>
      <c r="BQ129" s="230">
        <v>1454</v>
      </c>
      <c r="BR129" s="230">
        <v>1496</v>
      </c>
      <c r="BS129" s="228">
        <v>-42</v>
      </c>
      <c r="BT129" s="229">
        <v>-2.81E-2</v>
      </c>
      <c r="BU129" s="230">
        <v>987312</v>
      </c>
      <c r="BV129" s="230">
        <v>1263512</v>
      </c>
      <c r="BW129" s="230">
        <v>-276200</v>
      </c>
      <c r="BX129" s="229">
        <v>-0.21859999999999999</v>
      </c>
      <c r="BY129" s="230">
        <v>1785</v>
      </c>
      <c r="BZ129" s="230">
        <v>1806</v>
      </c>
      <c r="CA129" s="228">
        <v>-21</v>
      </c>
      <c r="CB129" s="229">
        <v>-1.1599999999999999E-2</v>
      </c>
      <c r="CC129" s="230">
        <v>1650</v>
      </c>
      <c r="CD129" s="230">
        <v>1674</v>
      </c>
      <c r="CE129" s="228">
        <v>-24</v>
      </c>
      <c r="CF129" s="229">
        <v>-1.43E-2</v>
      </c>
      <c r="CG129" s="228">
        <v>110</v>
      </c>
      <c r="CH129" s="228">
        <v>107</v>
      </c>
      <c r="CI129" s="228">
        <v>2</v>
      </c>
      <c r="CJ129" s="229">
        <v>2.23E-2</v>
      </c>
      <c r="CK129" s="228">
        <v>0</v>
      </c>
      <c r="CL129" s="228">
        <v>0</v>
      </c>
      <c r="CM129" s="228">
        <v>0</v>
      </c>
      <c r="CN129" s="229">
        <v>0</v>
      </c>
      <c r="CO129" s="230">
        <v>1370</v>
      </c>
      <c r="CP129" s="230">
        <v>1367</v>
      </c>
      <c r="CQ129" s="228">
        <v>3</v>
      </c>
      <c r="CR129" s="229">
        <v>1.9E-3</v>
      </c>
      <c r="CS129" s="230">
        <v>1585</v>
      </c>
      <c r="CT129" s="230">
        <v>1590</v>
      </c>
      <c r="CU129" s="228">
        <v>-4</v>
      </c>
      <c r="CV129" s="229">
        <v>-2.8E-3</v>
      </c>
      <c r="CW129" s="230">
        <v>4740</v>
      </c>
      <c r="CX129" s="230">
        <v>4763</v>
      </c>
      <c r="CY129" s="228">
        <v>-23</v>
      </c>
      <c r="CZ129" s="229">
        <v>-4.7999999999999996E-3</v>
      </c>
      <c r="DA129" s="228">
        <v>39.65</v>
      </c>
      <c r="DB129" s="228">
        <v>38.840000000000003</v>
      </c>
      <c r="DC129" s="228">
        <v>0.81</v>
      </c>
      <c r="DD129" s="228">
        <v>0.81</v>
      </c>
      <c r="DE129" s="228">
        <v>42.46</v>
      </c>
      <c r="DF129" s="228">
        <v>42.56</v>
      </c>
      <c r="DG129" s="228">
        <v>-2.81</v>
      </c>
      <c r="DH129" s="228">
        <v>-0.1</v>
      </c>
      <c r="DI129" s="228">
        <v>38.14</v>
      </c>
      <c r="DJ129" s="228">
        <v>36.6</v>
      </c>
      <c r="DK129" s="228">
        <v>1.54</v>
      </c>
      <c r="DL129" s="228">
        <v>1.54</v>
      </c>
      <c r="DM129" s="228">
        <v>41.55</v>
      </c>
      <c r="DN129" s="228">
        <v>41.49</v>
      </c>
      <c r="DO129" s="228">
        <v>0.06</v>
      </c>
      <c r="DP129" s="228">
        <v>0.06</v>
      </c>
      <c r="DQ129" s="228">
        <v>1.1599999999999999</v>
      </c>
      <c r="DR129" s="228">
        <v>1.1599999999999999</v>
      </c>
      <c r="DS129" s="228">
        <v>0</v>
      </c>
      <c r="DT129" s="229">
        <v>0</v>
      </c>
      <c r="DU129" s="228">
        <v>840</v>
      </c>
      <c r="DV129" s="228">
        <v>780</v>
      </c>
      <c r="DW129" s="228">
        <v>0.79</v>
      </c>
      <c r="DX129" s="228">
        <v>0.84</v>
      </c>
      <c r="DY129" s="228">
        <v>-0.05</v>
      </c>
      <c r="DZ129" s="229">
        <v>-5.9499999999999997E-2</v>
      </c>
      <c r="EA129" s="229">
        <v>6.1400000000000003E-2</v>
      </c>
      <c r="EB129" s="230">
        <v>1298800</v>
      </c>
      <c r="EC129" s="229">
        <v>5.0000000000000001E-3</v>
      </c>
      <c r="ED129" s="229">
        <v>6.1400000000000003E-2</v>
      </c>
      <c r="EE129" s="228">
        <v>3.8</v>
      </c>
      <c r="EF129" s="229">
        <v>4.5999999999999999E-3</v>
      </c>
      <c r="EG129" s="230">
        <v>372054</v>
      </c>
      <c r="EH129" s="230">
        <v>610396</v>
      </c>
      <c r="EI129" s="229">
        <v>-0.39050000000000001</v>
      </c>
      <c r="EJ129" s="229">
        <v>0.37680000000000002</v>
      </c>
      <c r="EK129" s="228">
        <v>678.45</v>
      </c>
      <c r="EL129" s="228">
        <v>500.55</v>
      </c>
      <c r="EM129" s="228">
        <v>287.01</v>
      </c>
      <c r="EN129" s="228">
        <v>0</v>
      </c>
      <c r="EO129" s="231">
        <v>1466.01</v>
      </c>
      <c r="EP129" s="231">
        <v>1504.6</v>
      </c>
      <c r="EQ129" s="228">
        <v>-38.590000000000003</v>
      </c>
      <c r="ER129" s="229">
        <v>-2.5700000000000001E-2</v>
      </c>
      <c r="ES129" s="231">
        <v>1341.45</v>
      </c>
      <c r="ET129" s="231">
        <v>1429.86</v>
      </c>
      <c r="EU129" s="231">
        <v>1785.32</v>
      </c>
      <c r="EV129" s="231">
        <v>78058155</v>
      </c>
      <c r="EW129" s="231">
        <v>4556.6400000000003</v>
      </c>
      <c r="EX129" s="231">
        <v>4587.8100000000004</v>
      </c>
      <c r="EY129" s="228">
        <v>-31.17</v>
      </c>
      <c r="EZ129" s="229">
        <v>-6.7999999999999996E-3</v>
      </c>
      <c r="FA129" s="229">
        <v>0.73619999999999997</v>
      </c>
      <c r="FB129" s="227" t="s">
        <v>568</v>
      </c>
      <c r="FC129">
        <f t="shared" si="1"/>
        <v>135</v>
      </c>
    </row>
    <row r="130" spans="1:159" ht="17.25" thickBot="1" x14ac:dyDescent="0.3">
      <c r="A130" s="226">
        <v>45860</v>
      </c>
      <c r="B130" s="227" t="s">
        <v>175</v>
      </c>
      <c r="C130" s="227" t="s">
        <v>248</v>
      </c>
      <c r="D130" s="228">
        <v>1000</v>
      </c>
      <c r="E130" s="228">
        <v>9</v>
      </c>
      <c r="F130" s="228">
        <v>621.9</v>
      </c>
      <c r="G130" s="228">
        <v>625.79999999999995</v>
      </c>
      <c r="H130" s="228">
        <v>-3.9</v>
      </c>
      <c r="I130" s="229">
        <v>-6.1999999999999998E-3</v>
      </c>
      <c r="J130" s="228">
        <v>620.20000000000005</v>
      </c>
      <c r="K130" s="228">
        <v>623.65</v>
      </c>
      <c r="L130" s="228">
        <v>-3.45</v>
      </c>
      <c r="M130" s="229">
        <v>-5.4999999999999997E-3</v>
      </c>
      <c r="N130" s="228">
        <v>621.9</v>
      </c>
      <c r="O130" s="228">
        <v>625.79999999999995</v>
      </c>
      <c r="P130" s="228">
        <v>-3.9</v>
      </c>
      <c r="Q130" s="229">
        <v>-6.1999999999999998E-3</v>
      </c>
      <c r="R130" s="228">
        <v>618</v>
      </c>
      <c r="S130" s="228">
        <v>621.85</v>
      </c>
      <c r="T130" s="228">
        <v>-3.85</v>
      </c>
      <c r="U130" s="229">
        <v>-6.1999999999999998E-3</v>
      </c>
      <c r="V130" s="228">
        <v>0</v>
      </c>
      <c r="W130" s="228">
        <v>0</v>
      </c>
      <c r="X130" s="228">
        <v>0</v>
      </c>
      <c r="Y130" s="229">
        <v>0</v>
      </c>
      <c r="Z130" s="228">
        <v>1.7</v>
      </c>
      <c r="AA130" s="228">
        <v>2.15</v>
      </c>
      <c r="AB130" s="228">
        <v>-0.45</v>
      </c>
      <c r="AC130" s="229">
        <v>2.7000000000000001E-3</v>
      </c>
      <c r="AD130" s="228">
        <v>1.7</v>
      </c>
      <c r="AE130" s="228">
        <v>2.15</v>
      </c>
      <c r="AF130" s="228">
        <v>-0.45</v>
      </c>
      <c r="AG130" s="229">
        <v>2.7000000000000001E-3</v>
      </c>
      <c r="AH130" s="228">
        <v>-2.2000000000000002</v>
      </c>
      <c r="AI130" s="228">
        <v>-1.8</v>
      </c>
      <c r="AJ130" s="228">
        <v>-0.4</v>
      </c>
      <c r="AK130" s="229">
        <v>-3.5000000000000001E-3</v>
      </c>
      <c r="AL130" s="228">
        <v>0</v>
      </c>
      <c r="AM130" s="228">
        <v>0</v>
      </c>
      <c r="AN130" s="228">
        <v>0</v>
      </c>
      <c r="AO130" s="229">
        <v>0</v>
      </c>
      <c r="AP130" s="228">
        <v>627.15</v>
      </c>
      <c r="AQ130" s="228">
        <v>622.96</v>
      </c>
      <c r="AR130" s="228">
        <v>0</v>
      </c>
      <c r="AS130" s="228">
        <v>347</v>
      </c>
      <c r="AT130" s="228">
        <v>260</v>
      </c>
      <c r="AU130" s="228">
        <v>87</v>
      </c>
      <c r="AV130" s="229">
        <v>0.3342</v>
      </c>
      <c r="AW130" s="228">
        <v>212</v>
      </c>
      <c r="AX130" s="228">
        <v>155</v>
      </c>
      <c r="AY130" s="228">
        <v>57</v>
      </c>
      <c r="AZ130" s="229">
        <v>0.3639</v>
      </c>
      <c r="BA130" s="228">
        <v>89</v>
      </c>
      <c r="BB130" s="228">
        <v>64</v>
      </c>
      <c r="BC130" s="228">
        <v>25</v>
      </c>
      <c r="BD130" s="229">
        <v>0.38569999999999999</v>
      </c>
      <c r="BE130" s="228">
        <v>0</v>
      </c>
      <c r="BF130" s="228">
        <v>0</v>
      </c>
      <c r="BG130" s="228">
        <v>0</v>
      </c>
      <c r="BH130" s="229">
        <v>0</v>
      </c>
      <c r="BI130" s="228">
        <v>529</v>
      </c>
      <c r="BJ130" s="228">
        <v>601</v>
      </c>
      <c r="BK130" s="228">
        <v>-72</v>
      </c>
      <c r="BL130" s="229">
        <v>-0.1202</v>
      </c>
      <c r="BM130" s="228">
        <v>170</v>
      </c>
      <c r="BN130" s="228">
        <v>202</v>
      </c>
      <c r="BO130" s="228">
        <v>-33</v>
      </c>
      <c r="BP130" s="229">
        <v>-0.16139999999999999</v>
      </c>
      <c r="BQ130" s="230">
        <v>1046</v>
      </c>
      <c r="BR130" s="230">
        <v>1063</v>
      </c>
      <c r="BS130" s="228">
        <v>-18</v>
      </c>
      <c r="BT130" s="229">
        <v>-1.6799999999999999E-2</v>
      </c>
      <c r="BU130" s="230">
        <v>1089886</v>
      </c>
      <c r="BV130" s="230">
        <v>1296573</v>
      </c>
      <c r="BW130" s="230">
        <v>-206687</v>
      </c>
      <c r="BX130" s="229">
        <v>-0.15939999999999999</v>
      </c>
      <c r="BY130" s="230">
        <v>1761</v>
      </c>
      <c r="BZ130" s="230">
        <v>1727</v>
      </c>
      <c r="CA130" s="228">
        <v>34</v>
      </c>
      <c r="CB130" s="229">
        <v>1.9800000000000002E-2</v>
      </c>
      <c r="CC130" s="230">
        <v>1188</v>
      </c>
      <c r="CD130" s="230">
        <v>1229</v>
      </c>
      <c r="CE130" s="228">
        <v>-41</v>
      </c>
      <c r="CF130" s="229">
        <v>-3.3399999999999999E-2</v>
      </c>
      <c r="CG130" s="228">
        <v>351</v>
      </c>
      <c r="CH130" s="228">
        <v>311</v>
      </c>
      <c r="CI130" s="228">
        <v>41</v>
      </c>
      <c r="CJ130" s="229">
        <v>0.13109999999999999</v>
      </c>
      <c r="CK130" s="228">
        <v>0</v>
      </c>
      <c r="CL130" s="228">
        <v>0</v>
      </c>
      <c r="CM130" s="228">
        <v>0</v>
      </c>
      <c r="CN130" s="229">
        <v>0</v>
      </c>
      <c r="CO130" s="228">
        <v>520</v>
      </c>
      <c r="CP130" s="228">
        <v>509</v>
      </c>
      <c r="CQ130" s="228">
        <v>12</v>
      </c>
      <c r="CR130" s="229">
        <v>2.3099999999999999E-2</v>
      </c>
      <c r="CS130" s="228">
        <v>443</v>
      </c>
      <c r="CT130" s="228">
        <v>447</v>
      </c>
      <c r="CU130" s="228">
        <v>-4</v>
      </c>
      <c r="CV130" s="229">
        <v>-9.2999999999999992E-3</v>
      </c>
      <c r="CW130" s="230">
        <v>2724</v>
      </c>
      <c r="CX130" s="230">
        <v>2683</v>
      </c>
      <c r="CY130" s="228">
        <v>42</v>
      </c>
      <c r="CZ130" s="229">
        <v>1.5599999999999999E-2</v>
      </c>
      <c r="DA130" s="228">
        <v>24.89</v>
      </c>
      <c r="DB130" s="228">
        <v>24.78</v>
      </c>
      <c r="DC130" s="228">
        <v>0.11</v>
      </c>
      <c r="DD130" s="228">
        <v>0.11</v>
      </c>
      <c r="DE130" s="228">
        <v>37.729999999999997</v>
      </c>
      <c r="DF130" s="228">
        <v>37.81</v>
      </c>
      <c r="DG130" s="228">
        <v>-12.84</v>
      </c>
      <c r="DH130" s="228">
        <v>-0.08</v>
      </c>
      <c r="DI130" s="228">
        <v>24.92</v>
      </c>
      <c r="DJ130" s="228">
        <v>24.58</v>
      </c>
      <c r="DK130" s="228">
        <v>0.34</v>
      </c>
      <c r="DL130" s="228">
        <v>0.34</v>
      </c>
      <c r="DM130" s="228">
        <v>24.78</v>
      </c>
      <c r="DN130" s="228">
        <v>25.38</v>
      </c>
      <c r="DO130" s="228">
        <v>-0.6</v>
      </c>
      <c r="DP130" s="228">
        <v>-0.6</v>
      </c>
      <c r="DQ130" s="228">
        <v>0.85</v>
      </c>
      <c r="DR130" s="228">
        <v>0.88</v>
      </c>
      <c r="DS130" s="228">
        <v>-0.03</v>
      </c>
      <c r="DT130" s="229">
        <v>-3.4099999999999998E-2</v>
      </c>
      <c r="DU130" s="228">
        <v>640</v>
      </c>
      <c r="DV130" s="228">
        <v>600</v>
      </c>
      <c r="DW130" s="228">
        <v>0.32</v>
      </c>
      <c r="DX130" s="228">
        <v>0.34</v>
      </c>
      <c r="DY130" s="228">
        <v>-0.02</v>
      </c>
      <c r="DZ130" s="229">
        <v>-5.8799999999999998E-2</v>
      </c>
      <c r="EA130" s="229">
        <v>0.1996</v>
      </c>
      <c r="EB130" s="230">
        <v>4997000</v>
      </c>
      <c r="EC130" s="229">
        <v>-6.3E-3</v>
      </c>
      <c r="ED130" s="229">
        <v>0.1996</v>
      </c>
      <c r="EE130" s="228">
        <v>-4.1900000000000004</v>
      </c>
      <c r="EF130" s="229">
        <v>-6.7000000000000002E-3</v>
      </c>
      <c r="EG130" s="230">
        <v>451264</v>
      </c>
      <c r="EH130" s="230">
        <v>625055</v>
      </c>
      <c r="EI130" s="229">
        <v>-0.27800000000000002</v>
      </c>
      <c r="EJ130" s="229">
        <v>0.41399999999999998</v>
      </c>
      <c r="EK130" s="228">
        <v>552.22</v>
      </c>
      <c r="EL130" s="228">
        <v>168.35</v>
      </c>
      <c r="EM130" s="228">
        <v>349.4</v>
      </c>
      <c r="EN130" s="228">
        <v>0</v>
      </c>
      <c r="EO130" s="231">
        <v>1069.98</v>
      </c>
      <c r="EP130" s="231">
        <v>1091.1099999999999</v>
      </c>
      <c r="EQ130" s="228">
        <v>-21.14</v>
      </c>
      <c r="ER130" s="229">
        <v>-1.9400000000000001E-2</v>
      </c>
      <c r="ES130" s="228">
        <v>537.66999999999996</v>
      </c>
      <c r="ET130" s="228">
        <v>427.55</v>
      </c>
      <c r="EU130" s="231">
        <v>1758.11</v>
      </c>
      <c r="EV130" s="231">
        <v>60244101</v>
      </c>
      <c r="EW130" s="231">
        <v>2723.33</v>
      </c>
      <c r="EX130" s="231">
        <v>2692.16</v>
      </c>
      <c r="EY130" s="228">
        <v>31.17</v>
      </c>
      <c r="EZ130" s="229">
        <v>1.1599999999999999E-2</v>
      </c>
      <c r="FA130" s="229">
        <v>0.72719999999999996</v>
      </c>
      <c r="FB130" s="227" t="s">
        <v>567</v>
      </c>
      <c r="FC130">
        <f t="shared" si="1"/>
        <v>573</v>
      </c>
    </row>
    <row r="131" spans="1:159" ht="17.25" thickBot="1" x14ac:dyDescent="0.3">
      <c r="A131" s="226">
        <v>45860</v>
      </c>
      <c r="B131" s="227" t="s">
        <v>175</v>
      </c>
      <c r="C131" s="227" t="s">
        <v>608</v>
      </c>
      <c r="D131" s="228">
        <v>700</v>
      </c>
      <c r="E131" s="228">
        <v>9</v>
      </c>
      <c r="F131" s="228">
        <v>908.2</v>
      </c>
      <c r="G131" s="228">
        <v>916.8</v>
      </c>
      <c r="H131" s="228">
        <v>-8.6</v>
      </c>
      <c r="I131" s="229">
        <v>-9.4000000000000004E-3</v>
      </c>
      <c r="J131" s="228">
        <v>919.05</v>
      </c>
      <c r="K131" s="228">
        <v>928.15</v>
      </c>
      <c r="L131" s="228">
        <v>-9.1</v>
      </c>
      <c r="M131" s="229">
        <v>-9.7999999999999997E-3</v>
      </c>
      <c r="N131" s="228">
        <v>908.2</v>
      </c>
      <c r="O131" s="228">
        <v>916.8</v>
      </c>
      <c r="P131" s="228">
        <v>-8.6</v>
      </c>
      <c r="Q131" s="229">
        <v>-9.4000000000000004E-3</v>
      </c>
      <c r="R131" s="228">
        <v>913</v>
      </c>
      <c r="S131" s="228">
        <v>920.9</v>
      </c>
      <c r="T131" s="228">
        <v>-7.9</v>
      </c>
      <c r="U131" s="229">
        <v>-8.6E-3</v>
      </c>
      <c r="V131" s="228">
        <v>0</v>
      </c>
      <c r="W131" s="228">
        <v>0</v>
      </c>
      <c r="X131" s="228">
        <v>0</v>
      </c>
      <c r="Y131" s="229">
        <v>0</v>
      </c>
      <c r="Z131" s="228">
        <v>-10.85</v>
      </c>
      <c r="AA131" s="228">
        <v>-11.35</v>
      </c>
      <c r="AB131" s="228">
        <v>0.5</v>
      </c>
      <c r="AC131" s="229">
        <v>-1.18E-2</v>
      </c>
      <c r="AD131" s="228">
        <v>-10.85</v>
      </c>
      <c r="AE131" s="228">
        <v>-11.35</v>
      </c>
      <c r="AF131" s="228">
        <v>0.5</v>
      </c>
      <c r="AG131" s="229">
        <v>-1.18E-2</v>
      </c>
      <c r="AH131" s="228">
        <v>-6.05</v>
      </c>
      <c r="AI131" s="228">
        <v>-7.25</v>
      </c>
      <c r="AJ131" s="228">
        <v>1.2</v>
      </c>
      <c r="AK131" s="229">
        <v>-6.6E-3</v>
      </c>
      <c r="AL131" s="228">
        <v>0</v>
      </c>
      <c r="AM131" s="228">
        <v>0</v>
      </c>
      <c r="AN131" s="228">
        <v>0</v>
      </c>
      <c r="AO131" s="229">
        <v>0</v>
      </c>
      <c r="AP131" s="228">
        <v>912.66</v>
      </c>
      <c r="AQ131" s="228">
        <v>916.72</v>
      </c>
      <c r="AR131" s="228">
        <v>0</v>
      </c>
      <c r="AS131" s="228">
        <v>74</v>
      </c>
      <c r="AT131" s="228">
        <v>67</v>
      </c>
      <c r="AU131" s="228">
        <v>7</v>
      </c>
      <c r="AV131" s="229">
        <v>0.111</v>
      </c>
      <c r="AW131" s="228">
        <v>56</v>
      </c>
      <c r="AX131" s="228">
        <v>48</v>
      </c>
      <c r="AY131" s="228">
        <v>8</v>
      </c>
      <c r="AZ131" s="229">
        <v>0.16639999999999999</v>
      </c>
      <c r="BA131" s="228">
        <v>18</v>
      </c>
      <c r="BB131" s="228">
        <v>17</v>
      </c>
      <c r="BC131" s="228">
        <v>0</v>
      </c>
      <c r="BD131" s="229">
        <v>1.4500000000000001E-2</v>
      </c>
      <c r="BE131" s="228">
        <v>0</v>
      </c>
      <c r="BF131" s="228">
        <v>0</v>
      </c>
      <c r="BG131" s="228">
        <v>0</v>
      </c>
      <c r="BH131" s="229">
        <v>0</v>
      </c>
      <c r="BI131" s="228">
        <v>250</v>
      </c>
      <c r="BJ131" s="228">
        <v>209</v>
      </c>
      <c r="BK131" s="228">
        <v>41</v>
      </c>
      <c r="BL131" s="229">
        <v>0.19539999999999999</v>
      </c>
      <c r="BM131" s="228">
        <v>70</v>
      </c>
      <c r="BN131" s="228">
        <v>63</v>
      </c>
      <c r="BO131" s="228">
        <v>7</v>
      </c>
      <c r="BP131" s="229">
        <v>0.1188</v>
      </c>
      <c r="BQ131" s="228">
        <v>394</v>
      </c>
      <c r="BR131" s="228">
        <v>339</v>
      </c>
      <c r="BS131" s="228">
        <v>56</v>
      </c>
      <c r="BT131" s="229">
        <v>0.16450000000000001</v>
      </c>
      <c r="BU131" s="230">
        <v>523179</v>
      </c>
      <c r="BV131" s="230">
        <v>484162</v>
      </c>
      <c r="BW131" s="230">
        <v>39017</v>
      </c>
      <c r="BX131" s="229">
        <v>8.0600000000000005E-2</v>
      </c>
      <c r="BY131" s="228">
        <v>766</v>
      </c>
      <c r="BZ131" s="228">
        <v>760</v>
      </c>
      <c r="CA131" s="228">
        <v>6</v>
      </c>
      <c r="CB131" s="229">
        <v>8.3999999999999995E-3</v>
      </c>
      <c r="CC131" s="228">
        <v>690</v>
      </c>
      <c r="CD131" s="228">
        <v>692</v>
      </c>
      <c r="CE131" s="228">
        <v>-3</v>
      </c>
      <c r="CF131" s="229">
        <v>-3.7000000000000002E-3</v>
      </c>
      <c r="CG131" s="228">
        <v>69</v>
      </c>
      <c r="CH131" s="228">
        <v>60</v>
      </c>
      <c r="CI131" s="228">
        <v>9</v>
      </c>
      <c r="CJ131" s="229">
        <v>0.14319999999999999</v>
      </c>
      <c r="CK131" s="228">
        <v>0</v>
      </c>
      <c r="CL131" s="228">
        <v>0</v>
      </c>
      <c r="CM131" s="228">
        <v>0</v>
      </c>
      <c r="CN131" s="229">
        <v>0</v>
      </c>
      <c r="CO131" s="228">
        <v>493</v>
      </c>
      <c r="CP131" s="228">
        <v>494</v>
      </c>
      <c r="CQ131" s="228">
        <v>-1</v>
      </c>
      <c r="CR131" s="229">
        <v>-1.8E-3</v>
      </c>
      <c r="CS131" s="228">
        <v>226</v>
      </c>
      <c r="CT131" s="228">
        <v>220</v>
      </c>
      <c r="CU131" s="228">
        <v>6</v>
      </c>
      <c r="CV131" s="229">
        <v>2.69E-2</v>
      </c>
      <c r="CW131" s="230">
        <v>1485</v>
      </c>
      <c r="CX131" s="230">
        <v>1474</v>
      </c>
      <c r="CY131" s="228">
        <v>11</v>
      </c>
      <c r="CZ131" s="229">
        <v>7.7000000000000002E-3</v>
      </c>
      <c r="DA131" s="228">
        <v>25.48</v>
      </c>
      <c r="DB131" s="228">
        <v>24.8</v>
      </c>
      <c r="DC131" s="228">
        <v>0.68</v>
      </c>
      <c r="DD131" s="228">
        <v>0.68</v>
      </c>
      <c r="DE131" s="228">
        <v>35.229999999999997</v>
      </c>
      <c r="DF131" s="228">
        <v>35.299999999999997</v>
      </c>
      <c r="DG131" s="228">
        <v>-9.75</v>
      </c>
      <c r="DH131" s="228">
        <v>-7.0000000000000007E-2</v>
      </c>
      <c r="DI131" s="228">
        <v>26.41</v>
      </c>
      <c r="DJ131" s="228">
        <v>25.23</v>
      </c>
      <c r="DK131" s="228">
        <v>1.18</v>
      </c>
      <c r="DL131" s="228">
        <v>1.18</v>
      </c>
      <c r="DM131" s="228">
        <v>22.17</v>
      </c>
      <c r="DN131" s="228">
        <v>23.33</v>
      </c>
      <c r="DO131" s="228">
        <v>-1.1599999999999999</v>
      </c>
      <c r="DP131" s="228">
        <v>-1.1599999999999999</v>
      </c>
      <c r="DQ131" s="228">
        <v>0.46</v>
      </c>
      <c r="DR131" s="228">
        <v>0.45</v>
      </c>
      <c r="DS131" s="228">
        <v>0.01</v>
      </c>
      <c r="DT131" s="229">
        <v>2.2200000000000001E-2</v>
      </c>
      <c r="DU131" s="231">
        <v>1000</v>
      </c>
      <c r="DV131" s="228">
        <v>900</v>
      </c>
      <c r="DW131" s="228">
        <v>0.28000000000000003</v>
      </c>
      <c r="DX131" s="228">
        <v>0.3</v>
      </c>
      <c r="DY131" s="228">
        <v>-0.02</v>
      </c>
      <c r="DZ131" s="229">
        <v>-6.6699999999999995E-2</v>
      </c>
      <c r="EA131" s="229">
        <v>9.01E-2</v>
      </c>
      <c r="EB131" s="230">
        <v>665000</v>
      </c>
      <c r="EC131" s="229">
        <v>5.3E-3</v>
      </c>
      <c r="ED131" s="229">
        <v>9.01E-2</v>
      </c>
      <c r="EE131" s="228">
        <v>4.0599999999999996</v>
      </c>
      <c r="EF131" s="229">
        <v>4.4000000000000003E-3</v>
      </c>
      <c r="EG131" s="230">
        <v>258554</v>
      </c>
      <c r="EH131" s="230">
        <v>233493</v>
      </c>
      <c r="EI131" s="229">
        <v>0.10730000000000001</v>
      </c>
      <c r="EJ131" s="229">
        <v>0.49419999999999997</v>
      </c>
      <c r="EK131" s="228">
        <v>262.77999999999997</v>
      </c>
      <c r="EL131" s="228">
        <v>70.180000000000007</v>
      </c>
      <c r="EM131" s="228">
        <v>74.900000000000006</v>
      </c>
      <c r="EN131" s="228">
        <v>0</v>
      </c>
      <c r="EO131" s="228">
        <v>407.86</v>
      </c>
      <c r="EP131" s="228">
        <v>350.55</v>
      </c>
      <c r="EQ131" s="228">
        <v>57.31</v>
      </c>
      <c r="ER131" s="229">
        <v>0.16350000000000001</v>
      </c>
      <c r="ES131" s="228">
        <v>528.41999999999996</v>
      </c>
      <c r="ET131" s="228">
        <v>225.71</v>
      </c>
      <c r="EU131" s="228">
        <v>766.9</v>
      </c>
      <c r="EV131" s="231">
        <v>44274984</v>
      </c>
      <c r="EW131" s="231">
        <v>1521.03</v>
      </c>
      <c r="EX131" s="231">
        <v>1517.5</v>
      </c>
      <c r="EY131" s="228">
        <v>3.53</v>
      </c>
      <c r="EZ131" s="229">
        <v>2.3E-3</v>
      </c>
      <c r="FA131" s="229">
        <v>0.36940000000000001</v>
      </c>
      <c r="FB131" s="227" t="s">
        <v>567</v>
      </c>
      <c r="FC131">
        <f t="shared" ref="FC131:FC147" si="2">BY131-CC131</f>
        <v>76</v>
      </c>
    </row>
    <row r="132" spans="1:159" ht="17.25" thickBot="1" x14ac:dyDescent="0.3">
      <c r="A132" s="226">
        <v>45860</v>
      </c>
      <c r="B132" s="227" t="s">
        <v>206</v>
      </c>
      <c r="C132" s="227" t="s">
        <v>589</v>
      </c>
      <c r="D132" s="228">
        <v>450</v>
      </c>
      <c r="E132" s="228">
        <v>9</v>
      </c>
      <c r="F132" s="231">
        <v>1443</v>
      </c>
      <c r="G132" s="231">
        <v>1452.5</v>
      </c>
      <c r="H132" s="228">
        <v>-9.5</v>
      </c>
      <c r="I132" s="229">
        <v>-6.4999999999999997E-3</v>
      </c>
      <c r="J132" s="231">
        <v>1442.3</v>
      </c>
      <c r="K132" s="231">
        <v>1448.7</v>
      </c>
      <c r="L132" s="228">
        <v>-6.4</v>
      </c>
      <c r="M132" s="229">
        <v>-4.4000000000000003E-3</v>
      </c>
      <c r="N132" s="231">
        <v>1443</v>
      </c>
      <c r="O132" s="231">
        <v>1452.5</v>
      </c>
      <c r="P132" s="228">
        <v>-9.5</v>
      </c>
      <c r="Q132" s="229">
        <v>-6.4999999999999997E-3</v>
      </c>
      <c r="R132" s="231">
        <v>1445</v>
      </c>
      <c r="S132" s="231">
        <v>1454</v>
      </c>
      <c r="T132" s="228">
        <v>-9</v>
      </c>
      <c r="U132" s="229">
        <v>-6.1999999999999998E-3</v>
      </c>
      <c r="V132" s="228">
        <v>0</v>
      </c>
      <c r="W132" s="228">
        <v>0</v>
      </c>
      <c r="X132" s="228">
        <v>0</v>
      </c>
      <c r="Y132" s="229">
        <v>0</v>
      </c>
      <c r="Z132" s="228">
        <v>0.7</v>
      </c>
      <c r="AA132" s="228">
        <v>3.8</v>
      </c>
      <c r="AB132" s="228">
        <v>-3.1</v>
      </c>
      <c r="AC132" s="229">
        <v>5.0000000000000001E-4</v>
      </c>
      <c r="AD132" s="228">
        <v>0.7</v>
      </c>
      <c r="AE132" s="228">
        <v>3.8</v>
      </c>
      <c r="AF132" s="228">
        <v>-3.1</v>
      </c>
      <c r="AG132" s="229">
        <v>5.0000000000000001E-4</v>
      </c>
      <c r="AH132" s="228">
        <v>2.7</v>
      </c>
      <c r="AI132" s="228">
        <v>5.3</v>
      </c>
      <c r="AJ132" s="228">
        <v>-2.6</v>
      </c>
      <c r="AK132" s="229">
        <v>1.9E-3</v>
      </c>
      <c r="AL132" s="228">
        <v>0</v>
      </c>
      <c r="AM132" s="228">
        <v>0</v>
      </c>
      <c r="AN132" s="228">
        <v>0</v>
      </c>
      <c r="AO132" s="229">
        <v>0</v>
      </c>
      <c r="AP132" s="231">
        <v>1443.5</v>
      </c>
      <c r="AQ132" s="231">
        <v>1444.75</v>
      </c>
      <c r="AR132" s="228">
        <v>0</v>
      </c>
      <c r="AS132" s="228">
        <v>56</v>
      </c>
      <c r="AT132" s="228">
        <v>64</v>
      </c>
      <c r="AU132" s="228">
        <v>-8</v>
      </c>
      <c r="AV132" s="229">
        <v>-0.1207</v>
      </c>
      <c r="AW132" s="228">
        <v>51</v>
      </c>
      <c r="AX132" s="228">
        <v>58</v>
      </c>
      <c r="AY132" s="228">
        <v>-6</v>
      </c>
      <c r="AZ132" s="229">
        <v>-0.1081</v>
      </c>
      <c r="BA132" s="228">
        <v>5</v>
      </c>
      <c r="BB132" s="228">
        <v>6</v>
      </c>
      <c r="BC132" s="228">
        <v>-2</v>
      </c>
      <c r="BD132" s="229">
        <v>-0.25</v>
      </c>
      <c r="BE132" s="228">
        <v>0</v>
      </c>
      <c r="BF132" s="228">
        <v>0</v>
      </c>
      <c r="BG132" s="228">
        <v>0</v>
      </c>
      <c r="BH132" s="229">
        <v>0</v>
      </c>
      <c r="BI132" s="228">
        <v>196</v>
      </c>
      <c r="BJ132" s="228">
        <v>136</v>
      </c>
      <c r="BK132" s="228">
        <v>60</v>
      </c>
      <c r="BL132" s="229">
        <v>0.44180000000000003</v>
      </c>
      <c r="BM132" s="228">
        <v>78</v>
      </c>
      <c r="BN132" s="228">
        <v>74</v>
      </c>
      <c r="BO132" s="228">
        <v>4</v>
      </c>
      <c r="BP132" s="229">
        <v>5.0900000000000001E-2</v>
      </c>
      <c r="BQ132" s="228">
        <v>331</v>
      </c>
      <c r="BR132" s="228">
        <v>274</v>
      </c>
      <c r="BS132" s="228">
        <v>56</v>
      </c>
      <c r="BT132" s="229">
        <v>0.20499999999999999</v>
      </c>
      <c r="BU132" s="230">
        <v>377819</v>
      </c>
      <c r="BV132" s="230">
        <v>325812</v>
      </c>
      <c r="BW132" s="230">
        <v>52007</v>
      </c>
      <c r="BX132" s="229">
        <v>0.15959999999999999</v>
      </c>
      <c r="BY132" s="228">
        <v>791</v>
      </c>
      <c r="BZ132" s="228">
        <v>791</v>
      </c>
      <c r="CA132" s="228">
        <v>0</v>
      </c>
      <c r="CB132" s="229">
        <v>2.0000000000000001E-4</v>
      </c>
      <c r="CC132" s="228">
        <v>772</v>
      </c>
      <c r="CD132" s="228">
        <v>773</v>
      </c>
      <c r="CE132" s="228">
        <v>-1</v>
      </c>
      <c r="CF132" s="229">
        <v>-1.6999999999999999E-3</v>
      </c>
      <c r="CG132" s="228">
        <v>17</v>
      </c>
      <c r="CH132" s="228">
        <v>16</v>
      </c>
      <c r="CI132" s="228">
        <v>1</v>
      </c>
      <c r="CJ132" s="229">
        <v>8.1600000000000006E-2</v>
      </c>
      <c r="CK132" s="228">
        <v>0</v>
      </c>
      <c r="CL132" s="228">
        <v>0</v>
      </c>
      <c r="CM132" s="228">
        <v>0</v>
      </c>
      <c r="CN132" s="229">
        <v>0</v>
      </c>
      <c r="CO132" s="228">
        <v>220</v>
      </c>
      <c r="CP132" s="228">
        <v>205</v>
      </c>
      <c r="CQ132" s="228">
        <v>15</v>
      </c>
      <c r="CR132" s="229">
        <v>7.22E-2</v>
      </c>
      <c r="CS132" s="228">
        <v>147</v>
      </c>
      <c r="CT132" s="228">
        <v>149</v>
      </c>
      <c r="CU132" s="228">
        <v>-2</v>
      </c>
      <c r="CV132" s="229">
        <v>-1.35E-2</v>
      </c>
      <c r="CW132" s="230">
        <v>1158</v>
      </c>
      <c r="CX132" s="230">
        <v>1145</v>
      </c>
      <c r="CY132" s="228">
        <v>13</v>
      </c>
      <c r="CZ132" s="229">
        <v>1.1299999999999999E-2</v>
      </c>
      <c r="DA132" s="228">
        <v>34.54</v>
      </c>
      <c r="DB132" s="228">
        <v>33.64</v>
      </c>
      <c r="DC132" s="228">
        <v>0.9</v>
      </c>
      <c r="DD132" s="228">
        <v>0.9</v>
      </c>
      <c r="DE132" s="228">
        <v>50.63</v>
      </c>
      <c r="DF132" s="228">
        <v>50.75</v>
      </c>
      <c r="DG132" s="228">
        <v>-16.09</v>
      </c>
      <c r="DH132" s="228">
        <v>-0.12</v>
      </c>
      <c r="DI132" s="228">
        <v>34.57</v>
      </c>
      <c r="DJ132" s="228">
        <v>33.4</v>
      </c>
      <c r="DK132" s="228">
        <v>1.17</v>
      </c>
      <c r="DL132" s="228">
        <v>1.17</v>
      </c>
      <c r="DM132" s="228">
        <v>34.479999999999997</v>
      </c>
      <c r="DN132" s="228">
        <v>34.090000000000003</v>
      </c>
      <c r="DO132" s="228">
        <v>0.39</v>
      </c>
      <c r="DP132" s="228">
        <v>0.39</v>
      </c>
      <c r="DQ132" s="228">
        <v>0.67</v>
      </c>
      <c r="DR132" s="228">
        <v>0.73</v>
      </c>
      <c r="DS132" s="228">
        <v>-0.06</v>
      </c>
      <c r="DT132" s="229">
        <v>-8.2199999999999995E-2</v>
      </c>
      <c r="DU132" s="231">
        <v>1500</v>
      </c>
      <c r="DV132" s="231">
        <v>1400</v>
      </c>
      <c r="DW132" s="228">
        <v>0.4</v>
      </c>
      <c r="DX132" s="228">
        <v>0.54</v>
      </c>
      <c r="DY132" s="228">
        <v>-0.14000000000000001</v>
      </c>
      <c r="DZ132" s="229">
        <v>-0.25929999999999997</v>
      </c>
      <c r="EA132" s="229">
        <v>2.1700000000000001E-2</v>
      </c>
      <c r="EB132" s="230">
        <v>110250</v>
      </c>
      <c r="EC132" s="229">
        <v>1.4E-3</v>
      </c>
      <c r="ED132" s="229">
        <v>2.1700000000000001E-2</v>
      </c>
      <c r="EE132" s="228">
        <v>1.25</v>
      </c>
      <c r="EF132" s="229">
        <v>8.9999999999999998E-4</v>
      </c>
      <c r="EG132" s="230">
        <v>231002</v>
      </c>
      <c r="EH132" s="230">
        <v>188359</v>
      </c>
      <c r="EI132" s="229">
        <v>0.22639999999999999</v>
      </c>
      <c r="EJ132" s="229">
        <v>0.61140000000000005</v>
      </c>
      <c r="EK132" s="228">
        <v>204.92</v>
      </c>
      <c r="EL132" s="228">
        <v>76.52</v>
      </c>
      <c r="EM132" s="228">
        <v>56.32</v>
      </c>
      <c r="EN132" s="228">
        <v>0</v>
      </c>
      <c r="EO132" s="228">
        <v>337.76</v>
      </c>
      <c r="EP132" s="228">
        <v>278.12</v>
      </c>
      <c r="EQ132" s="228">
        <v>59.64</v>
      </c>
      <c r="ER132" s="229">
        <v>0.21440000000000001</v>
      </c>
      <c r="ES132" s="228">
        <v>225.61</v>
      </c>
      <c r="ET132" s="228">
        <v>139.57</v>
      </c>
      <c r="EU132" s="228">
        <v>791.2</v>
      </c>
      <c r="EV132" s="231">
        <v>55985194</v>
      </c>
      <c r="EW132" s="231">
        <v>1156.3800000000001</v>
      </c>
      <c r="EX132" s="231">
        <v>1147.5999999999999</v>
      </c>
      <c r="EY132" s="228">
        <v>8.7799999999999994</v>
      </c>
      <c r="EZ132" s="229">
        <v>7.7000000000000002E-3</v>
      </c>
      <c r="FA132" s="229">
        <v>0.14330000000000001</v>
      </c>
      <c r="FB132" s="227" t="s">
        <v>567</v>
      </c>
      <c r="FC132">
        <f t="shared" si="2"/>
        <v>19</v>
      </c>
    </row>
    <row r="133" spans="1:159" ht="17.25" thickBot="1" x14ac:dyDescent="0.3">
      <c r="A133" s="226">
        <v>45860</v>
      </c>
      <c r="B133" s="227" t="s">
        <v>184</v>
      </c>
      <c r="C133" s="227" t="s">
        <v>249</v>
      </c>
      <c r="D133" s="228">
        <v>175</v>
      </c>
      <c r="E133" s="228">
        <v>9</v>
      </c>
      <c r="F133" s="231">
        <v>3475.2</v>
      </c>
      <c r="G133" s="231">
        <v>3510</v>
      </c>
      <c r="H133" s="228">
        <v>-34.799999999999997</v>
      </c>
      <c r="I133" s="229">
        <v>-9.9000000000000008E-3</v>
      </c>
      <c r="J133" s="231">
        <v>3464.6</v>
      </c>
      <c r="K133" s="231">
        <v>3502.8</v>
      </c>
      <c r="L133" s="228">
        <v>-38.200000000000003</v>
      </c>
      <c r="M133" s="229">
        <v>-1.09E-2</v>
      </c>
      <c r="N133" s="231">
        <v>3475.2</v>
      </c>
      <c r="O133" s="231">
        <v>3510</v>
      </c>
      <c r="P133" s="228">
        <v>-34.799999999999997</v>
      </c>
      <c r="Q133" s="229">
        <v>-9.9000000000000008E-3</v>
      </c>
      <c r="R133" s="231">
        <v>3491.8</v>
      </c>
      <c r="S133" s="231">
        <v>3527.8</v>
      </c>
      <c r="T133" s="228">
        <v>-36</v>
      </c>
      <c r="U133" s="229">
        <v>-1.0200000000000001E-2</v>
      </c>
      <c r="V133" s="228">
        <v>0</v>
      </c>
      <c r="W133" s="228">
        <v>0</v>
      </c>
      <c r="X133" s="228">
        <v>0</v>
      </c>
      <c r="Y133" s="229">
        <v>0</v>
      </c>
      <c r="Z133" s="228">
        <v>10.6</v>
      </c>
      <c r="AA133" s="228">
        <v>7.2</v>
      </c>
      <c r="AB133" s="228">
        <v>3.4</v>
      </c>
      <c r="AC133" s="229">
        <v>3.0999999999999999E-3</v>
      </c>
      <c r="AD133" s="228">
        <v>10.6</v>
      </c>
      <c r="AE133" s="228">
        <v>7.2</v>
      </c>
      <c r="AF133" s="228">
        <v>3.4</v>
      </c>
      <c r="AG133" s="229">
        <v>3.0999999999999999E-3</v>
      </c>
      <c r="AH133" s="228">
        <v>27.2</v>
      </c>
      <c r="AI133" s="228">
        <v>25</v>
      </c>
      <c r="AJ133" s="228">
        <v>2.2000000000000002</v>
      </c>
      <c r="AK133" s="229">
        <v>7.9000000000000008E-3</v>
      </c>
      <c r="AL133" s="228">
        <v>0</v>
      </c>
      <c r="AM133" s="228">
        <v>0</v>
      </c>
      <c r="AN133" s="228">
        <v>0</v>
      </c>
      <c r="AO133" s="229">
        <v>0</v>
      </c>
      <c r="AP133" s="231">
        <v>3478.37</v>
      </c>
      <c r="AQ133" s="231">
        <v>3495.92</v>
      </c>
      <c r="AR133" s="228">
        <v>0</v>
      </c>
      <c r="AS133" s="228">
        <v>688</v>
      </c>
      <c r="AT133" s="228">
        <v>597</v>
      </c>
      <c r="AU133" s="228">
        <v>90</v>
      </c>
      <c r="AV133" s="229">
        <v>0.15090000000000001</v>
      </c>
      <c r="AW133" s="228">
        <v>485</v>
      </c>
      <c r="AX133" s="228">
        <v>507</v>
      </c>
      <c r="AY133" s="228">
        <v>-22</v>
      </c>
      <c r="AZ133" s="229">
        <v>-4.3400000000000001E-2</v>
      </c>
      <c r="BA133" s="228">
        <v>113</v>
      </c>
      <c r="BB133" s="228">
        <v>87</v>
      </c>
      <c r="BC133" s="228">
        <v>26</v>
      </c>
      <c r="BD133" s="229">
        <v>0.30430000000000001</v>
      </c>
      <c r="BE133" s="228">
        <v>0</v>
      </c>
      <c r="BF133" s="228">
        <v>0</v>
      </c>
      <c r="BG133" s="228">
        <v>0</v>
      </c>
      <c r="BH133" s="229">
        <v>0</v>
      </c>
      <c r="BI133" s="230">
        <v>2040</v>
      </c>
      <c r="BJ133" s="230">
        <v>2398</v>
      </c>
      <c r="BK133" s="228">
        <v>-358</v>
      </c>
      <c r="BL133" s="229">
        <v>-0.1492</v>
      </c>
      <c r="BM133" s="228">
        <v>552</v>
      </c>
      <c r="BN133" s="228">
        <v>795</v>
      </c>
      <c r="BO133" s="228">
        <v>-242</v>
      </c>
      <c r="BP133" s="229">
        <v>-0.3049</v>
      </c>
      <c r="BQ133" s="230">
        <v>3280</v>
      </c>
      <c r="BR133" s="230">
        <v>3790</v>
      </c>
      <c r="BS133" s="228">
        <v>-510</v>
      </c>
      <c r="BT133" s="229">
        <v>-0.1346</v>
      </c>
      <c r="BU133" s="230">
        <v>2655031</v>
      </c>
      <c r="BV133" s="230">
        <v>1637558</v>
      </c>
      <c r="BW133" s="230">
        <v>1017473</v>
      </c>
      <c r="BX133" s="229">
        <v>0.62129999999999996</v>
      </c>
      <c r="BY133" s="230">
        <v>6147</v>
      </c>
      <c r="BZ133" s="230">
        <v>6025</v>
      </c>
      <c r="CA133" s="228">
        <v>122</v>
      </c>
      <c r="CB133" s="229">
        <v>2.0299999999999999E-2</v>
      </c>
      <c r="CC133" s="230">
        <v>5196</v>
      </c>
      <c r="CD133" s="230">
        <v>5240</v>
      </c>
      <c r="CE133" s="228">
        <v>-44</v>
      </c>
      <c r="CF133" s="229">
        <v>-8.5000000000000006E-3</v>
      </c>
      <c r="CG133" s="228">
        <v>754</v>
      </c>
      <c r="CH133" s="228">
        <v>674</v>
      </c>
      <c r="CI133" s="228">
        <v>79</v>
      </c>
      <c r="CJ133" s="229">
        <v>0.1178</v>
      </c>
      <c r="CK133" s="228">
        <v>0</v>
      </c>
      <c r="CL133" s="228">
        <v>0</v>
      </c>
      <c r="CM133" s="228">
        <v>0</v>
      </c>
      <c r="CN133" s="229">
        <v>0</v>
      </c>
      <c r="CO133" s="230">
        <v>3249</v>
      </c>
      <c r="CP133" s="230">
        <v>3201</v>
      </c>
      <c r="CQ133" s="228">
        <v>48</v>
      </c>
      <c r="CR133" s="229">
        <v>1.49E-2</v>
      </c>
      <c r="CS133" s="230">
        <v>1266</v>
      </c>
      <c r="CT133" s="230">
        <v>1229</v>
      </c>
      <c r="CU133" s="228">
        <v>38</v>
      </c>
      <c r="CV133" s="229">
        <v>3.0499999999999999E-2</v>
      </c>
      <c r="CW133" s="230">
        <v>10663</v>
      </c>
      <c r="CX133" s="230">
        <v>10455</v>
      </c>
      <c r="CY133" s="228">
        <v>207</v>
      </c>
      <c r="CZ133" s="229">
        <v>1.9800000000000002E-2</v>
      </c>
      <c r="DA133" s="228">
        <v>22.97</v>
      </c>
      <c r="DB133" s="228">
        <v>22.6</v>
      </c>
      <c r="DC133" s="228">
        <v>0.37</v>
      </c>
      <c r="DD133" s="228">
        <v>0.37</v>
      </c>
      <c r="DE133" s="228">
        <v>30.01</v>
      </c>
      <c r="DF133" s="228">
        <v>30.05</v>
      </c>
      <c r="DG133" s="228">
        <v>-7.04</v>
      </c>
      <c r="DH133" s="228">
        <v>-0.04</v>
      </c>
      <c r="DI133" s="228">
        <v>23.36</v>
      </c>
      <c r="DJ133" s="228">
        <v>22.71</v>
      </c>
      <c r="DK133" s="228">
        <v>0.65</v>
      </c>
      <c r="DL133" s="228">
        <v>0.65</v>
      </c>
      <c r="DM133" s="228">
        <v>21.51</v>
      </c>
      <c r="DN133" s="228">
        <v>22.26</v>
      </c>
      <c r="DO133" s="228">
        <v>-0.75</v>
      </c>
      <c r="DP133" s="228">
        <v>-0.75</v>
      </c>
      <c r="DQ133" s="228">
        <v>0.39</v>
      </c>
      <c r="DR133" s="228">
        <v>0.38</v>
      </c>
      <c r="DS133" s="228">
        <v>0.01</v>
      </c>
      <c r="DT133" s="229">
        <v>2.63E-2</v>
      </c>
      <c r="DU133" s="231">
        <v>3700</v>
      </c>
      <c r="DV133" s="231">
        <v>3500</v>
      </c>
      <c r="DW133" s="228">
        <v>0.27</v>
      </c>
      <c r="DX133" s="228">
        <v>0.33</v>
      </c>
      <c r="DY133" s="228">
        <v>-0.06</v>
      </c>
      <c r="DZ133" s="229">
        <v>-0.18179999999999999</v>
      </c>
      <c r="EA133" s="229">
        <v>0.1226</v>
      </c>
      <c r="EB133" s="230">
        <v>1940225</v>
      </c>
      <c r="EC133" s="229">
        <v>4.7999999999999996E-3</v>
      </c>
      <c r="ED133" s="229">
        <v>0.1226</v>
      </c>
      <c r="EE133" s="228">
        <v>17.55</v>
      </c>
      <c r="EF133" s="229">
        <v>5.0000000000000001E-3</v>
      </c>
      <c r="EG133" s="230">
        <v>2219467</v>
      </c>
      <c r="EH133" s="230">
        <v>1105590</v>
      </c>
      <c r="EI133" s="229">
        <v>1.0075000000000001</v>
      </c>
      <c r="EJ133" s="229">
        <v>0.83589999999999998</v>
      </c>
      <c r="EK133" s="231">
        <v>2138.3000000000002</v>
      </c>
      <c r="EL133" s="228">
        <v>552.86</v>
      </c>
      <c r="EM133" s="228">
        <v>689.58</v>
      </c>
      <c r="EN133" s="228">
        <v>0</v>
      </c>
      <c r="EO133" s="231">
        <v>3380.73</v>
      </c>
      <c r="EP133" s="231">
        <v>3904.06</v>
      </c>
      <c r="EQ133" s="228">
        <v>-523.33000000000004</v>
      </c>
      <c r="ER133" s="229">
        <v>-0.13400000000000001</v>
      </c>
      <c r="ES133" s="231">
        <v>3448.02</v>
      </c>
      <c r="ET133" s="231">
        <v>1277.43</v>
      </c>
      <c r="EU133" s="231">
        <v>6152.83</v>
      </c>
      <c r="EV133" s="231">
        <v>271909552</v>
      </c>
      <c r="EW133" s="231">
        <v>10878.28</v>
      </c>
      <c r="EX133" s="231">
        <v>10733.64</v>
      </c>
      <c r="EY133" s="228">
        <v>144.63999999999999</v>
      </c>
      <c r="EZ133" s="229">
        <v>1.35E-2</v>
      </c>
      <c r="FA133" s="229">
        <v>0.1128</v>
      </c>
      <c r="FB133" s="227" t="s">
        <v>567</v>
      </c>
      <c r="FC133">
        <f t="shared" si="2"/>
        <v>951</v>
      </c>
    </row>
    <row r="134" spans="1:159" ht="17.25" thickBot="1" x14ac:dyDescent="0.3">
      <c r="A134" s="226">
        <v>45860</v>
      </c>
      <c r="B134" s="227" t="s">
        <v>175</v>
      </c>
      <c r="C134" s="227" t="s">
        <v>565</v>
      </c>
      <c r="D134" s="228">
        <v>4462</v>
      </c>
      <c r="E134" s="228">
        <v>9</v>
      </c>
      <c r="F134" s="228">
        <v>209.42</v>
      </c>
      <c r="G134" s="228">
        <v>211.4</v>
      </c>
      <c r="H134" s="228">
        <v>-1.98</v>
      </c>
      <c r="I134" s="229">
        <v>-9.4000000000000004E-3</v>
      </c>
      <c r="J134" s="228">
        <v>209.21</v>
      </c>
      <c r="K134" s="228">
        <v>210.58</v>
      </c>
      <c r="L134" s="228">
        <v>-1.37</v>
      </c>
      <c r="M134" s="229">
        <v>-6.4999999999999997E-3</v>
      </c>
      <c r="N134" s="228">
        <v>209.42</v>
      </c>
      <c r="O134" s="228">
        <v>211.4</v>
      </c>
      <c r="P134" s="228">
        <v>-1.98</v>
      </c>
      <c r="Q134" s="229">
        <v>-9.4000000000000004E-3</v>
      </c>
      <c r="R134" s="228">
        <v>210</v>
      </c>
      <c r="S134" s="228">
        <v>211.76</v>
      </c>
      <c r="T134" s="228">
        <v>-1.76</v>
      </c>
      <c r="U134" s="229">
        <v>-8.3000000000000001E-3</v>
      </c>
      <c r="V134" s="228">
        <v>0</v>
      </c>
      <c r="W134" s="228">
        <v>0</v>
      </c>
      <c r="X134" s="228">
        <v>0</v>
      </c>
      <c r="Y134" s="229">
        <v>0</v>
      </c>
      <c r="Z134" s="228">
        <v>0.21</v>
      </c>
      <c r="AA134" s="228">
        <v>0.82</v>
      </c>
      <c r="AB134" s="228">
        <v>-0.61</v>
      </c>
      <c r="AC134" s="229">
        <v>1E-3</v>
      </c>
      <c r="AD134" s="228">
        <v>0.21</v>
      </c>
      <c r="AE134" s="228">
        <v>0.82</v>
      </c>
      <c r="AF134" s="228">
        <v>-0.61</v>
      </c>
      <c r="AG134" s="229">
        <v>1E-3</v>
      </c>
      <c r="AH134" s="228">
        <v>0.79</v>
      </c>
      <c r="AI134" s="228">
        <v>1.18</v>
      </c>
      <c r="AJ134" s="228">
        <v>-0.39</v>
      </c>
      <c r="AK134" s="229">
        <v>3.8E-3</v>
      </c>
      <c r="AL134" s="228">
        <v>0</v>
      </c>
      <c r="AM134" s="228">
        <v>0</v>
      </c>
      <c r="AN134" s="228">
        <v>0</v>
      </c>
      <c r="AO134" s="229">
        <v>0</v>
      </c>
      <c r="AP134" s="228">
        <v>207.89</v>
      </c>
      <c r="AQ134" s="228">
        <v>208.33</v>
      </c>
      <c r="AR134" s="228">
        <v>0</v>
      </c>
      <c r="AS134" s="228">
        <v>656</v>
      </c>
      <c r="AT134" s="230">
        <v>1633</v>
      </c>
      <c r="AU134" s="228">
        <v>-977</v>
      </c>
      <c r="AV134" s="229">
        <v>-0.59819999999999995</v>
      </c>
      <c r="AW134" s="228">
        <v>516</v>
      </c>
      <c r="AX134" s="230">
        <v>1265</v>
      </c>
      <c r="AY134" s="228">
        <v>-749</v>
      </c>
      <c r="AZ134" s="229">
        <v>-0.59179999999999999</v>
      </c>
      <c r="BA134" s="228">
        <v>132</v>
      </c>
      <c r="BB134" s="228">
        <v>355</v>
      </c>
      <c r="BC134" s="228">
        <v>-223</v>
      </c>
      <c r="BD134" s="229">
        <v>-0.62780000000000002</v>
      </c>
      <c r="BE134" s="228">
        <v>0</v>
      </c>
      <c r="BF134" s="228">
        <v>0</v>
      </c>
      <c r="BG134" s="228">
        <v>0</v>
      </c>
      <c r="BH134" s="229">
        <v>0</v>
      </c>
      <c r="BI134" s="230">
        <v>1630</v>
      </c>
      <c r="BJ134" s="230">
        <v>4026</v>
      </c>
      <c r="BK134" s="230">
        <v>-2396</v>
      </c>
      <c r="BL134" s="229">
        <v>-0.59519999999999995</v>
      </c>
      <c r="BM134" s="228">
        <v>850</v>
      </c>
      <c r="BN134" s="230">
        <v>2312</v>
      </c>
      <c r="BO134" s="230">
        <v>-1462</v>
      </c>
      <c r="BP134" s="229">
        <v>-0.63249999999999995</v>
      </c>
      <c r="BQ134" s="230">
        <v>3135</v>
      </c>
      <c r="BR134" s="230">
        <v>7971</v>
      </c>
      <c r="BS134" s="230">
        <v>-4835</v>
      </c>
      <c r="BT134" s="229">
        <v>-0.60660000000000003</v>
      </c>
      <c r="BU134" s="230">
        <v>10999381</v>
      </c>
      <c r="BV134" s="230">
        <v>29862420</v>
      </c>
      <c r="BW134" s="230">
        <v>-18863039</v>
      </c>
      <c r="BX134" s="229">
        <v>-0.63170000000000004</v>
      </c>
      <c r="BY134" s="230">
        <v>1361</v>
      </c>
      <c r="BZ134" s="230">
        <v>1295</v>
      </c>
      <c r="CA134" s="228">
        <v>66</v>
      </c>
      <c r="CB134" s="229">
        <v>5.0900000000000001E-2</v>
      </c>
      <c r="CC134" s="230">
        <v>1085</v>
      </c>
      <c r="CD134" s="230">
        <v>1076</v>
      </c>
      <c r="CE134" s="228">
        <v>9</v>
      </c>
      <c r="CF134" s="229">
        <v>8.6999999999999994E-3</v>
      </c>
      <c r="CG134" s="228">
        <v>258</v>
      </c>
      <c r="CH134" s="228">
        <v>203</v>
      </c>
      <c r="CI134" s="228">
        <v>55</v>
      </c>
      <c r="CJ134" s="229">
        <v>0.26840000000000003</v>
      </c>
      <c r="CK134" s="228">
        <v>0</v>
      </c>
      <c r="CL134" s="228">
        <v>0</v>
      </c>
      <c r="CM134" s="228">
        <v>0</v>
      </c>
      <c r="CN134" s="229">
        <v>0</v>
      </c>
      <c r="CO134" s="228">
        <v>831</v>
      </c>
      <c r="CP134" s="228">
        <v>855</v>
      </c>
      <c r="CQ134" s="228">
        <v>-24</v>
      </c>
      <c r="CR134" s="229">
        <v>-2.7900000000000001E-2</v>
      </c>
      <c r="CS134" s="228">
        <v>572</v>
      </c>
      <c r="CT134" s="228">
        <v>683</v>
      </c>
      <c r="CU134" s="228">
        <v>-111</v>
      </c>
      <c r="CV134" s="229">
        <v>-0.16189999999999999</v>
      </c>
      <c r="CW134" s="230">
        <v>2765</v>
      </c>
      <c r="CX134" s="230">
        <v>2833</v>
      </c>
      <c r="CY134" s="228">
        <v>-68</v>
      </c>
      <c r="CZ134" s="229">
        <v>-2.41E-2</v>
      </c>
      <c r="DA134" s="228">
        <v>30.91</v>
      </c>
      <c r="DB134" s="228">
        <v>33.9</v>
      </c>
      <c r="DC134" s="228">
        <v>-2.99</v>
      </c>
      <c r="DD134" s="228">
        <v>-2.99</v>
      </c>
      <c r="DE134" s="228">
        <v>40.39</v>
      </c>
      <c r="DF134" s="228">
        <v>40.47</v>
      </c>
      <c r="DG134" s="228">
        <v>-9.48</v>
      </c>
      <c r="DH134" s="228">
        <v>-0.08</v>
      </c>
      <c r="DI134" s="228">
        <v>30.09</v>
      </c>
      <c r="DJ134" s="228">
        <v>32.11</v>
      </c>
      <c r="DK134" s="228">
        <v>-2.02</v>
      </c>
      <c r="DL134" s="228">
        <v>-2.02</v>
      </c>
      <c r="DM134" s="228">
        <v>32.47</v>
      </c>
      <c r="DN134" s="228">
        <v>37.020000000000003</v>
      </c>
      <c r="DO134" s="228">
        <v>-4.55</v>
      </c>
      <c r="DP134" s="228">
        <v>-4.55</v>
      </c>
      <c r="DQ134" s="228">
        <v>0.69</v>
      </c>
      <c r="DR134" s="228">
        <v>0.8</v>
      </c>
      <c r="DS134" s="228">
        <v>-0.11</v>
      </c>
      <c r="DT134" s="229">
        <v>-0.13750000000000001</v>
      </c>
      <c r="DU134" s="228">
        <v>210</v>
      </c>
      <c r="DV134" s="228">
        <v>200</v>
      </c>
      <c r="DW134" s="228">
        <v>0.52</v>
      </c>
      <c r="DX134" s="228">
        <v>0.56999999999999995</v>
      </c>
      <c r="DY134" s="228">
        <v>-0.05</v>
      </c>
      <c r="DZ134" s="229">
        <v>-8.77E-2</v>
      </c>
      <c r="EA134" s="229">
        <v>0.1895</v>
      </c>
      <c r="EB134" s="230">
        <v>9709312</v>
      </c>
      <c r="EC134" s="229">
        <v>2.8E-3</v>
      </c>
      <c r="ED134" s="229">
        <v>0.1895</v>
      </c>
      <c r="EE134" s="228">
        <v>0.44</v>
      </c>
      <c r="EF134" s="229">
        <v>2.0999999999999999E-3</v>
      </c>
      <c r="EG134" s="230">
        <v>3935097</v>
      </c>
      <c r="EH134" s="230">
        <v>12250208</v>
      </c>
      <c r="EI134" s="229">
        <v>-0.67879999999999996</v>
      </c>
      <c r="EJ134" s="229">
        <v>0.35780000000000001</v>
      </c>
      <c r="EK134" s="231">
        <v>1685.48</v>
      </c>
      <c r="EL134" s="228">
        <v>829.08</v>
      </c>
      <c r="EM134" s="228">
        <v>651.55999999999995</v>
      </c>
      <c r="EN134" s="228">
        <v>0</v>
      </c>
      <c r="EO134" s="231">
        <v>3166.12</v>
      </c>
      <c r="EP134" s="231">
        <v>8062.27</v>
      </c>
      <c r="EQ134" s="231">
        <v>-4896.1499999999996</v>
      </c>
      <c r="ER134" s="229">
        <v>-0.60729999999999995</v>
      </c>
      <c r="ES134" s="228">
        <v>847.63</v>
      </c>
      <c r="ET134" s="228">
        <v>535.19000000000005</v>
      </c>
      <c r="EU134" s="231">
        <v>1361.97</v>
      </c>
      <c r="EV134" s="231">
        <v>168467595</v>
      </c>
      <c r="EW134" s="231">
        <v>2744.79</v>
      </c>
      <c r="EX134" s="231">
        <v>2821.04</v>
      </c>
      <c r="EY134" s="228">
        <v>-76.25</v>
      </c>
      <c r="EZ134" s="229">
        <v>-2.7E-2</v>
      </c>
      <c r="FA134" s="229">
        <v>0.78359999999999996</v>
      </c>
      <c r="FB134" s="227" t="s">
        <v>567</v>
      </c>
      <c r="FC134">
        <f t="shared" si="2"/>
        <v>276</v>
      </c>
    </row>
    <row r="135" spans="1:159" ht="17.25" thickBot="1" x14ac:dyDescent="0.3">
      <c r="A135" s="226">
        <v>45860</v>
      </c>
      <c r="B135" s="227" t="s">
        <v>221</v>
      </c>
      <c r="C135" s="227" t="s">
        <v>561</v>
      </c>
      <c r="D135" s="228">
        <v>150</v>
      </c>
      <c r="E135" s="228">
        <v>9</v>
      </c>
      <c r="F135" s="231">
        <v>5179</v>
      </c>
      <c r="G135" s="231">
        <v>5149.5</v>
      </c>
      <c r="H135" s="228">
        <v>29.5</v>
      </c>
      <c r="I135" s="229">
        <v>5.7000000000000002E-3</v>
      </c>
      <c r="J135" s="231">
        <v>5175.5</v>
      </c>
      <c r="K135" s="231">
        <v>5154</v>
      </c>
      <c r="L135" s="228">
        <v>21.5</v>
      </c>
      <c r="M135" s="229">
        <v>4.1999999999999997E-3</v>
      </c>
      <c r="N135" s="231">
        <v>5179</v>
      </c>
      <c r="O135" s="231">
        <v>5149.5</v>
      </c>
      <c r="P135" s="228">
        <v>29.5</v>
      </c>
      <c r="Q135" s="229">
        <v>5.7000000000000002E-3</v>
      </c>
      <c r="R135" s="231">
        <v>5173</v>
      </c>
      <c r="S135" s="231">
        <v>5151</v>
      </c>
      <c r="T135" s="228">
        <v>22</v>
      </c>
      <c r="U135" s="229">
        <v>4.3E-3</v>
      </c>
      <c r="V135" s="228">
        <v>0</v>
      </c>
      <c r="W135" s="228">
        <v>0</v>
      </c>
      <c r="X135" s="228">
        <v>0</v>
      </c>
      <c r="Y135" s="229">
        <v>0</v>
      </c>
      <c r="Z135" s="228">
        <v>3.5</v>
      </c>
      <c r="AA135" s="228">
        <v>-4.5</v>
      </c>
      <c r="AB135" s="228">
        <v>8</v>
      </c>
      <c r="AC135" s="229">
        <v>6.9999999999999999E-4</v>
      </c>
      <c r="AD135" s="228">
        <v>3.5</v>
      </c>
      <c r="AE135" s="228">
        <v>-4.5</v>
      </c>
      <c r="AF135" s="228">
        <v>8</v>
      </c>
      <c r="AG135" s="229">
        <v>6.9999999999999999E-4</v>
      </c>
      <c r="AH135" s="228">
        <v>-2.5</v>
      </c>
      <c r="AI135" s="228">
        <v>-3</v>
      </c>
      <c r="AJ135" s="228">
        <v>0.5</v>
      </c>
      <c r="AK135" s="229">
        <v>-5.0000000000000001E-4</v>
      </c>
      <c r="AL135" s="228">
        <v>0</v>
      </c>
      <c r="AM135" s="228">
        <v>0</v>
      </c>
      <c r="AN135" s="228">
        <v>0</v>
      </c>
      <c r="AO135" s="229">
        <v>0</v>
      </c>
      <c r="AP135" s="231">
        <v>5175.57</v>
      </c>
      <c r="AQ135" s="231">
        <v>5169.24</v>
      </c>
      <c r="AR135" s="228">
        <v>0</v>
      </c>
      <c r="AS135" s="228">
        <v>284</v>
      </c>
      <c r="AT135" s="228">
        <v>315</v>
      </c>
      <c r="AU135" s="228">
        <v>-31</v>
      </c>
      <c r="AV135" s="229">
        <v>-9.8699999999999996E-2</v>
      </c>
      <c r="AW135" s="228">
        <v>225</v>
      </c>
      <c r="AX135" s="228">
        <v>268</v>
      </c>
      <c r="AY135" s="228">
        <v>-43</v>
      </c>
      <c r="AZ135" s="229">
        <v>-0.1613</v>
      </c>
      <c r="BA135" s="228">
        <v>58</v>
      </c>
      <c r="BB135" s="228">
        <v>45</v>
      </c>
      <c r="BC135" s="228">
        <v>12</v>
      </c>
      <c r="BD135" s="229">
        <v>0.27050000000000002</v>
      </c>
      <c r="BE135" s="228">
        <v>0</v>
      </c>
      <c r="BF135" s="228">
        <v>0</v>
      </c>
      <c r="BG135" s="228">
        <v>0</v>
      </c>
      <c r="BH135" s="229">
        <v>0</v>
      </c>
      <c r="BI135" s="228">
        <v>612</v>
      </c>
      <c r="BJ135" s="228">
        <v>850</v>
      </c>
      <c r="BK135" s="228">
        <v>-238</v>
      </c>
      <c r="BL135" s="229">
        <v>-0.28000000000000003</v>
      </c>
      <c r="BM135" s="228">
        <v>319</v>
      </c>
      <c r="BN135" s="228">
        <v>390</v>
      </c>
      <c r="BO135" s="228">
        <v>-71</v>
      </c>
      <c r="BP135" s="229">
        <v>-0.1822</v>
      </c>
      <c r="BQ135" s="230">
        <v>1214</v>
      </c>
      <c r="BR135" s="230">
        <v>1554</v>
      </c>
      <c r="BS135" s="228">
        <v>-340</v>
      </c>
      <c r="BT135" s="229">
        <v>-0.21879999999999999</v>
      </c>
      <c r="BU135" s="230">
        <v>183244</v>
      </c>
      <c r="BV135" s="230">
        <v>190174</v>
      </c>
      <c r="BW135" s="230">
        <v>-6930</v>
      </c>
      <c r="BX135" s="229">
        <v>-3.6400000000000002E-2</v>
      </c>
      <c r="BY135" s="230">
        <v>1468</v>
      </c>
      <c r="BZ135" s="230">
        <v>1509</v>
      </c>
      <c r="CA135" s="228">
        <v>-41</v>
      </c>
      <c r="CB135" s="229">
        <v>-2.7400000000000001E-2</v>
      </c>
      <c r="CC135" s="230">
        <v>1311</v>
      </c>
      <c r="CD135" s="230">
        <v>1362</v>
      </c>
      <c r="CE135" s="228">
        <v>-51</v>
      </c>
      <c r="CF135" s="229">
        <v>-3.7400000000000003E-2</v>
      </c>
      <c r="CG135" s="228">
        <v>146</v>
      </c>
      <c r="CH135" s="228">
        <v>137</v>
      </c>
      <c r="CI135" s="228">
        <v>9</v>
      </c>
      <c r="CJ135" s="229">
        <v>6.7699999999999996E-2</v>
      </c>
      <c r="CK135" s="228">
        <v>0</v>
      </c>
      <c r="CL135" s="228">
        <v>0</v>
      </c>
      <c r="CM135" s="228">
        <v>0</v>
      </c>
      <c r="CN135" s="229">
        <v>0</v>
      </c>
      <c r="CO135" s="228">
        <v>626</v>
      </c>
      <c r="CP135" s="228">
        <v>720</v>
      </c>
      <c r="CQ135" s="228">
        <v>-94</v>
      </c>
      <c r="CR135" s="229">
        <v>-0.13009999999999999</v>
      </c>
      <c r="CS135" s="228">
        <v>385</v>
      </c>
      <c r="CT135" s="228">
        <v>430</v>
      </c>
      <c r="CU135" s="228">
        <v>-45</v>
      </c>
      <c r="CV135" s="229">
        <v>-0.104</v>
      </c>
      <c r="CW135" s="230">
        <v>2479</v>
      </c>
      <c r="CX135" s="230">
        <v>2658</v>
      </c>
      <c r="CY135" s="228">
        <v>-180</v>
      </c>
      <c r="CZ135" s="229">
        <v>-6.7599999999999993E-2</v>
      </c>
      <c r="DA135" s="228">
        <v>25.97</v>
      </c>
      <c r="DB135" s="228">
        <v>27.83</v>
      </c>
      <c r="DC135" s="228">
        <v>-1.86</v>
      </c>
      <c r="DD135" s="228">
        <v>-1.86</v>
      </c>
      <c r="DE135" s="228">
        <v>35.24</v>
      </c>
      <c r="DF135" s="228">
        <v>35.32</v>
      </c>
      <c r="DG135" s="228">
        <v>-9.27</v>
      </c>
      <c r="DH135" s="228">
        <v>-0.08</v>
      </c>
      <c r="DI135" s="228">
        <v>25.97</v>
      </c>
      <c r="DJ135" s="228">
        <v>27.95</v>
      </c>
      <c r="DK135" s="228">
        <v>-1.98</v>
      </c>
      <c r="DL135" s="228">
        <v>-1.98</v>
      </c>
      <c r="DM135" s="228">
        <v>25.97</v>
      </c>
      <c r="DN135" s="228">
        <v>27.56</v>
      </c>
      <c r="DO135" s="228">
        <v>-1.59</v>
      </c>
      <c r="DP135" s="228">
        <v>-1.59</v>
      </c>
      <c r="DQ135" s="228">
        <v>0.61</v>
      </c>
      <c r="DR135" s="228">
        <v>0.6</v>
      </c>
      <c r="DS135" s="228">
        <v>0.01</v>
      </c>
      <c r="DT135" s="229">
        <v>1.67E-2</v>
      </c>
      <c r="DU135" s="231">
        <v>5200</v>
      </c>
      <c r="DV135" s="231">
        <v>5000</v>
      </c>
      <c r="DW135" s="228">
        <v>0.52</v>
      </c>
      <c r="DX135" s="228">
        <v>0.46</v>
      </c>
      <c r="DY135" s="228">
        <v>0.06</v>
      </c>
      <c r="DZ135" s="229">
        <v>0.13039999999999999</v>
      </c>
      <c r="EA135" s="229">
        <v>9.9400000000000002E-2</v>
      </c>
      <c r="EB135" s="230">
        <v>263700</v>
      </c>
      <c r="EC135" s="229">
        <v>-1.1999999999999999E-3</v>
      </c>
      <c r="ED135" s="229">
        <v>9.9400000000000002E-2</v>
      </c>
      <c r="EE135" s="228">
        <v>-6.33</v>
      </c>
      <c r="EF135" s="229">
        <v>-1.1999999999999999E-3</v>
      </c>
      <c r="EG135" s="230">
        <v>93816</v>
      </c>
      <c r="EH135" s="230">
        <v>84608</v>
      </c>
      <c r="EI135" s="229">
        <v>0.10879999999999999</v>
      </c>
      <c r="EJ135" s="229">
        <v>0.51200000000000001</v>
      </c>
      <c r="EK135" s="228">
        <v>634.54999999999995</v>
      </c>
      <c r="EL135" s="228">
        <v>309.89999999999998</v>
      </c>
      <c r="EM135" s="228">
        <v>283.60000000000002</v>
      </c>
      <c r="EN135" s="228">
        <v>0</v>
      </c>
      <c r="EO135" s="231">
        <v>1228.05</v>
      </c>
      <c r="EP135" s="231">
        <v>1573.76</v>
      </c>
      <c r="EQ135" s="228">
        <v>-345.71</v>
      </c>
      <c r="ER135" s="229">
        <v>-0.21970000000000001</v>
      </c>
      <c r="ES135" s="228">
        <v>670.49</v>
      </c>
      <c r="ET135" s="228">
        <v>371.04</v>
      </c>
      <c r="EU135" s="231">
        <v>1467.45</v>
      </c>
      <c r="EV135" s="231">
        <v>18620728</v>
      </c>
      <c r="EW135" s="231">
        <v>2508.98</v>
      </c>
      <c r="EX135" s="231">
        <v>2680.53</v>
      </c>
      <c r="EY135" s="228">
        <v>-171.55</v>
      </c>
      <c r="EZ135" s="229">
        <v>-6.4000000000000001E-2</v>
      </c>
      <c r="FA135" s="229">
        <v>0.25700000000000001</v>
      </c>
      <c r="FB135" s="227" t="s">
        <v>556</v>
      </c>
      <c r="FC135">
        <f t="shared" si="2"/>
        <v>157</v>
      </c>
    </row>
    <row r="136" spans="1:159" ht="17.25" thickBot="1" x14ac:dyDescent="0.3">
      <c r="A136" s="226">
        <v>45860</v>
      </c>
      <c r="B136" s="227" t="s">
        <v>170</v>
      </c>
      <c r="C136" s="227" t="s">
        <v>250</v>
      </c>
      <c r="D136" s="228">
        <v>425</v>
      </c>
      <c r="E136" s="228">
        <v>9</v>
      </c>
      <c r="F136" s="231">
        <v>1895.6</v>
      </c>
      <c r="G136" s="231">
        <v>1915.3</v>
      </c>
      <c r="H136" s="228">
        <v>-19.7</v>
      </c>
      <c r="I136" s="229">
        <v>-1.03E-2</v>
      </c>
      <c r="J136" s="231">
        <v>1903.2</v>
      </c>
      <c r="K136" s="231">
        <v>1921</v>
      </c>
      <c r="L136" s="228">
        <v>-17.8</v>
      </c>
      <c r="M136" s="229">
        <v>-9.2999999999999992E-3</v>
      </c>
      <c r="N136" s="231">
        <v>1895.6</v>
      </c>
      <c r="O136" s="231">
        <v>1915.3</v>
      </c>
      <c r="P136" s="228">
        <v>-19.7</v>
      </c>
      <c r="Q136" s="229">
        <v>-1.03E-2</v>
      </c>
      <c r="R136" s="231">
        <v>1905</v>
      </c>
      <c r="S136" s="231">
        <v>1924.4</v>
      </c>
      <c r="T136" s="228">
        <v>-19.399999999999999</v>
      </c>
      <c r="U136" s="229">
        <v>-1.01E-2</v>
      </c>
      <c r="V136" s="228">
        <v>0</v>
      </c>
      <c r="W136" s="228">
        <v>0</v>
      </c>
      <c r="X136" s="228">
        <v>0</v>
      </c>
      <c r="Y136" s="229">
        <v>0</v>
      </c>
      <c r="Z136" s="228">
        <v>-7.6</v>
      </c>
      <c r="AA136" s="228">
        <v>-5.7</v>
      </c>
      <c r="AB136" s="228">
        <v>-1.9</v>
      </c>
      <c r="AC136" s="229">
        <v>-4.0000000000000001E-3</v>
      </c>
      <c r="AD136" s="228">
        <v>-7.6</v>
      </c>
      <c r="AE136" s="228">
        <v>-5.7</v>
      </c>
      <c r="AF136" s="228">
        <v>-1.9</v>
      </c>
      <c r="AG136" s="229">
        <v>-4.0000000000000001E-3</v>
      </c>
      <c r="AH136" s="228">
        <v>1.8</v>
      </c>
      <c r="AI136" s="228">
        <v>3.4</v>
      </c>
      <c r="AJ136" s="228">
        <v>-1.6</v>
      </c>
      <c r="AK136" s="229">
        <v>8.9999999999999998E-4</v>
      </c>
      <c r="AL136" s="228">
        <v>0</v>
      </c>
      <c r="AM136" s="228">
        <v>0</v>
      </c>
      <c r="AN136" s="228">
        <v>0</v>
      </c>
      <c r="AO136" s="229">
        <v>0</v>
      </c>
      <c r="AP136" s="231">
        <v>1890.57</v>
      </c>
      <c r="AQ136" s="231">
        <v>1899.25</v>
      </c>
      <c r="AR136" s="228">
        <v>0</v>
      </c>
      <c r="AS136" s="228">
        <v>408</v>
      </c>
      <c r="AT136" s="228">
        <v>154</v>
      </c>
      <c r="AU136" s="228">
        <v>254</v>
      </c>
      <c r="AV136" s="229">
        <v>1.6438999999999999</v>
      </c>
      <c r="AW136" s="228">
        <v>306</v>
      </c>
      <c r="AX136" s="228">
        <v>129</v>
      </c>
      <c r="AY136" s="228">
        <v>177</v>
      </c>
      <c r="AZ136" s="229">
        <v>1.3681000000000001</v>
      </c>
      <c r="BA136" s="228">
        <v>98</v>
      </c>
      <c r="BB136" s="228">
        <v>25</v>
      </c>
      <c r="BC136" s="228">
        <v>73</v>
      </c>
      <c r="BD136" s="229">
        <v>2.9005999999999998</v>
      </c>
      <c r="BE136" s="228">
        <v>0</v>
      </c>
      <c r="BF136" s="228">
        <v>0</v>
      </c>
      <c r="BG136" s="228">
        <v>0</v>
      </c>
      <c r="BH136" s="229">
        <v>0</v>
      </c>
      <c r="BI136" s="230">
        <v>1141</v>
      </c>
      <c r="BJ136" s="228">
        <v>312</v>
      </c>
      <c r="BK136" s="228">
        <v>830</v>
      </c>
      <c r="BL136" s="229">
        <v>2.66</v>
      </c>
      <c r="BM136" s="228">
        <v>688</v>
      </c>
      <c r="BN136" s="228">
        <v>105</v>
      </c>
      <c r="BO136" s="228">
        <v>582</v>
      </c>
      <c r="BP136" s="229">
        <v>5.5209999999999999</v>
      </c>
      <c r="BQ136" s="230">
        <v>2237</v>
      </c>
      <c r="BR136" s="228">
        <v>572</v>
      </c>
      <c r="BS136" s="230">
        <v>1665</v>
      </c>
      <c r="BT136" s="229">
        <v>2.9136000000000002</v>
      </c>
      <c r="BU136" s="230">
        <v>2250804</v>
      </c>
      <c r="BV136" s="230">
        <v>514404</v>
      </c>
      <c r="BW136" s="230">
        <v>1736400</v>
      </c>
      <c r="BX136" s="229">
        <v>3.3755999999999999</v>
      </c>
      <c r="BY136" s="230">
        <v>2302</v>
      </c>
      <c r="BZ136" s="230">
        <v>2273</v>
      </c>
      <c r="CA136" s="228">
        <v>30</v>
      </c>
      <c r="CB136" s="229">
        <v>1.3100000000000001E-2</v>
      </c>
      <c r="CC136" s="230">
        <v>2133</v>
      </c>
      <c r="CD136" s="230">
        <v>2137</v>
      </c>
      <c r="CE136" s="228">
        <v>-4</v>
      </c>
      <c r="CF136" s="229">
        <v>-2.0999999999999999E-3</v>
      </c>
      <c r="CG136" s="228">
        <v>161</v>
      </c>
      <c r="CH136" s="228">
        <v>127</v>
      </c>
      <c r="CI136" s="228">
        <v>34</v>
      </c>
      <c r="CJ136" s="229">
        <v>0.26540000000000002</v>
      </c>
      <c r="CK136" s="228">
        <v>0</v>
      </c>
      <c r="CL136" s="228">
        <v>0</v>
      </c>
      <c r="CM136" s="228">
        <v>0</v>
      </c>
      <c r="CN136" s="229">
        <v>0</v>
      </c>
      <c r="CO136" s="228">
        <v>755</v>
      </c>
      <c r="CP136" s="228">
        <v>732</v>
      </c>
      <c r="CQ136" s="228">
        <v>23</v>
      </c>
      <c r="CR136" s="229">
        <v>3.1800000000000002E-2</v>
      </c>
      <c r="CS136" s="228">
        <v>486</v>
      </c>
      <c r="CT136" s="228">
        <v>451</v>
      </c>
      <c r="CU136" s="228">
        <v>35</v>
      </c>
      <c r="CV136" s="229">
        <v>7.6600000000000001E-2</v>
      </c>
      <c r="CW136" s="230">
        <v>3543</v>
      </c>
      <c r="CX136" s="230">
        <v>3455</v>
      </c>
      <c r="CY136" s="228">
        <v>88</v>
      </c>
      <c r="CZ136" s="229">
        <v>2.53E-2</v>
      </c>
      <c r="DA136" s="228">
        <v>25.53</v>
      </c>
      <c r="DB136" s="228">
        <v>25.81</v>
      </c>
      <c r="DC136" s="228">
        <v>-0.28000000000000003</v>
      </c>
      <c r="DD136" s="228">
        <v>-0.28000000000000003</v>
      </c>
      <c r="DE136" s="228">
        <v>33.49</v>
      </c>
      <c r="DF136" s="228">
        <v>33.549999999999997</v>
      </c>
      <c r="DG136" s="228">
        <v>-7.96</v>
      </c>
      <c r="DH136" s="228">
        <v>-0.06</v>
      </c>
      <c r="DI136" s="228">
        <v>25.75</v>
      </c>
      <c r="DJ136" s="228">
        <v>25.88</v>
      </c>
      <c r="DK136" s="228">
        <v>-0.13</v>
      </c>
      <c r="DL136" s="228">
        <v>-0.13</v>
      </c>
      <c r="DM136" s="228">
        <v>25.15</v>
      </c>
      <c r="DN136" s="228">
        <v>25.59</v>
      </c>
      <c r="DO136" s="228">
        <v>-0.44</v>
      </c>
      <c r="DP136" s="228">
        <v>-0.44</v>
      </c>
      <c r="DQ136" s="228">
        <v>0.64</v>
      </c>
      <c r="DR136" s="228">
        <v>0.62</v>
      </c>
      <c r="DS136" s="228">
        <v>0.02</v>
      </c>
      <c r="DT136" s="229">
        <v>3.2300000000000002E-2</v>
      </c>
      <c r="DU136" s="231">
        <v>2000</v>
      </c>
      <c r="DV136" s="231">
        <v>1900</v>
      </c>
      <c r="DW136" s="228">
        <v>0.6</v>
      </c>
      <c r="DX136" s="228">
        <v>0.34</v>
      </c>
      <c r="DY136" s="228">
        <v>0.26</v>
      </c>
      <c r="DZ136" s="229">
        <v>0.76470000000000005</v>
      </c>
      <c r="EA136" s="229">
        <v>6.9900000000000004E-2</v>
      </c>
      <c r="EB136" s="230">
        <v>671075</v>
      </c>
      <c r="EC136" s="229">
        <v>5.0000000000000001E-3</v>
      </c>
      <c r="ED136" s="229">
        <v>6.9900000000000004E-2</v>
      </c>
      <c r="EE136" s="228">
        <v>8.68</v>
      </c>
      <c r="EF136" s="229">
        <v>4.5999999999999999E-3</v>
      </c>
      <c r="EG136" s="230">
        <v>1640583</v>
      </c>
      <c r="EH136" s="230">
        <v>354164</v>
      </c>
      <c r="EI136" s="229">
        <v>3.6322999999999999</v>
      </c>
      <c r="EJ136" s="229">
        <v>0.72889999999999999</v>
      </c>
      <c r="EK136" s="231">
        <v>1192.21</v>
      </c>
      <c r="EL136" s="228">
        <v>686.8</v>
      </c>
      <c r="EM136" s="228">
        <v>407.29</v>
      </c>
      <c r="EN136" s="228">
        <v>0</v>
      </c>
      <c r="EO136" s="231">
        <v>2286.31</v>
      </c>
      <c r="EP136" s="228">
        <v>591.24</v>
      </c>
      <c r="EQ136" s="231">
        <v>1695.07</v>
      </c>
      <c r="ER136" s="229">
        <v>2.867</v>
      </c>
      <c r="ES136" s="228">
        <v>808.51</v>
      </c>
      <c r="ET136" s="228">
        <v>477.11</v>
      </c>
      <c r="EU136" s="231">
        <v>2303.14</v>
      </c>
      <c r="EV136" s="231">
        <v>48471506</v>
      </c>
      <c r="EW136" s="231">
        <v>3588.75</v>
      </c>
      <c r="EX136" s="231">
        <v>3526.41</v>
      </c>
      <c r="EY136" s="228">
        <v>62.34</v>
      </c>
      <c r="EZ136" s="229">
        <v>1.77E-2</v>
      </c>
      <c r="FA136" s="229">
        <v>0.3856</v>
      </c>
      <c r="FB136" s="227" t="s">
        <v>567</v>
      </c>
      <c r="FC136">
        <f t="shared" si="2"/>
        <v>169</v>
      </c>
    </row>
    <row r="137" spans="1:159" ht="17.25" thickBot="1" x14ac:dyDescent="0.3">
      <c r="A137" s="226">
        <v>45860</v>
      </c>
      <c r="B137" s="227" t="s">
        <v>162</v>
      </c>
      <c r="C137" s="227" t="s">
        <v>251</v>
      </c>
      <c r="D137" s="228">
        <v>200</v>
      </c>
      <c r="E137" s="228">
        <v>9</v>
      </c>
      <c r="F137" s="231">
        <v>3261.9</v>
      </c>
      <c r="G137" s="231">
        <v>3251.1</v>
      </c>
      <c r="H137" s="228">
        <v>10.8</v>
      </c>
      <c r="I137" s="229">
        <v>3.3E-3</v>
      </c>
      <c r="J137" s="231">
        <v>3257.2</v>
      </c>
      <c r="K137" s="231">
        <v>3246.7</v>
      </c>
      <c r="L137" s="228">
        <v>10.5</v>
      </c>
      <c r="M137" s="229">
        <v>3.2000000000000002E-3</v>
      </c>
      <c r="N137" s="231">
        <v>3261.9</v>
      </c>
      <c r="O137" s="231">
        <v>3251.1</v>
      </c>
      <c r="P137" s="228">
        <v>10.8</v>
      </c>
      <c r="Q137" s="229">
        <v>3.3E-3</v>
      </c>
      <c r="R137" s="231">
        <v>3280.8</v>
      </c>
      <c r="S137" s="231">
        <v>3267</v>
      </c>
      <c r="T137" s="228">
        <v>13.8</v>
      </c>
      <c r="U137" s="229">
        <v>4.1999999999999997E-3</v>
      </c>
      <c r="V137" s="228">
        <v>0</v>
      </c>
      <c r="W137" s="228">
        <v>0</v>
      </c>
      <c r="X137" s="228">
        <v>0</v>
      </c>
      <c r="Y137" s="229">
        <v>0</v>
      </c>
      <c r="Z137" s="228">
        <v>4.7</v>
      </c>
      <c r="AA137" s="228">
        <v>4.4000000000000004</v>
      </c>
      <c r="AB137" s="228">
        <v>0.3</v>
      </c>
      <c r="AC137" s="229">
        <v>1.4E-3</v>
      </c>
      <c r="AD137" s="228">
        <v>4.7</v>
      </c>
      <c r="AE137" s="228">
        <v>4.4000000000000004</v>
      </c>
      <c r="AF137" s="228">
        <v>0.3</v>
      </c>
      <c r="AG137" s="229">
        <v>1.4E-3</v>
      </c>
      <c r="AH137" s="228">
        <v>23.6</v>
      </c>
      <c r="AI137" s="228">
        <v>20.3</v>
      </c>
      <c r="AJ137" s="228">
        <v>3.3</v>
      </c>
      <c r="AK137" s="229">
        <v>7.1999999999999998E-3</v>
      </c>
      <c r="AL137" s="228">
        <v>0</v>
      </c>
      <c r="AM137" s="228">
        <v>0</v>
      </c>
      <c r="AN137" s="228">
        <v>0</v>
      </c>
      <c r="AO137" s="229">
        <v>0</v>
      </c>
      <c r="AP137" s="231">
        <v>3250.92</v>
      </c>
      <c r="AQ137" s="231">
        <v>3269.14</v>
      </c>
      <c r="AR137" s="228">
        <v>0</v>
      </c>
      <c r="AS137" s="230">
        <v>1039</v>
      </c>
      <c r="AT137" s="230">
        <v>1129</v>
      </c>
      <c r="AU137" s="228">
        <v>-90</v>
      </c>
      <c r="AV137" s="229">
        <v>-7.9600000000000004E-2</v>
      </c>
      <c r="AW137" s="228">
        <v>862</v>
      </c>
      <c r="AX137" s="230">
        <v>1004</v>
      </c>
      <c r="AY137" s="228">
        <v>-143</v>
      </c>
      <c r="AZ137" s="229">
        <v>-0.14199999999999999</v>
      </c>
      <c r="BA137" s="228">
        <v>121</v>
      </c>
      <c r="BB137" s="228">
        <v>113</v>
      </c>
      <c r="BC137" s="228">
        <v>8</v>
      </c>
      <c r="BD137" s="229">
        <v>6.9599999999999995E-2</v>
      </c>
      <c r="BE137" s="228">
        <v>0</v>
      </c>
      <c r="BF137" s="228">
        <v>0</v>
      </c>
      <c r="BG137" s="228">
        <v>0</v>
      </c>
      <c r="BH137" s="229">
        <v>0</v>
      </c>
      <c r="BI137" s="230">
        <v>4717</v>
      </c>
      <c r="BJ137" s="230">
        <v>4316</v>
      </c>
      <c r="BK137" s="228">
        <v>400</v>
      </c>
      <c r="BL137" s="229">
        <v>9.2700000000000005E-2</v>
      </c>
      <c r="BM137" s="230">
        <v>2020</v>
      </c>
      <c r="BN137" s="230">
        <v>2091</v>
      </c>
      <c r="BO137" s="228">
        <v>-70</v>
      </c>
      <c r="BP137" s="229">
        <v>-3.3700000000000001E-2</v>
      </c>
      <c r="BQ137" s="230">
        <v>7776</v>
      </c>
      <c r="BR137" s="230">
        <v>7536</v>
      </c>
      <c r="BS137" s="228">
        <v>240</v>
      </c>
      <c r="BT137" s="229">
        <v>3.1899999999999998E-2</v>
      </c>
      <c r="BU137" s="230">
        <v>2216627</v>
      </c>
      <c r="BV137" s="230">
        <v>2512628</v>
      </c>
      <c r="BW137" s="230">
        <v>-296001</v>
      </c>
      <c r="BX137" s="229">
        <v>-0.1178</v>
      </c>
      <c r="BY137" s="230">
        <v>7727</v>
      </c>
      <c r="BZ137" s="230">
        <v>7682</v>
      </c>
      <c r="CA137" s="228">
        <v>45</v>
      </c>
      <c r="CB137" s="229">
        <v>5.8999999999999999E-3</v>
      </c>
      <c r="CC137" s="230">
        <v>7010</v>
      </c>
      <c r="CD137" s="230">
        <v>7033</v>
      </c>
      <c r="CE137" s="228">
        <v>-23</v>
      </c>
      <c r="CF137" s="229">
        <v>-3.3E-3</v>
      </c>
      <c r="CG137" s="228">
        <v>462</v>
      </c>
      <c r="CH137" s="228">
        <v>442</v>
      </c>
      <c r="CI137" s="228">
        <v>20</v>
      </c>
      <c r="CJ137" s="229">
        <v>4.4999999999999998E-2</v>
      </c>
      <c r="CK137" s="228">
        <v>0</v>
      </c>
      <c r="CL137" s="228">
        <v>0</v>
      </c>
      <c r="CM137" s="228">
        <v>0</v>
      </c>
      <c r="CN137" s="229">
        <v>0</v>
      </c>
      <c r="CO137" s="230">
        <v>1945</v>
      </c>
      <c r="CP137" s="230">
        <v>1979</v>
      </c>
      <c r="CQ137" s="228">
        <v>-34</v>
      </c>
      <c r="CR137" s="229">
        <v>-1.7000000000000001E-2</v>
      </c>
      <c r="CS137" s="230">
        <v>1170</v>
      </c>
      <c r="CT137" s="230">
        <v>1185</v>
      </c>
      <c r="CU137" s="228">
        <v>-15</v>
      </c>
      <c r="CV137" s="229">
        <v>-1.2699999999999999E-2</v>
      </c>
      <c r="CW137" s="230">
        <v>10842</v>
      </c>
      <c r="CX137" s="230">
        <v>10846</v>
      </c>
      <c r="CY137" s="228">
        <v>-4</v>
      </c>
      <c r="CZ137" s="229">
        <v>-2.9999999999999997E-4</v>
      </c>
      <c r="DA137" s="228">
        <v>28.62</v>
      </c>
      <c r="DB137" s="228">
        <v>28.6</v>
      </c>
      <c r="DC137" s="228">
        <v>0.02</v>
      </c>
      <c r="DD137" s="228">
        <v>0.02</v>
      </c>
      <c r="DE137" s="228">
        <v>34.93</v>
      </c>
      <c r="DF137" s="228">
        <v>35.020000000000003</v>
      </c>
      <c r="DG137" s="228">
        <v>-6.31</v>
      </c>
      <c r="DH137" s="228">
        <v>-0.09</v>
      </c>
      <c r="DI137" s="228">
        <v>27.88</v>
      </c>
      <c r="DJ137" s="228">
        <v>27.48</v>
      </c>
      <c r="DK137" s="228">
        <v>0.4</v>
      </c>
      <c r="DL137" s="228">
        <v>0.4</v>
      </c>
      <c r="DM137" s="228">
        <v>30.37</v>
      </c>
      <c r="DN137" s="228">
        <v>30.89</v>
      </c>
      <c r="DO137" s="228">
        <v>-0.52</v>
      </c>
      <c r="DP137" s="228">
        <v>-0.52</v>
      </c>
      <c r="DQ137" s="228">
        <v>0.6</v>
      </c>
      <c r="DR137" s="228">
        <v>0.6</v>
      </c>
      <c r="DS137" s="228">
        <v>0</v>
      </c>
      <c r="DT137" s="229">
        <v>0</v>
      </c>
      <c r="DU137" s="231">
        <v>3300</v>
      </c>
      <c r="DV137" s="231">
        <v>3200</v>
      </c>
      <c r="DW137" s="228">
        <v>0.43</v>
      </c>
      <c r="DX137" s="228">
        <v>0.48</v>
      </c>
      <c r="DY137" s="228">
        <v>-0.05</v>
      </c>
      <c r="DZ137" s="229">
        <v>-0.1042</v>
      </c>
      <c r="EA137" s="229">
        <v>5.9799999999999999E-2</v>
      </c>
      <c r="EB137" s="230">
        <v>1355400</v>
      </c>
      <c r="EC137" s="229">
        <v>5.7999999999999996E-3</v>
      </c>
      <c r="ED137" s="229">
        <v>5.9799999999999999E-2</v>
      </c>
      <c r="EE137" s="228">
        <v>18.22</v>
      </c>
      <c r="EF137" s="229">
        <v>5.5999999999999999E-3</v>
      </c>
      <c r="EG137" s="230">
        <v>1276177</v>
      </c>
      <c r="EH137" s="230">
        <v>1426788</v>
      </c>
      <c r="EI137" s="229">
        <v>-0.1056</v>
      </c>
      <c r="EJ137" s="229">
        <v>0.57569999999999999</v>
      </c>
      <c r="EK137" s="231">
        <v>4894.03</v>
      </c>
      <c r="EL137" s="231">
        <v>1971.16</v>
      </c>
      <c r="EM137" s="231">
        <v>1036.3800000000001</v>
      </c>
      <c r="EN137" s="228">
        <v>0</v>
      </c>
      <c r="EO137" s="231">
        <v>7901.57</v>
      </c>
      <c r="EP137" s="231">
        <v>7569.03</v>
      </c>
      <c r="EQ137" s="228">
        <v>332.53</v>
      </c>
      <c r="ER137" s="229">
        <v>4.3900000000000002E-2</v>
      </c>
      <c r="ES137" s="231">
        <v>1996.23</v>
      </c>
      <c r="ET137" s="231">
        <v>1091.04</v>
      </c>
      <c r="EU137" s="231">
        <v>7732.8</v>
      </c>
      <c r="EV137" s="231">
        <v>190580808</v>
      </c>
      <c r="EW137" s="231">
        <v>10820.07</v>
      </c>
      <c r="EX137" s="231">
        <v>10793.34</v>
      </c>
      <c r="EY137" s="228">
        <v>26.73</v>
      </c>
      <c r="EZ137" s="229">
        <v>2.5000000000000001E-3</v>
      </c>
      <c r="FA137" s="229">
        <v>0.1744</v>
      </c>
      <c r="FB137" s="227" t="s">
        <v>555</v>
      </c>
      <c r="FC137">
        <f t="shared" si="2"/>
        <v>717</v>
      </c>
    </row>
    <row r="138" spans="1:159" ht="17.25" thickBot="1" x14ac:dyDescent="0.3">
      <c r="A138" s="226">
        <v>45860</v>
      </c>
      <c r="B138" s="227" t="s">
        <v>175</v>
      </c>
      <c r="C138" s="227" t="s">
        <v>252</v>
      </c>
      <c r="D138" s="228">
        <v>2056</v>
      </c>
      <c r="E138" s="228">
        <v>9</v>
      </c>
      <c r="F138" s="228">
        <v>265.7</v>
      </c>
      <c r="G138" s="228">
        <v>263.2</v>
      </c>
      <c r="H138" s="228">
        <v>2.5</v>
      </c>
      <c r="I138" s="229">
        <v>9.4999999999999998E-3</v>
      </c>
      <c r="J138" s="228">
        <v>265.55</v>
      </c>
      <c r="K138" s="228">
        <v>262.85000000000002</v>
      </c>
      <c r="L138" s="228">
        <v>2.7</v>
      </c>
      <c r="M138" s="229">
        <v>1.03E-2</v>
      </c>
      <c r="N138" s="228">
        <v>265.7</v>
      </c>
      <c r="O138" s="228">
        <v>263.2</v>
      </c>
      <c r="P138" s="228">
        <v>2.5</v>
      </c>
      <c r="Q138" s="229">
        <v>9.4999999999999998E-3</v>
      </c>
      <c r="R138" s="228">
        <v>0</v>
      </c>
      <c r="S138" s="228">
        <v>0</v>
      </c>
      <c r="T138" s="228">
        <v>0</v>
      </c>
      <c r="U138" s="229">
        <v>0</v>
      </c>
      <c r="V138" s="228">
        <v>0</v>
      </c>
      <c r="W138" s="228">
        <v>0</v>
      </c>
      <c r="X138" s="228">
        <v>0</v>
      </c>
      <c r="Y138" s="229">
        <v>0</v>
      </c>
      <c r="Z138" s="228">
        <v>0.15</v>
      </c>
      <c r="AA138" s="228">
        <v>0.35</v>
      </c>
      <c r="AB138" s="228">
        <v>-0.2</v>
      </c>
      <c r="AC138" s="229">
        <v>5.9999999999999995E-4</v>
      </c>
      <c r="AD138" s="228">
        <v>0.15</v>
      </c>
      <c r="AE138" s="228">
        <v>0.35</v>
      </c>
      <c r="AF138" s="228">
        <v>-0.2</v>
      </c>
      <c r="AG138" s="229">
        <v>5.9999999999999995E-4</v>
      </c>
      <c r="AH138" s="228">
        <v>0</v>
      </c>
      <c r="AI138" s="228">
        <v>0</v>
      </c>
      <c r="AJ138" s="228">
        <v>0</v>
      </c>
      <c r="AK138" s="229">
        <v>0</v>
      </c>
      <c r="AL138" s="228">
        <v>0</v>
      </c>
      <c r="AM138" s="228">
        <v>0</v>
      </c>
      <c r="AN138" s="228">
        <v>0</v>
      </c>
      <c r="AO138" s="229">
        <v>0</v>
      </c>
      <c r="AP138" s="228">
        <v>264.77999999999997</v>
      </c>
      <c r="AQ138" s="228">
        <v>0</v>
      </c>
      <c r="AR138" s="228">
        <v>0</v>
      </c>
      <c r="AS138" s="228">
        <v>389</v>
      </c>
      <c r="AT138" s="228">
        <v>84</v>
      </c>
      <c r="AU138" s="228">
        <v>304</v>
      </c>
      <c r="AV138" s="229">
        <v>3.6015999999999999</v>
      </c>
      <c r="AW138" s="228">
        <v>389</v>
      </c>
      <c r="AX138" s="228">
        <v>84</v>
      </c>
      <c r="AY138" s="228">
        <v>304</v>
      </c>
      <c r="AZ138" s="229">
        <v>3.6015999999999999</v>
      </c>
      <c r="BA138" s="228">
        <v>0</v>
      </c>
      <c r="BB138" s="228">
        <v>0</v>
      </c>
      <c r="BC138" s="228">
        <v>0</v>
      </c>
      <c r="BD138" s="229">
        <v>0</v>
      </c>
      <c r="BE138" s="228">
        <v>0</v>
      </c>
      <c r="BF138" s="228">
        <v>0</v>
      </c>
      <c r="BG138" s="228">
        <v>0</v>
      </c>
      <c r="BH138" s="229">
        <v>0</v>
      </c>
      <c r="BI138" s="228">
        <v>788</v>
      </c>
      <c r="BJ138" s="228">
        <v>123</v>
      </c>
      <c r="BK138" s="228">
        <v>665</v>
      </c>
      <c r="BL138" s="229">
        <v>5.4279999999999999</v>
      </c>
      <c r="BM138" s="228">
        <v>315</v>
      </c>
      <c r="BN138" s="228">
        <v>59</v>
      </c>
      <c r="BO138" s="228">
        <v>257</v>
      </c>
      <c r="BP138" s="229">
        <v>4.3752000000000004</v>
      </c>
      <c r="BQ138" s="230">
        <v>1492</v>
      </c>
      <c r="BR138" s="228">
        <v>266</v>
      </c>
      <c r="BS138" s="230">
        <v>1226</v>
      </c>
      <c r="BT138" s="229">
        <v>4.6147999999999998</v>
      </c>
      <c r="BU138" s="230">
        <v>6534649</v>
      </c>
      <c r="BV138" s="230">
        <v>1099561</v>
      </c>
      <c r="BW138" s="230">
        <v>5435088</v>
      </c>
      <c r="BX138" s="229">
        <v>4.9429999999999996</v>
      </c>
      <c r="BY138" s="228">
        <v>568</v>
      </c>
      <c r="BZ138" s="228">
        <v>582</v>
      </c>
      <c r="CA138" s="228">
        <v>-13</v>
      </c>
      <c r="CB138" s="229">
        <v>-2.29E-2</v>
      </c>
      <c r="CC138" s="228">
        <v>568</v>
      </c>
      <c r="CD138" s="228">
        <v>582</v>
      </c>
      <c r="CE138" s="228">
        <v>-13</v>
      </c>
      <c r="CF138" s="229">
        <v>-2.29E-2</v>
      </c>
      <c r="CG138" s="228">
        <v>0</v>
      </c>
      <c r="CH138" s="228">
        <v>0</v>
      </c>
      <c r="CI138" s="228">
        <v>0</v>
      </c>
      <c r="CJ138" s="229">
        <v>0</v>
      </c>
      <c r="CK138" s="228">
        <v>0</v>
      </c>
      <c r="CL138" s="228">
        <v>0</v>
      </c>
      <c r="CM138" s="228">
        <v>0</v>
      </c>
      <c r="CN138" s="229">
        <v>0</v>
      </c>
      <c r="CO138" s="228">
        <v>316</v>
      </c>
      <c r="CP138" s="228">
        <v>240</v>
      </c>
      <c r="CQ138" s="228">
        <v>76</v>
      </c>
      <c r="CR138" s="229">
        <v>0.31419999999999998</v>
      </c>
      <c r="CS138" s="228">
        <v>174</v>
      </c>
      <c r="CT138" s="228">
        <v>160</v>
      </c>
      <c r="CU138" s="228">
        <v>14</v>
      </c>
      <c r="CV138" s="229">
        <v>8.6099999999999996E-2</v>
      </c>
      <c r="CW138" s="230">
        <v>1059</v>
      </c>
      <c r="CX138" s="228">
        <v>983</v>
      </c>
      <c r="CY138" s="228">
        <v>76</v>
      </c>
      <c r="CZ138" s="229">
        <v>7.7399999999999997E-2</v>
      </c>
      <c r="DA138" s="228">
        <v>36.11</v>
      </c>
      <c r="DB138" s="228">
        <v>37.32</v>
      </c>
      <c r="DC138" s="228">
        <v>-1.21</v>
      </c>
      <c r="DD138" s="228">
        <v>-1.21</v>
      </c>
      <c r="DE138" s="228">
        <v>36.97</v>
      </c>
      <c r="DF138" s="228">
        <v>37.04</v>
      </c>
      <c r="DG138" s="228">
        <v>-0.86</v>
      </c>
      <c r="DH138" s="228">
        <v>-7.0000000000000007E-2</v>
      </c>
      <c r="DI138" s="228">
        <v>36.17</v>
      </c>
      <c r="DJ138" s="228">
        <v>37.24</v>
      </c>
      <c r="DK138" s="228">
        <v>-1.07</v>
      </c>
      <c r="DL138" s="228">
        <v>-1.07</v>
      </c>
      <c r="DM138" s="228">
        <v>35.97</v>
      </c>
      <c r="DN138" s="228">
        <v>37.479999999999997</v>
      </c>
      <c r="DO138" s="228">
        <v>-1.51</v>
      </c>
      <c r="DP138" s="228">
        <v>-1.51</v>
      </c>
      <c r="DQ138" s="228">
        <v>0.55000000000000004</v>
      </c>
      <c r="DR138" s="228">
        <v>0.67</v>
      </c>
      <c r="DS138" s="228">
        <v>-0.12</v>
      </c>
      <c r="DT138" s="229">
        <v>-0.17910000000000001</v>
      </c>
      <c r="DU138" s="228">
        <v>273.5</v>
      </c>
      <c r="DV138" s="228">
        <v>243.5</v>
      </c>
      <c r="DW138" s="228">
        <v>0.4</v>
      </c>
      <c r="DX138" s="228">
        <v>0.48</v>
      </c>
      <c r="DY138" s="228">
        <v>-0.08</v>
      </c>
      <c r="DZ138" s="229">
        <v>-0.16669999999999999</v>
      </c>
      <c r="EA138" s="229">
        <v>0</v>
      </c>
      <c r="EB138" s="228">
        <v>0</v>
      </c>
      <c r="EC138" s="229">
        <v>0</v>
      </c>
      <c r="ED138" s="229">
        <v>0</v>
      </c>
      <c r="EE138" s="228">
        <v>0</v>
      </c>
      <c r="EF138" s="229">
        <v>0</v>
      </c>
      <c r="EG138" s="230">
        <v>2661814</v>
      </c>
      <c r="EH138" s="230">
        <v>446015</v>
      </c>
      <c r="EI138" s="229">
        <v>4.968</v>
      </c>
      <c r="EJ138" s="229">
        <v>0.4073</v>
      </c>
      <c r="EK138" s="228">
        <v>818.26</v>
      </c>
      <c r="EL138" s="228">
        <v>308.66000000000003</v>
      </c>
      <c r="EM138" s="228">
        <v>387.28</v>
      </c>
      <c r="EN138" s="228">
        <v>0</v>
      </c>
      <c r="EO138" s="231">
        <v>1514.2</v>
      </c>
      <c r="EP138" s="228">
        <v>265.54000000000002</v>
      </c>
      <c r="EQ138" s="231">
        <v>1248.6600000000001</v>
      </c>
      <c r="ER138" s="229">
        <v>4.7023999999999999</v>
      </c>
      <c r="ES138" s="228">
        <v>328.55</v>
      </c>
      <c r="ET138" s="228">
        <v>166.29</v>
      </c>
      <c r="EU138" s="228">
        <v>568.35</v>
      </c>
      <c r="EV138" s="231">
        <v>131950203</v>
      </c>
      <c r="EW138" s="231">
        <v>1063.19</v>
      </c>
      <c r="EX138" s="228">
        <v>978.86</v>
      </c>
      <c r="EY138" s="228">
        <v>84.33</v>
      </c>
      <c r="EZ138" s="229">
        <v>8.6199999999999999E-2</v>
      </c>
      <c r="FA138" s="229">
        <v>0.30199999999999999</v>
      </c>
      <c r="FB138" s="227" t="s">
        <v>556</v>
      </c>
      <c r="FC138">
        <f t="shared" si="2"/>
        <v>0</v>
      </c>
    </row>
    <row r="139" spans="1:159" ht="17.25" thickBot="1" x14ac:dyDescent="0.3">
      <c r="A139" s="226">
        <v>45860</v>
      </c>
      <c r="B139" s="227" t="s">
        <v>175</v>
      </c>
      <c r="C139" s="227" t="s">
        <v>253</v>
      </c>
      <c r="D139" s="228">
        <v>3000</v>
      </c>
      <c r="E139" s="228">
        <v>9</v>
      </c>
      <c r="F139" s="228">
        <v>272</v>
      </c>
      <c r="G139" s="228">
        <v>270.64999999999998</v>
      </c>
      <c r="H139" s="228">
        <v>1.35</v>
      </c>
      <c r="I139" s="229">
        <v>5.0000000000000001E-3</v>
      </c>
      <c r="J139" s="228">
        <v>272.05</v>
      </c>
      <c r="K139" s="228">
        <v>270.3</v>
      </c>
      <c r="L139" s="228">
        <v>1.75</v>
      </c>
      <c r="M139" s="229">
        <v>6.4999999999999997E-3</v>
      </c>
      <c r="N139" s="228">
        <v>272</v>
      </c>
      <c r="O139" s="228">
        <v>270.64999999999998</v>
      </c>
      <c r="P139" s="228">
        <v>1.35</v>
      </c>
      <c r="Q139" s="229">
        <v>5.0000000000000001E-3</v>
      </c>
      <c r="R139" s="228">
        <v>272.7</v>
      </c>
      <c r="S139" s="228">
        <v>271.8</v>
      </c>
      <c r="T139" s="228">
        <v>0.9</v>
      </c>
      <c r="U139" s="229">
        <v>3.3E-3</v>
      </c>
      <c r="V139" s="228">
        <v>0</v>
      </c>
      <c r="W139" s="228">
        <v>0</v>
      </c>
      <c r="X139" s="228">
        <v>0</v>
      </c>
      <c r="Y139" s="229">
        <v>0</v>
      </c>
      <c r="Z139" s="228">
        <v>-0.05</v>
      </c>
      <c r="AA139" s="228">
        <v>0.35</v>
      </c>
      <c r="AB139" s="228">
        <v>-0.4</v>
      </c>
      <c r="AC139" s="229">
        <v>-2.0000000000000001E-4</v>
      </c>
      <c r="AD139" s="228">
        <v>-0.05</v>
      </c>
      <c r="AE139" s="228">
        <v>0.35</v>
      </c>
      <c r="AF139" s="228">
        <v>-0.4</v>
      </c>
      <c r="AG139" s="229">
        <v>-2.0000000000000001E-4</v>
      </c>
      <c r="AH139" s="228">
        <v>0.65</v>
      </c>
      <c r="AI139" s="228">
        <v>1.5</v>
      </c>
      <c r="AJ139" s="228">
        <v>-0.85</v>
      </c>
      <c r="AK139" s="229">
        <v>2.3999999999999998E-3</v>
      </c>
      <c r="AL139" s="228">
        <v>0</v>
      </c>
      <c r="AM139" s="228">
        <v>0</v>
      </c>
      <c r="AN139" s="228">
        <v>0</v>
      </c>
      <c r="AO139" s="229">
        <v>0</v>
      </c>
      <c r="AP139" s="228">
        <v>271.77999999999997</v>
      </c>
      <c r="AQ139" s="228">
        <v>272.73</v>
      </c>
      <c r="AR139" s="228">
        <v>0</v>
      </c>
      <c r="AS139" s="228">
        <v>84</v>
      </c>
      <c r="AT139" s="228">
        <v>147</v>
      </c>
      <c r="AU139" s="228">
        <v>-63</v>
      </c>
      <c r="AV139" s="229">
        <v>-0.43009999999999998</v>
      </c>
      <c r="AW139" s="228">
        <v>75</v>
      </c>
      <c r="AX139" s="228">
        <v>137</v>
      </c>
      <c r="AY139" s="228">
        <v>-62</v>
      </c>
      <c r="AZ139" s="229">
        <v>-0.45</v>
      </c>
      <c r="BA139" s="228">
        <v>8</v>
      </c>
      <c r="BB139" s="228">
        <v>10</v>
      </c>
      <c r="BC139" s="228">
        <v>-2</v>
      </c>
      <c r="BD139" s="229">
        <v>-0.188</v>
      </c>
      <c r="BE139" s="228">
        <v>0</v>
      </c>
      <c r="BF139" s="228">
        <v>0</v>
      </c>
      <c r="BG139" s="228">
        <v>0</v>
      </c>
      <c r="BH139" s="229">
        <v>0</v>
      </c>
      <c r="BI139" s="228">
        <v>211</v>
      </c>
      <c r="BJ139" s="228">
        <v>285</v>
      </c>
      <c r="BK139" s="228">
        <v>-74</v>
      </c>
      <c r="BL139" s="229">
        <v>-0.25940000000000002</v>
      </c>
      <c r="BM139" s="228">
        <v>82</v>
      </c>
      <c r="BN139" s="228">
        <v>149</v>
      </c>
      <c r="BO139" s="228">
        <v>-68</v>
      </c>
      <c r="BP139" s="229">
        <v>-0.45379999999999998</v>
      </c>
      <c r="BQ139" s="228">
        <v>376</v>
      </c>
      <c r="BR139" s="228">
        <v>581</v>
      </c>
      <c r="BS139" s="228">
        <v>-205</v>
      </c>
      <c r="BT139" s="229">
        <v>-0.35249999999999998</v>
      </c>
      <c r="BU139" s="230">
        <v>2803077</v>
      </c>
      <c r="BV139" s="230">
        <v>3895675</v>
      </c>
      <c r="BW139" s="230">
        <v>-1092598</v>
      </c>
      <c r="BX139" s="229">
        <v>-0.28050000000000003</v>
      </c>
      <c r="BY139" s="228">
        <v>640</v>
      </c>
      <c r="BZ139" s="228">
        <v>666</v>
      </c>
      <c r="CA139" s="228">
        <v>-25</v>
      </c>
      <c r="CB139" s="229">
        <v>-3.7999999999999999E-2</v>
      </c>
      <c r="CC139" s="228">
        <v>592</v>
      </c>
      <c r="CD139" s="228">
        <v>620</v>
      </c>
      <c r="CE139" s="228">
        <v>-27</v>
      </c>
      <c r="CF139" s="229">
        <v>-4.4400000000000002E-2</v>
      </c>
      <c r="CG139" s="228">
        <v>44</v>
      </c>
      <c r="CH139" s="228">
        <v>42</v>
      </c>
      <c r="CI139" s="228">
        <v>2</v>
      </c>
      <c r="CJ139" s="229">
        <v>5.0999999999999997E-2</v>
      </c>
      <c r="CK139" s="228">
        <v>0</v>
      </c>
      <c r="CL139" s="228">
        <v>0</v>
      </c>
      <c r="CM139" s="228">
        <v>0</v>
      </c>
      <c r="CN139" s="229">
        <v>0</v>
      </c>
      <c r="CO139" s="228">
        <v>437</v>
      </c>
      <c r="CP139" s="228">
        <v>459</v>
      </c>
      <c r="CQ139" s="228">
        <v>-22</v>
      </c>
      <c r="CR139" s="229">
        <v>-4.8000000000000001E-2</v>
      </c>
      <c r="CS139" s="228">
        <v>284</v>
      </c>
      <c r="CT139" s="228">
        <v>290</v>
      </c>
      <c r="CU139" s="228">
        <v>-6</v>
      </c>
      <c r="CV139" s="229">
        <v>-0.02</v>
      </c>
      <c r="CW139" s="230">
        <v>1361</v>
      </c>
      <c r="CX139" s="230">
        <v>1414</v>
      </c>
      <c r="CY139" s="228">
        <v>-53</v>
      </c>
      <c r="CZ139" s="229">
        <v>-3.7600000000000001E-2</v>
      </c>
      <c r="DA139" s="228">
        <v>23.66</v>
      </c>
      <c r="DB139" s="228">
        <v>25.16</v>
      </c>
      <c r="DC139" s="228">
        <v>-1.5</v>
      </c>
      <c r="DD139" s="228">
        <v>-1.5</v>
      </c>
      <c r="DE139" s="228">
        <v>45.89</v>
      </c>
      <c r="DF139" s="228">
        <v>46</v>
      </c>
      <c r="DG139" s="228">
        <v>-22.23</v>
      </c>
      <c r="DH139" s="228">
        <v>-0.11</v>
      </c>
      <c r="DI139" s="228">
        <v>23.79</v>
      </c>
      <c r="DJ139" s="228">
        <v>25.84</v>
      </c>
      <c r="DK139" s="228">
        <v>-2.0499999999999998</v>
      </c>
      <c r="DL139" s="228">
        <v>-2.0499999999999998</v>
      </c>
      <c r="DM139" s="228">
        <v>23.33</v>
      </c>
      <c r="DN139" s="228">
        <v>23.86</v>
      </c>
      <c r="DO139" s="228">
        <v>-0.53</v>
      </c>
      <c r="DP139" s="228">
        <v>-0.53</v>
      </c>
      <c r="DQ139" s="228">
        <v>0.65</v>
      </c>
      <c r="DR139" s="228">
        <v>0.63</v>
      </c>
      <c r="DS139" s="228">
        <v>0.02</v>
      </c>
      <c r="DT139" s="229">
        <v>3.1699999999999999E-2</v>
      </c>
      <c r="DU139" s="228">
        <v>280</v>
      </c>
      <c r="DV139" s="228">
        <v>270</v>
      </c>
      <c r="DW139" s="228">
        <v>0.39</v>
      </c>
      <c r="DX139" s="228">
        <v>0.52</v>
      </c>
      <c r="DY139" s="228">
        <v>-0.13</v>
      </c>
      <c r="DZ139" s="229">
        <v>-0.25</v>
      </c>
      <c r="EA139" s="229">
        <v>6.83E-2</v>
      </c>
      <c r="EB139" s="230">
        <v>1530000</v>
      </c>
      <c r="EC139" s="229">
        <v>2.5999999999999999E-3</v>
      </c>
      <c r="ED139" s="229">
        <v>6.83E-2</v>
      </c>
      <c r="EE139" s="228">
        <v>0.95</v>
      </c>
      <c r="EF139" s="229">
        <v>3.5000000000000001E-3</v>
      </c>
      <c r="EG139" s="230">
        <v>1806920</v>
      </c>
      <c r="EH139" s="230">
        <v>2268412</v>
      </c>
      <c r="EI139" s="229">
        <v>-0.2034</v>
      </c>
      <c r="EJ139" s="229">
        <v>0.64459999999999995</v>
      </c>
      <c r="EK139" s="228">
        <v>217.04</v>
      </c>
      <c r="EL139" s="228">
        <v>81.290000000000006</v>
      </c>
      <c r="EM139" s="228">
        <v>83.77</v>
      </c>
      <c r="EN139" s="228">
        <v>0</v>
      </c>
      <c r="EO139" s="228">
        <v>382.1</v>
      </c>
      <c r="EP139" s="228">
        <v>590.34</v>
      </c>
      <c r="EQ139" s="228">
        <v>-208.24</v>
      </c>
      <c r="ER139" s="229">
        <v>-0.35270000000000001</v>
      </c>
      <c r="ES139" s="228">
        <v>452.36</v>
      </c>
      <c r="ET139" s="228">
        <v>274.24</v>
      </c>
      <c r="EU139" s="228">
        <v>640.39</v>
      </c>
      <c r="EV139" s="231">
        <v>109606743</v>
      </c>
      <c r="EW139" s="231">
        <v>1366.98</v>
      </c>
      <c r="EX139" s="231">
        <v>1417.28</v>
      </c>
      <c r="EY139" s="228">
        <v>-50.3</v>
      </c>
      <c r="EZ139" s="229">
        <v>-3.5499999999999997E-2</v>
      </c>
      <c r="FA139" s="229">
        <v>0.45650000000000002</v>
      </c>
      <c r="FB139" s="227" t="s">
        <v>556</v>
      </c>
      <c r="FC139">
        <f t="shared" si="2"/>
        <v>48</v>
      </c>
    </row>
    <row r="140" spans="1:159" ht="17.25" thickBot="1" x14ac:dyDescent="0.3">
      <c r="A140" s="226">
        <v>45860</v>
      </c>
      <c r="B140" s="227" t="s">
        <v>170</v>
      </c>
      <c r="C140" s="227" t="s">
        <v>674</v>
      </c>
      <c r="D140" s="228">
        <v>225</v>
      </c>
      <c r="E140" s="228">
        <v>9</v>
      </c>
      <c r="F140" s="231">
        <v>2671.9</v>
      </c>
      <c r="G140" s="231">
        <v>2653.1</v>
      </c>
      <c r="H140" s="228">
        <v>18.8</v>
      </c>
      <c r="I140" s="229">
        <v>7.1000000000000004E-3</v>
      </c>
      <c r="J140" s="231">
        <v>2670.5</v>
      </c>
      <c r="K140" s="231">
        <v>2646</v>
      </c>
      <c r="L140" s="228">
        <v>24.5</v>
      </c>
      <c r="M140" s="229">
        <v>9.2999999999999992E-3</v>
      </c>
      <c r="N140" s="231">
        <v>2671.9</v>
      </c>
      <c r="O140" s="231">
        <v>2653.1</v>
      </c>
      <c r="P140" s="228">
        <v>18.8</v>
      </c>
      <c r="Q140" s="229">
        <v>7.1000000000000004E-3</v>
      </c>
      <c r="R140" s="231">
        <v>2675.4</v>
      </c>
      <c r="S140" s="231">
        <v>2661.8</v>
      </c>
      <c r="T140" s="228">
        <v>13.6</v>
      </c>
      <c r="U140" s="229">
        <v>5.1000000000000004E-3</v>
      </c>
      <c r="V140" s="228">
        <v>0</v>
      </c>
      <c r="W140" s="228">
        <v>0</v>
      </c>
      <c r="X140" s="228">
        <v>0</v>
      </c>
      <c r="Y140" s="229">
        <v>0</v>
      </c>
      <c r="Z140" s="228">
        <v>1.4</v>
      </c>
      <c r="AA140" s="228">
        <v>7.1</v>
      </c>
      <c r="AB140" s="228">
        <v>-5.7</v>
      </c>
      <c r="AC140" s="229">
        <v>5.0000000000000001E-4</v>
      </c>
      <c r="AD140" s="228">
        <v>1.4</v>
      </c>
      <c r="AE140" s="228">
        <v>7.1</v>
      </c>
      <c r="AF140" s="228">
        <v>-5.7</v>
      </c>
      <c r="AG140" s="229">
        <v>5.0000000000000001E-4</v>
      </c>
      <c r="AH140" s="228">
        <v>4.9000000000000004</v>
      </c>
      <c r="AI140" s="228">
        <v>15.8</v>
      </c>
      <c r="AJ140" s="228">
        <v>-10.9</v>
      </c>
      <c r="AK140" s="229">
        <v>1.8E-3</v>
      </c>
      <c r="AL140" s="228">
        <v>0</v>
      </c>
      <c r="AM140" s="228">
        <v>0</v>
      </c>
      <c r="AN140" s="228">
        <v>0</v>
      </c>
      <c r="AO140" s="229">
        <v>0</v>
      </c>
      <c r="AP140" s="231">
        <v>2672.51</v>
      </c>
      <c r="AQ140" s="231">
        <v>2678.19</v>
      </c>
      <c r="AR140" s="228">
        <v>0</v>
      </c>
      <c r="AS140" s="228">
        <v>62</v>
      </c>
      <c r="AT140" s="228">
        <v>73</v>
      </c>
      <c r="AU140" s="228">
        <v>-11</v>
      </c>
      <c r="AV140" s="229">
        <v>-0.15670000000000001</v>
      </c>
      <c r="AW140" s="228">
        <v>57</v>
      </c>
      <c r="AX140" s="228">
        <v>69</v>
      </c>
      <c r="AY140" s="228">
        <v>-12</v>
      </c>
      <c r="AZ140" s="229">
        <v>-0.1721</v>
      </c>
      <c r="BA140" s="228">
        <v>5</v>
      </c>
      <c r="BB140" s="228">
        <v>4</v>
      </c>
      <c r="BC140" s="228">
        <v>0</v>
      </c>
      <c r="BD140" s="229">
        <v>0.1176</v>
      </c>
      <c r="BE140" s="228">
        <v>0</v>
      </c>
      <c r="BF140" s="228">
        <v>0</v>
      </c>
      <c r="BG140" s="228">
        <v>0</v>
      </c>
      <c r="BH140" s="229">
        <v>0</v>
      </c>
      <c r="BI140" s="228">
        <v>547</v>
      </c>
      <c r="BJ140" s="228">
        <v>497</v>
      </c>
      <c r="BK140" s="228">
        <v>50</v>
      </c>
      <c r="BL140" s="229">
        <v>0.10050000000000001</v>
      </c>
      <c r="BM140" s="228">
        <v>118</v>
      </c>
      <c r="BN140" s="228">
        <v>138</v>
      </c>
      <c r="BO140" s="228">
        <v>-20</v>
      </c>
      <c r="BP140" s="229">
        <v>-0.14599999999999999</v>
      </c>
      <c r="BQ140" s="228">
        <v>727</v>
      </c>
      <c r="BR140" s="228">
        <v>708</v>
      </c>
      <c r="BS140" s="228">
        <v>18</v>
      </c>
      <c r="BT140" s="229">
        <v>2.5700000000000001E-2</v>
      </c>
      <c r="BU140" s="230">
        <v>391264</v>
      </c>
      <c r="BV140" s="230">
        <v>414961</v>
      </c>
      <c r="BW140" s="230">
        <v>-23697</v>
      </c>
      <c r="BX140" s="229">
        <v>-5.7099999999999998E-2</v>
      </c>
      <c r="BY140" s="228">
        <v>357</v>
      </c>
      <c r="BZ140" s="228">
        <v>369</v>
      </c>
      <c r="CA140" s="228">
        <v>-12</v>
      </c>
      <c r="CB140" s="229">
        <v>-3.1800000000000002E-2</v>
      </c>
      <c r="CC140" s="228">
        <v>336</v>
      </c>
      <c r="CD140" s="228">
        <v>348</v>
      </c>
      <c r="CE140" s="228">
        <v>-13</v>
      </c>
      <c r="CF140" s="229">
        <v>-3.6700000000000003E-2</v>
      </c>
      <c r="CG140" s="228">
        <v>19</v>
      </c>
      <c r="CH140" s="228">
        <v>19</v>
      </c>
      <c r="CI140" s="228">
        <v>1</v>
      </c>
      <c r="CJ140" s="229">
        <v>4.5199999999999997E-2</v>
      </c>
      <c r="CK140" s="228">
        <v>0</v>
      </c>
      <c r="CL140" s="228">
        <v>0</v>
      </c>
      <c r="CM140" s="228">
        <v>0</v>
      </c>
      <c r="CN140" s="229">
        <v>0</v>
      </c>
      <c r="CO140" s="228">
        <v>265</v>
      </c>
      <c r="CP140" s="228">
        <v>295</v>
      </c>
      <c r="CQ140" s="228">
        <v>-30</v>
      </c>
      <c r="CR140" s="229">
        <v>-0.1002</v>
      </c>
      <c r="CS140" s="228">
        <v>145</v>
      </c>
      <c r="CT140" s="228">
        <v>159</v>
      </c>
      <c r="CU140" s="228">
        <v>-13</v>
      </c>
      <c r="CV140" s="229">
        <v>-8.3699999999999997E-2</v>
      </c>
      <c r="CW140" s="228">
        <v>768</v>
      </c>
      <c r="CX140" s="228">
        <v>822</v>
      </c>
      <c r="CY140" s="228">
        <v>-55</v>
      </c>
      <c r="CZ140" s="229">
        <v>-6.6299999999999998E-2</v>
      </c>
      <c r="DA140" s="228">
        <v>38.31</v>
      </c>
      <c r="DB140" s="228">
        <v>35.979999999999997</v>
      </c>
      <c r="DC140" s="228">
        <v>2.33</v>
      </c>
      <c r="DD140" s="228">
        <v>2.33</v>
      </c>
      <c r="DE140" s="228">
        <v>37.32</v>
      </c>
      <c r="DF140" s="228">
        <v>37.4</v>
      </c>
      <c r="DG140" s="228">
        <v>0.99</v>
      </c>
      <c r="DH140" s="228">
        <v>-0.08</v>
      </c>
      <c r="DI140" s="228">
        <v>38.630000000000003</v>
      </c>
      <c r="DJ140" s="228">
        <v>36.32</v>
      </c>
      <c r="DK140" s="228">
        <v>2.31</v>
      </c>
      <c r="DL140" s="228">
        <v>2.31</v>
      </c>
      <c r="DM140" s="228">
        <v>36.83</v>
      </c>
      <c r="DN140" s="228">
        <v>34.75</v>
      </c>
      <c r="DO140" s="228">
        <v>2.08</v>
      </c>
      <c r="DP140" s="228">
        <v>2.08</v>
      </c>
      <c r="DQ140" s="228">
        <v>0.55000000000000004</v>
      </c>
      <c r="DR140" s="228">
        <v>0.54</v>
      </c>
      <c r="DS140" s="228">
        <v>0.01</v>
      </c>
      <c r="DT140" s="229">
        <v>1.8499999999999999E-2</v>
      </c>
      <c r="DU140" s="231">
        <v>2700</v>
      </c>
      <c r="DV140" s="231">
        <v>2500</v>
      </c>
      <c r="DW140" s="228">
        <v>0.22</v>
      </c>
      <c r="DX140" s="228">
        <v>0.28000000000000003</v>
      </c>
      <c r="DY140" s="228">
        <v>-0.06</v>
      </c>
      <c r="DZ140" s="229">
        <v>-0.21429999999999999</v>
      </c>
      <c r="EA140" s="229">
        <v>5.45E-2</v>
      </c>
      <c r="EB140" s="230">
        <v>69750</v>
      </c>
      <c r="EC140" s="229">
        <v>1.2999999999999999E-3</v>
      </c>
      <c r="ED140" s="229">
        <v>5.45E-2</v>
      </c>
      <c r="EE140" s="228">
        <v>5.68</v>
      </c>
      <c r="EF140" s="229">
        <v>2.0999999999999999E-3</v>
      </c>
      <c r="EG140" s="230">
        <v>235197</v>
      </c>
      <c r="EH140" s="230">
        <v>224755</v>
      </c>
      <c r="EI140" s="229">
        <v>4.65E-2</v>
      </c>
      <c r="EJ140" s="229">
        <v>0.60109999999999997</v>
      </c>
      <c r="EK140" s="228">
        <v>589.78</v>
      </c>
      <c r="EL140" s="228">
        <v>111.69</v>
      </c>
      <c r="EM140" s="228">
        <v>61.83</v>
      </c>
      <c r="EN140" s="228">
        <v>0</v>
      </c>
      <c r="EO140" s="228">
        <v>763.3</v>
      </c>
      <c r="EP140" s="228">
        <v>721.52</v>
      </c>
      <c r="EQ140" s="228">
        <v>41.77</v>
      </c>
      <c r="ER140" s="229">
        <v>5.79E-2</v>
      </c>
      <c r="ES140" s="228">
        <v>269.35000000000002</v>
      </c>
      <c r="ET140" s="228">
        <v>131.72999999999999</v>
      </c>
      <c r="EU140" s="228">
        <v>357.37</v>
      </c>
      <c r="EV140" s="231">
        <v>22523583</v>
      </c>
      <c r="EW140" s="228">
        <v>758.45</v>
      </c>
      <c r="EX140" s="228">
        <v>810.45</v>
      </c>
      <c r="EY140" s="228">
        <v>-52</v>
      </c>
      <c r="EZ140" s="229">
        <v>-6.4199999999999993E-2</v>
      </c>
      <c r="FA140" s="229">
        <v>0.12759999999999999</v>
      </c>
      <c r="FB140" s="227" t="s">
        <v>556</v>
      </c>
      <c r="FC140">
        <f t="shared" si="2"/>
        <v>21</v>
      </c>
    </row>
    <row r="141" spans="1:159" ht="17.25" thickBot="1" x14ac:dyDescent="0.3">
      <c r="A141" s="226">
        <v>45860</v>
      </c>
      <c r="B141" s="227" t="s">
        <v>168</v>
      </c>
      <c r="C141" s="227" t="s">
        <v>254</v>
      </c>
      <c r="D141" s="228">
        <v>1200</v>
      </c>
      <c r="E141" s="228">
        <v>9</v>
      </c>
      <c r="F141" s="228">
        <v>716.9</v>
      </c>
      <c r="G141" s="228">
        <v>719</v>
      </c>
      <c r="H141" s="228">
        <v>-2.1</v>
      </c>
      <c r="I141" s="229">
        <v>-2.8999999999999998E-3</v>
      </c>
      <c r="J141" s="228">
        <v>716.35</v>
      </c>
      <c r="K141" s="228">
        <v>717.7</v>
      </c>
      <c r="L141" s="228">
        <v>-1.35</v>
      </c>
      <c r="M141" s="229">
        <v>-1.9E-3</v>
      </c>
      <c r="N141" s="228">
        <v>716.9</v>
      </c>
      <c r="O141" s="228">
        <v>719</v>
      </c>
      <c r="P141" s="228">
        <v>-2.1</v>
      </c>
      <c r="Q141" s="229">
        <v>-2.8999999999999998E-3</v>
      </c>
      <c r="R141" s="228">
        <v>714.25</v>
      </c>
      <c r="S141" s="228">
        <v>715.9</v>
      </c>
      <c r="T141" s="228">
        <v>-1.65</v>
      </c>
      <c r="U141" s="229">
        <v>-2.3E-3</v>
      </c>
      <c r="V141" s="228">
        <v>0</v>
      </c>
      <c r="W141" s="228">
        <v>0</v>
      </c>
      <c r="X141" s="228">
        <v>0</v>
      </c>
      <c r="Y141" s="229">
        <v>0</v>
      </c>
      <c r="Z141" s="228">
        <v>0.55000000000000004</v>
      </c>
      <c r="AA141" s="228">
        <v>1.3</v>
      </c>
      <c r="AB141" s="228">
        <v>-0.75</v>
      </c>
      <c r="AC141" s="229">
        <v>8.0000000000000004E-4</v>
      </c>
      <c r="AD141" s="228">
        <v>0.55000000000000004</v>
      </c>
      <c r="AE141" s="228">
        <v>1.3</v>
      </c>
      <c r="AF141" s="228">
        <v>-0.75</v>
      </c>
      <c r="AG141" s="229">
        <v>8.0000000000000004E-4</v>
      </c>
      <c r="AH141" s="228">
        <v>-2.1</v>
      </c>
      <c r="AI141" s="228">
        <v>-1.8</v>
      </c>
      <c r="AJ141" s="228">
        <v>-0.3</v>
      </c>
      <c r="AK141" s="229">
        <v>-2.8999999999999998E-3</v>
      </c>
      <c r="AL141" s="228">
        <v>0</v>
      </c>
      <c r="AM141" s="228">
        <v>0</v>
      </c>
      <c r="AN141" s="228">
        <v>0</v>
      </c>
      <c r="AO141" s="229">
        <v>0</v>
      </c>
      <c r="AP141" s="228">
        <v>719.6</v>
      </c>
      <c r="AQ141" s="228">
        <v>716.55</v>
      </c>
      <c r="AR141" s="228">
        <v>0</v>
      </c>
      <c r="AS141" s="228">
        <v>122</v>
      </c>
      <c r="AT141" s="228">
        <v>160</v>
      </c>
      <c r="AU141" s="228">
        <v>-38</v>
      </c>
      <c r="AV141" s="229">
        <v>-0.2351</v>
      </c>
      <c r="AW141" s="228">
        <v>113</v>
      </c>
      <c r="AX141" s="228">
        <v>142</v>
      </c>
      <c r="AY141" s="228">
        <v>-29</v>
      </c>
      <c r="AZ141" s="229">
        <v>-0.20280000000000001</v>
      </c>
      <c r="BA141" s="228">
        <v>9</v>
      </c>
      <c r="BB141" s="228">
        <v>17</v>
      </c>
      <c r="BC141" s="228">
        <v>-8</v>
      </c>
      <c r="BD141" s="229">
        <v>-0.4798</v>
      </c>
      <c r="BE141" s="228">
        <v>0</v>
      </c>
      <c r="BF141" s="228">
        <v>0</v>
      </c>
      <c r="BG141" s="228">
        <v>0</v>
      </c>
      <c r="BH141" s="229">
        <v>0</v>
      </c>
      <c r="BI141" s="228">
        <v>295</v>
      </c>
      <c r="BJ141" s="228">
        <v>420</v>
      </c>
      <c r="BK141" s="228">
        <v>-124</v>
      </c>
      <c r="BL141" s="229">
        <v>-0.29620000000000002</v>
      </c>
      <c r="BM141" s="228">
        <v>127</v>
      </c>
      <c r="BN141" s="228">
        <v>172</v>
      </c>
      <c r="BO141" s="228">
        <v>-45</v>
      </c>
      <c r="BP141" s="229">
        <v>-0.26250000000000001</v>
      </c>
      <c r="BQ141" s="228">
        <v>545</v>
      </c>
      <c r="BR141" s="228">
        <v>752</v>
      </c>
      <c r="BS141" s="228">
        <v>-207</v>
      </c>
      <c r="BT141" s="229">
        <v>-0.27550000000000002</v>
      </c>
      <c r="BU141" s="230">
        <v>1743159</v>
      </c>
      <c r="BV141" s="230">
        <v>2470325</v>
      </c>
      <c r="BW141" s="230">
        <v>-727166</v>
      </c>
      <c r="BX141" s="229">
        <v>-0.2944</v>
      </c>
      <c r="BY141" s="230">
        <v>1436</v>
      </c>
      <c r="BZ141" s="230">
        <v>1457</v>
      </c>
      <c r="CA141" s="228">
        <v>-22</v>
      </c>
      <c r="CB141" s="229">
        <v>-1.49E-2</v>
      </c>
      <c r="CC141" s="230">
        <v>1373</v>
      </c>
      <c r="CD141" s="230">
        <v>1397</v>
      </c>
      <c r="CE141" s="228">
        <v>-24</v>
      </c>
      <c r="CF141" s="229">
        <v>-1.7399999999999999E-2</v>
      </c>
      <c r="CG141" s="228">
        <v>59</v>
      </c>
      <c r="CH141" s="228">
        <v>57</v>
      </c>
      <c r="CI141" s="228">
        <v>3</v>
      </c>
      <c r="CJ141" s="229">
        <v>4.7E-2</v>
      </c>
      <c r="CK141" s="228">
        <v>0</v>
      </c>
      <c r="CL141" s="228">
        <v>0</v>
      </c>
      <c r="CM141" s="228">
        <v>0</v>
      </c>
      <c r="CN141" s="229">
        <v>0</v>
      </c>
      <c r="CO141" s="228">
        <v>547</v>
      </c>
      <c r="CP141" s="228">
        <v>553</v>
      </c>
      <c r="CQ141" s="228">
        <v>-6</v>
      </c>
      <c r="CR141" s="229">
        <v>-1.15E-2</v>
      </c>
      <c r="CS141" s="228">
        <v>300</v>
      </c>
      <c r="CT141" s="228">
        <v>303</v>
      </c>
      <c r="CU141" s="228">
        <v>-4</v>
      </c>
      <c r="CV141" s="229">
        <v>-1.1900000000000001E-2</v>
      </c>
      <c r="CW141" s="230">
        <v>2282</v>
      </c>
      <c r="CX141" s="230">
        <v>2314</v>
      </c>
      <c r="CY141" s="228">
        <v>-32</v>
      </c>
      <c r="CZ141" s="229">
        <v>-1.37E-2</v>
      </c>
      <c r="DA141" s="228">
        <v>21.82</v>
      </c>
      <c r="DB141" s="228">
        <v>21.26</v>
      </c>
      <c r="DC141" s="228">
        <v>0.56000000000000005</v>
      </c>
      <c r="DD141" s="228">
        <v>0.56000000000000005</v>
      </c>
      <c r="DE141" s="228">
        <v>27.57</v>
      </c>
      <c r="DF141" s="228">
        <v>27.64</v>
      </c>
      <c r="DG141" s="228">
        <v>-5.75</v>
      </c>
      <c r="DH141" s="228">
        <v>-7.0000000000000007E-2</v>
      </c>
      <c r="DI141" s="228">
        <v>22.61</v>
      </c>
      <c r="DJ141" s="228">
        <v>21.87</v>
      </c>
      <c r="DK141" s="228">
        <v>0.74</v>
      </c>
      <c r="DL141" s="228">
        <v>0.74</v>
      </c>
      <c r="DM141" s="228">
        <v>19.98</v>
      </c>
      <c r="DN141" s="228">
        <v>19.79</v>
      </c>
      <c r="DO141" s="228">
        <v>0.19</v>
      </c>
      <c r="DP141" s="228">
        <v>0.19</v>
      </c>
      <c r="DQ141" s="228">
        <v>0.55000000000000004</v>
      </c>
      <c r="DR141" s="228">
        <v>0.55000000000000004</v>
      </c>
      <c r="DS141" s="228">
        <v>0</v>
      </c>
      <c r="DT141" s="229">
        <v>0</v>
      </c>
      <c r="DU141" s="228">
        <v>740</v>
      </c>
      <c r="DV141" s="228">
        <v>700</v>
      </c>
      <c r="DW141" s="228">
        <v>0.43</v>
      </c>
      <c r="DX141" s="228">
        <v>0.41</v>
      </c>
      <c r="DY141" s="228">
        <v>0.02</v>
      </c>
      <c r="DZ141" s="229">
        <v>4.8800000000000003E-2</v>
      </c>
      <c r="EA141" s="229">
        <v>4.1300000000000003E-2</v>
      </c>
      <c r="EB141" s="230">
        <v>790800</v>
      </c>
      <c r="EC141" s="229">
        <v>-3.7000000000000002E-3</v>
      </c>
      <c r="ED141" s="229">
        <v>4.1300000000000003E-2</v>
      </c>
      <c r="EE141" s="228">
        <v>-3.05</v>
      </c>
      <c r="EF141" s="229">
        <v>-4.1999999999999997E-3</v>
      </c>
      <c r="EG141" s="230">
        <v>1181297</v>
      </c>
      <c r="EH141" s="230">
        <v>1572317</v>
      </c>
      <c r="EI141" s="229">
        <v>-0.2487</v>
      </c>
      <c r="EJ141" s="229">
        <v>0.67769999999999997</v>
      </c>
      <c r="EK141" s="228">
        <v>307.22000000000003</v>
      </c>
      <c r="EL141" s="228">
        <v>127.05</v>
      </c>
      <c r="EM141" s="228">
        <v>122.75</v>
      </c>
      <c r="EN141" s="228">
        <v>0</v>
      </c>
      <c r="EO141" s="228">
        <v>557.03</v>
      </c>
      <c r="EP141" s="228">
        <v>770.44</v>
      </c>
      <c r="EQ141" s="228">
        <v>-213.42</v>
      </c>
      <c r="ER141" s="229">
        <v>-0.27700000000000002</v>
      </c>
      <c r="ES141" s="228">
        <v>577.75</v>
      </c>
      <c r="ET141" s="228">
        <v>289.41000000000003</v>
      </c>
      <c r="EU141" s="231">
        <v>1435.5</v>
      </c>
      <c r="EV141" s="231">
        <v>105777701</v>
      </c>
      <c r="EW141" s="231">
        <v>2302.67</v>
      </c>
      <c r="EX141" s="231">
        <v>2339.5500000000002</v>
      </c>
      <c r="EY141" s="228">
        <v>-36.880000000000003</v>
      </c>
      <c r="EZ141" s="229">
        <v>-1.5800000000000002E-2</v>
      </c>
      <c r="FA141" s="229">
        <v>0.3009</v>
      </c>
      <c r="FB141" s="227" t="s">
        <v>568</v>
      </c>
      <c r="FC141">
        <f t="shared" si="2"/>
        <v>63</v>
      </c>
    </row>
    <row r="142" spans="1:159" ht="17.25" thickBot="1" x14ac:dyDescent="0.3">
      <c r="A142" s="226">
        <v>45860</v>
      </c>
      <c r="B142" s="227" t="s">
        <v>162</v>
      </c>
      <c r="C142" s="227" t="s">
        <v>255</v>
      </c>
      <c r="D142" s="228">
        <v>50</v>
      </c>
      <c r="E142" s="228">
        <v>9</v>
      </c>
      <c r="F142" s="231">
        <v>12514</v>
      </c>
      <c r="G142" s="231">
        <v>12436</v>
      </c>
      <c r="H142" s="228">
        <v>78</v>
      </c>
      <c r="I142" s="229">
        <v>6.3E-3</v>
      </c>
      <c r="J142" s="231">
        <v>12492</v>
      </c>
      <c r="K142" s="231">
        <v>12405</v>
      </c>
      <c r="L142" s="228">
        <v>87</v>
      </c>
      <c r="M142" s="229">
        <v>7.0000000000000001E-3</v>
      </c>
      <c r="N142" s="231">
        <v>12514</v>
      </c>
      <c r="O142" s="231">
        <v>12436</v>
      </c>
      <c r="P142" s="228">
        <v>78</v>
      </c>
      <c r="Q142" s="229">
        <v>6.3E-3</v>
      </c>
      <c r="R142" s="231">
        <v>12436</v>
      </c>
      <c r="S142" s="231">
        <v>12353</v>
      </c>
      <c r="T142" s="228">
        <v>83</v>
      </c>
      <c r="U142" s="229">
        <v>6.7000000000000002E-3</v>
      </c>
      <c r="V142" s="228">
        <v>0</v>
      </c>
      <c r="W142" s="228">
        <v>0</v>
      </c>
      <c r="X142" s="228">
        <v>0</v>
      </c>
      <c r="Y142" s="229">
        <v>0</v>
      </c>
      <c r="Z142" s="228">
        <v>22</v>
      </c>
      <c r="AA142" s="228">
        <v>31</v>
      </c>
      <c r="AB142" s="228">
        <v>-9</v>
      </c>
      <c r="AC142" s="229">
        <v>1.8E-3</v>
      </c>
      <c r="AD142" s="228">
        <v>22</v>
      </c>
      <c r="AE142" s="228">
        <v>31</v>
      </c>
      <c r="AF142" s="228">
        <v>-9</v>
      </c>
      <c r="AG142" s="229">
        <v>1.8E-3</v>
      </c>
      <c r="AH142" s="228">
        <v>-56</v>
      </c>
      <c r="AI142" s="228">
        <v>-52</v>
      </c>
      <c r="AJ142" s="228">
        <v>-4</v>
      </c>
      <c r="AK142" s="229">
        <v>-4.4999999999999997E-3</v>
      </c>
      <c r="AL142" s="228">
        <v>0</v>
      </c>
      <c r="AM142" s="228">
        <v>0</v>
      </c>
      <c r="AN142" s="228">
        <v>0</v>
      </c>
      <c r="AO142" s="229">
        <v>0</v>
      </c>
      <c r="AP142" s="231">
        <v>12473.43</v>
      </c>
      <c r="AQ142" s="231">
        <v>12386.94</v>
      </c>
      <c r="AR142" s="228">
        <v>0</v>
      </c>
      <c r="AS142" s="228">
        <v>339</v>
      </c>
      <c r="AT142" s="228">
        <v>373</v>
      </c>
      <c r="AU142" s="228">
        <v>-34</v>
      </c>
      <c r="AV142" s="229">
        <v>-9.06E-2</v>
      </c>
      <c r="AW142" s="228">
        <v>287</v>
      </c>
      <c r="AX142" s="228">
        <v>305</v>
      </c>
      <c r="AY142" s="228">
        <v>-18</v>
      </c>
      <c r="AZ142" s="229">
        <v>-5.9900000000000002E-2</v>
      </c>
      <c r="BA142" s="228">
        <v>49</v>
      </c>
      <c r="BB142" s="228">
        <v>61</v>
      </c>
      <c r="BC142" s="228">
        <v>-12</v>
      </c>
      <c r="BD142" s="229">
        <v>-0.19450000000000001</v>
      </c>
      <c r="BE142" s="228">
        <v>0</v>
      </c>
      <c r="BF142" s="228">
        <v>0</v>
      </c>
      <c r="BG142" s="228">
        <v>0</v>
      </c>
      <c r="BH142" s="229">
        <v>0</v>
      </c>
      <c r="BI142" s="230">
        <v>3344</v>
      </c>
      <c r="BJ142" s="230">
        <v>3040</v>
      </c>
      <c r="BK142" s="228">
        <v>303</v>
      </c>
      <c r="BL142" s="229">
        <v>9.9699999999999997E-2</v>
      </c>
      <c r="BM142" s="230">
        <v>1685</v>
      </c>
      <c r="BN142" s="230">
        <v>1324</v>
      </c>
      <c r="BO142" s="228">
        <v>361</v>
      </c>
      <c r="BP142" s="229">
        <v>0.27260000000000001</v>
      </c>
      <c r="BQ142" s="230">
        <v>5368</v>
      </c>
      <c r="BR142" s="230">
        <v>4737</v>
      </c>
      <c r="BS142" s="228">
        <v>630</v>
      </c>
      <c r="BT142" s="229">
        <v>0.1331</v>
      </c>
      <c r="BU142" s="230">
        <v>171033</v>
      </c>
      <c r="BV142" s="230">
        <v>236821</v>
      </c>
      <c r="BW142" s="230">
        <v>-65788</v>
      </c>
      <c r="BX142" s="229">
        <v>-0.27779999999999999</v>
      </c>
      <c r="BY142" s="230">
        <v>3802</v>
      </c>
      <c r="BZ142" s="230">
        <v>3832</v>
      </c>
      <c r="CA142" s="228">
        <v>-31</v>
      </c>
      <c r="CB142" s="229">
        <v>-8.0000000000000002E-3</v>
      </c>
      <c r="CC142" s="230">
        <v>3542</v>
      </c>
      <c r="CD142" s="230">
        <v>3579</v>
      </c>
      <c r="CE142" s="228">
        <v>-37</v>
      </c>
      <c r="CF142" s="229">
        <v>-1.03E-2</v>
      </c>
      <c r="CG142" s="228">
        <v>245</v>
      </c>
      <c r="CH142" s="228">
        <v>239</v>
      </c>
      <c r="CI142" s="228">
        <v>7</v>
      </c>
      <c r="CJ142" s="229">
        <v>2.7300000000000001E-2</v>
      </c>
      <c r="CK142" s="228">
        <v>0</v>
      </c>
      <c r="CL142" s="228">
        <v>0</v>
      </c>
      <c r="CM142" s="228">
        <v>0</v>
      </c>
      <c r="CN142" s="229">
        <v>0</v>
      </c>
      <c r="CO142" s="230">
        <v>4001</v>
      </c>
      <c r="CP142" s="230">
        <v>4046</v>
      </c>
      <c r="CQ142" s="228">
        <v>-45</v>
      </c>
      <c r="CR142" s="229">
        <v>-1.11E-2</v>
      </c>
      <c r="CS142" s="230">
        <v>1249</v>
      </c>
      <c r="CT142" s="230">
        <v>1206</v>
      </c>
      <c r="CU142" s="228">
        <v>43</v>
      </c>
      <c r="CV142" s="229">
        <v>3.5900000000000001E-2</v>
      </c>
      <c r="CW142" s="230">
        <v>9052</v>
      </c>
      <c r="CX142" s="230">
        <v>9084</v>
      </c>
      <c r="CY142" s="228">
        <v>-32</v>
      </c>
      <c r="CZ142" s="229">
        <v>-3.5000000000000001E-3</v>
      </c>
      <c r="DA142" s="228">
        <v>17.649999999999999</v>
      </c>
      <c r="DB142" s="228">
        <v>19.07</v>
      </c>
      <c r="DC142" s="228">
        <v>-1.42</v>
      </c>
      <c r="DD142" s="228">
        <v>-1.42</v>
      </c>
      <c r="DE142" s="228">
        <v>24.92</v>
      </c>
      <c r="DF142" s="228">
        <v>24.96</v>
      </c>
      <c r="DG142" s="228">
        <v>-7.27</v>
      </c>
      <c r="DH142" s="228">
        <v>-0.04</v>
      </c>
      <c r="DI142" s="228">
        <v>16.760000000000002</v>
      </c>
      <c r="DJ142" s="228">
        <v>18.739999999999998</v>
      </c>
      <c r="DK142" s="228">
        <v>-1.98</v>
      </c>
      <c r="DL142" s="228">
        <v>-1.98</v>
      </c>
      <c r="DM142" s="228">
        <v>19.420000000000002</v>
      </c>
      <c r="DN142" s="228">
        <v>19.82</v>
      </c>
      <c r="DO142" s="228">
        <v>-0.4</v>
      </c>
      <c r="DP142" s="228">
        <v>-0.4</v>
      </c>
      <c r="DQ142" s="228">
        <v>0.31</v>
      </c>
      <c r="DR142" s="228">
        <v>0.3</v>
      </c>
      <c r="DS142" s="228">
        <v>0.01</v>
      </c>
      <c r="DT142" s="229">
        <v>3.3300000000000003E-2</v>
      </c>
      <c r="DU142" s="231">
        <v>12800</v>
      </c>
      <c r="DV142" s="231">
        <v>12500</v>
      </c>
      <c r="DW142" s="228">
        <v>0.5</v>
      </c>
      <c r="DX142" s="228">
        <v>0.44</v>
      </c>
      <c r="DY142" s="228">
        <v>0.06</v>
      </c>
      <c r="DZ142" s="229">
        <v>0.13639999999999999</v>
      </c>
      <c r="EA142" s="229">
        <v>6.4500000000000002E-2</v>
      </c>
      <c r="EB142" s="230">
        <v>190750</v>
      </c>
      <c r="EC142" s="229">
        <v>-6.1999999999999998E-3</v>
      </c>
      <c r="ED142" s="229">
        <v>6.4500000000000002E-2</v>
      </c>
      <c r="EE142" s="228">
        <v>-86.49</v>
      </c>
      <c r="EF142" s="229">
        <v>-6.8999999999999999E-3</v>
      </c>
      <c r="EG142" s="230">
        <v>86599</v>
      </c>
      <c r="EH142" s="230">
        <v>141880</v>
      </c>
      <c r="EI142" s="229">
        <v>-0.3896</v>
      </c>
      <c r="EJ142" s="229">
        <v>0.50629999999999997</v>
      </c>
      <c r="EK142" s="231">
        <v>3429.76</v>
      </c>
      <c r="EL142" s="231">
        <v>1645.87</v>
      </c>
      <c r="EM142" s="228">
        <v>337.75</v>
      </c>
      <c r="EN142" s="228">
        <v>0</v>
      </c>
      <c r="EO142" s="231">
        <v>5413.38</v>
      </c>
      <c r="EP142" s="231">
        <v>4798.0600000000004</v>
      </c>
      <c r="EQ142" s="228">
        <v>615.33000000000004</v>
      </c>
      <c r="ER142" s="229">
        <v>0.12820000000000001</v>
      </c>
      <c r="ES142" s="231">
        <v>4157.53</v>
      </c>
      <c r="ET142" s="231">
        <v>1199</v>
      </c>
      <c r="EU142" s="231">
        <v>3800.15</v>
      </c>
      <c r="EV142" s="231">
        <v>26231219</v>
      </c>
      <c r="EW142" s="231">
        <v>9156.68</v>
      </c>
      <c r="EX142" s="231">
        <v>9168.66</v>
      </c>
      <c r="EY142" s="228">
        <v>-11.98</v>
      </c>
      <c r="EZ142" s="229">
        <v>-1.2999999999999999E-3</v>
      </c>
      <c r="FA142" s="229">
        <v>0.27579999999999999</v>
      </c>
      <c r="FB142" s="227" t="s">
        <v>556</v>
      </c>
      <c r="FC142">
        <f t="shared" si="2"/>
        <v>260</v>
      </c>
    </row>
    <row r="143" spans="1:159" ht="17.25" thickBot="1" x14ac:dyDescent="0.3">
      <c r="A143" s="226">
        <v>45860</v>
      </c>
      <c r="B143" s="227" t="s">
        <v>170</v>
      </c>
      <c r="C143" s="227" t="s">
        <v>604</v>
      </c>
      <c r="D143" s="228">
        <v>525</v>
      </c>
      <c r="E143" s="228">
        <v>9</v>
      </c>
      <c r="F143" s="231">
        <v>1219.4000000000001</v>
      </c>
      <c r="G143" s="231">
        <v>1219.5999999999999</v>
      </c>
      <c r="H143" s="228">
        <v>-0.2</v>
      </c>
      <c r="I143" s="229">
        <v>-2.0000000000000001E-4</v>
      </c>
      <c r="J143" s="231">
        <v>1218.8</v>
      </c>
      <c r="K143" s="231">
        <v>1218.2</v>
      </c>
      <c r="L143" s="228">
        <v>0.6</v>
      </c>
      <c r="M143" s="229">
        <v>5.0000000000000001E-4</v>
      </c>
      <c r="N143" s="231">
        <v>1219.4000000000001</v>
      </c>
      <c r="O143" s="231">
        <v>1219.5999999999999</v>
      </c>
      <c r="P143" s="228">
        <v>-0.2</v>
      </c>
      <c r="Q143" s="229">
        <v>-2.0000000000000001E-4</v>
      </c>
      <c r="R143" s="231">
        <v>1225.8</v>
      </c>
      <c r="S143" s="231">
        <v>1224.9000000000001</v>
      </c>
      <c r="T143" s="228">
        <v>0.9</v>
      </c>
      <c r="U143" s="229">
        <v>6.9999999999999999E-4</v>
      </c>
      <c r="V143" s="228">
        <v>0</v>
      </c>
      <c r="W143" s="228">
        <v>0</v>
      </c>
      <c r="X143" s="228">
        <v>0</v>
      </c>
      <c r="Y143" s="229">
        <v>0</v>
      </c>
      <c r="Z143" s="228">
        <v>0.6</v>
      </c>
      <c r="AA143" s="228">
        <v>1.4</v>
      </c>
      <c r="AB143" s="228">
        <v>-0.8</v>
      </c>
      <c r="AC143" s="229">
        <v>5.0000000000000001E-4</v>
      </c>
      <c r="AD143" s="228">
        <v>0.6</v>
      </c>
      <c r="AE143" s="228">
        <v>1.4</v>
      </c>
      <c r="AF143" s="228">
        <v>-0.8</v>
      </c>
      <c r="AG143" s="229">
        <v>5.0000000000000001E-4</v>
      </c>
      <c r="AH143" s="228">
        <v>7</v>
      </c>
      <c r="AI143" s="228">
        <v>6.7</v>
      </c>
      <c r="AJ143" s="228">
        <v>0.3</v>
      </c>
      <c r="AK143" s="229">
        <v>5.7000000000000002E-3</v>
      </c>
      <c r="AL143" s="228">
        <v>0</v>
      </c>
      <c r="AM143" s="228">
        <v>0</v>
      </c>
      <c r="AN143" s="228">
        <v>0</v>
      </c>
      <c r="AO143" s="229">
        <v>0</v>
      </c>
      <c r="AP143" s="231">
        <v>1219.0899999999999</v>
      </c>
      <c r="AQ143" s="231">
        <v>1224.76</v>
      </c>
      <c r="AR143" s="228">
        <v>0</v>
      </c>
      <c r="AS143" s="228">
        <v>164</v>
      </c>
      <c r="AT143" s="228">
        <v>295</v>
      </c>
      <c r="AU143" s="228">
        <v>-130</v>
      </c>
      <c r="AV143" s="229">
        <v>-0.44190000000000002</v>
      </c>
      <c r="AW143" s="228">
        <v>155</v>
      </c>
      <c r="AX143" s="228">
        <v>260</v>
      </c>
      <c r="AY143" s="228">
        <v>-105</v>
      </c>
      <c r="AZ143" s="229">
        <v>-0.4027</v>
      </c>
      <c r="BA143" s="228">
        <v>9</v>
      </c>
      <c r="BB143" s="228">
        <v>34</v>
      </c>
      <c r="BC143" s="228">
        <v>-25</v>
      </c>
      <c r="BD143" s="229">
        <v>-0.73299999999999998</v>
      </c>
      <c r="BE143" s="228">
        <v>0</v>
      </c>
      <c r="BF143" s="228">
        <v>0</v>
      </c>
      <c r="BG143" s="228">
        <v>0</v>
      </c>
      <c r="BH143" s="229">
        <v>0</v>
      </c>
      <c r="BI143" s="228">
        <v>275</v>
      </c>
      <c r="BJ143" s="228">
        <v>420</v>
      </c>
      <c r="BK143" s="228">
        <v>-145</v>
      </c>
      <c r="BL143" s="229">
        <v>-0.34499999999999997</v>
      </c>
      <c r="BM143" s="228">
        <v>79</v>
      </c>
      <c r="BN143" s="228">
        <v>183</v>
      </c>
      <c r="BO143" s="228">
        <v>-104</v>
      </c>
      <c r="BP143" s="229">
        <v>-0.57010000000000005</v>
      </c>
      <c r="BQ143" s="228">
        <v>518</v>
      </c>
      <c r="BR143" s="228">
        <v>897</v>
      </c>
      <c r="BS143" s="228">
        <v>-379</v>
      </c>
      <c r="BT143" s="229">
        <v>-0.42259999999999998</v>
      </c>
      <c r="BU143" s="230">
        <v>1920605</v>
      </c>
      <c r="BV143" s="230">
        <v>1666027</v>
      </c>
      <c r="BW143" s="230">
        <v>254578</v>
      </c>
      <c r="BX143" s="229">
        <v>0.15279999999999999</v>
      </c>
      <c r="BY143" s="230">
        <v>1436</v>
      </c>
      <c r="BZ143" s="230">
        <v>1431</v>
      </c>
      <c r="CA143" s="228">
        <v>6</v>
      </c>
      <c r="CB143" s="229">
        <v>4.0000000000000001E-3</v>
      </c>
      <c r="CC143" s="230">
        <v>1379</v>
      </c>
      <c r="CD143" s="230">
        <v>1373</v>
      </c>
      <c r="CE143" s="228">
        <v>6</v>
      </c>
      <c r="CF143" s="229">
        <v>4.1000000000000003E-3</v>
      </c>
      <c r="CG143" s="228">
        <v>55</v>
      </c>
      <c r="CH143" s="228">
        <v>55</v>
      </c>
      <c r="CI143" s="228">
        <v>0</v>
      </c>
      <c r="CJ143" s="229">
        <v>-2.3E-3</v>
      </c>
      <c r="CK143" s="228">
        <v>0</v>
      </c>
      <c r="CL143" s="228">
        <v>0</v>
      </c>
      <c r="CM143" s="228">
        <v>0</v>
      </c>
      <c r="CN143" s="229">
        <v>0</v>
      </c>
      <c r="CO143" s="228">
        <v>409</v>
      </c>
      <c r="CP143" s="228">
        <v>430</v>
      </c>
      <c r="CQ143" s="228">
        <v>-21</v>
      </c>
      <c r="CR143" s="229">
        <v>-4.8399999999999999E-2</v>
      </c>
      <c r="CS143" s="228">
        <v>152</v>
      </c>
      <c r="CT143" s="228">
        <v>155</v>
      </c>
      <c r="CU143" s="228">
        <v>-3</v>
      </c>
      <c r="CV143" s="229">
        <v>-1.78E-2</v>
      </c>
      <c r="CW143" s="230">
        <v>1997</v>
      </c>
      <c r="CX143" s="230">
        <v>2015</v>
      </c>
      <c r="CY143" s="228">
        <v>-18</v>
      </c>
      <c r="CZ143" s="229">
        <v>-8.8000000000000005E-3</v>
      </c>
      <c r="DA143" s="228">
        <v>35.15</v>
      </c>
      <c r="DB143" s="228">
        <v>33.99</v>
      </c>
      <c r="DC143" s="228">
        <v>1.1599999999999999</v>
      </c>
      <c r="DD143" s="228">
        <v>1.1599999999999999</v>
      </c>
      <c r="DE143" s="228">
        <v>43.76</v>
      </c>
      <c r="DF143" s="228">
        <v>43.87</v>
      </c>
      <c r="DG143" s="228">
        <v>-8.61</v>
      </c>
      <c r="DH143" s="228">
        <v>-0.11</v>
      </c>
      <c r="DI143" s="228">
        <v>35.79</v>
      </c>
      <c r="DJ143" s="228">
        <v>35.020000000000003</v>
      </c>
      <c r="DK143" s="228">
        <v>0.77</v>
      </c>
      <c r="DL143" s="228">
        <v>0.77</v>
      </c>
      <c r="DM143" s="228">
        <v>32.89</v>
      </c>
      <c r="DN143" s="228">
        <v>31.62</v>
      </c>
      <c r="DO143" s="228">
        <v>1.27</v>
      </c>
      <c r="DP143" s="228">
        <v>1.27</v>
      </c>
      <c r="DQ143" s="228">
        <v>0.37</v>
      </c>
      <c r="DR143" s="228">
        <v>0.36</v>
      </c>
      <c r="DS143" s="228">
        <v>0.01</v>
      </c>
      <c r="DT143" s="229">
        <v>2.7799999999999998E-2</v>
      </c>
      <c r="DU143" s="231">
        <v>1400</v>
      </c>
      <c r="DV143" s="231">
        <v>1200</v>
      </c>
      <c r="DW143" s="228">
        <v>0.28999999999999998</v>
      </c>
      <c r="DX143" s="228">
        <v>0.43</v>
      </c>
      <c r="DY143" s="228">
        <v>-0.14000000000000001</v>
      </c>
      <c r="DZ143" s="229">
        <v>-0.3256</v>
      </c>
      <c r="EA143" s="229">
        <v>3.8199999999999998E-2</v>
      </c>
      <c r="EB143" s="230">
        <v>450975</v>
      </c>
      <c r="EC143" s="229">
        <v>5.1999999999999998E-3</v>
      </c>
      <c r="ED143" s="229">
        <v>3.8199999999999998E-2</v>
      </c>
      <c r="EE143" s="228">
        <v>5.67</v>
      </c>
      <c r="EF143" s="229">
        <v>4.7000000000000002E-3</v>
      </c>
      <c r="EG143" s="230">
        <v>1512129</v>
      </c>
      <c r="EH143" s="230">
        <v>1030746</v>
      </c>
      <c r="EI143" s="229">
        <v>0.46700000000000003</v>
      </c>
      <c r="EJ143" s="229">
        <v>0.7873</v>
      </c>
      <c r="EK143" s="228">
        <v>291.83</v>
      </c>
      <c r="EL143" s="228">
        <v>78.81</v>
      </c>
      <c r="EM143" s="228">
        <v>164.4</v>
      </c>
      <c r="EN143" s="228">
        <v>0</v>
      </c>
      <c r="EO143" s="228">
        <v>535.04</v>
      </c>
      <c r="EP143" s="228">
        <v>927.02</v>
      </c>
      <c r="EQ143" s="228">
        <v>-391.98</v>
      </c>
      <c r="ER143" s="229">
        <v>-0.42280000000000001</v>
      </c>
      <c r="ES143" s="228">
        <v>446.62</v>
      </c>
      <c r="ET143" s="228">
        <v>151.02000000000001</v>
      </c>
      <c r="EU143" s="231">
        <v>1436.76</v>
      </c>
      <c r="EV143" s="231">
        <v>148272870</v>
      </c>
      <c r="EW143" s="231">
        <v>2034.4</v>
      </c>
      <c r="EX143" s="231">
        <v>2055.6</v>
      </c>
      <c r="EY143" s="228">
        <v>-21.2</v>
      </c>
      <c r="EZ143" s="229">
        <v>-1.03E-2</v>
      </c>
      <c r="FA143" s="229">
        <v>0.1105</v>
      </c>
      <c r="FB143" s="227" t="s">
        <v>567</v>
      </c>
      <c r="FC143">
        <f t="shared" si="2"/>
        <v>57</v>
      </c>
    </row>
    <row r="144" spans="1:159" ht="17.25" thickBot="1" x14ac:dyDescent="0.3">
      <c r="A144" s="226">
        <v>45860</v>
      </c>
      <c r="B144" s="227" t="s">
        <v>215</v>
      </c>
      <c r="C144" s="227" t="s">
        <v>675</v>
      </c>
      <c r="D144" s="228">
        <v>175</v>
      </c>
      <c r="E144" s="228">
        <v>9</v>
      </c>
      <c r="F144" s="231">
        <v>2931.6</v>
      </c>
      <c r="G144" s="231">
        <v>2963.2</v>
      </c>
      <c r="H144" s="228">
        <v>-31.6</v>
      </c>
      <c r="I144" s="229">
        <v>-1.0699999999999999E-2</v>
      </c>
      <c r="J144" s="231">
        <v>2921.8</v>
      </c>
      <c r="K144" s="231">
        <v>2951.7</v>
      </c>
      <c r="L144" s="228">
        <v>-29.9</v>
      </c>
      <c r="M144" s="229">
        <v>-1.01E-2</v>
      </c>
      <c r="N144" s="231">
        <v>2931.6</v>
      </c>
      <c r="O144" s="231">
        <v>2963.2</v>
      </c>
      <c r="P144" s="228">
        <v>-31.6</v>
      </c>
      <c r="Q144" s="229">
        <v>-1.0699999999999999E-2</v>
      </c>
      <c r="R144" s="231">
        <v>2942.6</v>
      </c>
      <c r="S144" s="231">
        <v>2976.3</v>
      </c>
      <c r="T144" s="228">
        <v>-33.700000000000003</v>
      </c>
      <c r="U144" s="229">
        <v>-1.1299999999999999E-2</v>
      </c>
      <c r="V144" s="228">
        <v>0</v>
      </c>
      <c r="W144" s="228">
        <v>0</v>
      </c>
      <c r="X144" s="228">
        <v>0</v>
      </c>
      <c r="Y144" s="229">
        <v>0</v>
      </c>
      <c r="Z144" s="228">
        <v>9.8000000000000007</v>
      </c>
      <c r="AA144" s="228">
        <v>11.5</v>
      </c>
      <c r="AB144" s="228">
        <v>-1.7</v>
      </c>
      <c r="AC144" s="229">
        <v>3.3999999999999998E-3</v>
      </c>
      <c r="AD144" s="228">
        <v>9.8000000000000007</v>
      </c>
      <c r="AE144" s="228">
        <v>11.5</v>
      </c>
      <c r="AF144" s="228">
        <v>-1.7</v>
      </c>
      <c r="AG144" s="229">
        <v>3.3999999999999998E-3</v>
      </c>
      <c r="AH144" s="228">
        <v>20.8</v>
      </c>
      <c r="AI144" s="228">
        <v>24.6</v>
      </c>
      <c r="AJ144" s="228">
        <v>-3.8</v>
      </c>
      <c r="AK144" s="229">
        <v>7.1000000000000004E-3</v>
      </c>
      <c r="AL144" s="228">
        <v>0</v>
      </c>
      <c r="AM144" s="228">
        <v>0</v>
      </c>
      <c r="AN144" s="228">
        <v>0</v>
      </c>
      <c r="AO144" s="229">
        <v>0</v>
      </c>
      <c r="AP144" s="231">
        <v>2976.4</v>
      </c>
      <c r="AQ144" s="231">
        <v>2992.02</v>
      </c>
      <c r="AR144" s="228">
        <v>0</v>
      </c>
      <c r="AS144" s="228">
        <v>214</v>
      </c>
      <c r="AT144" s="228">
        <v>227</v>
      </c>
      <c r="AU144" s="228">
        <v>-13</v>
      </c>
      <c r="AV144" s="229">
        <v>-5.7099999999999998E-2</v>
      </c>
      <c r="AW144" s="228">
        <v>147</v>
      </c>
      <c r="AX144" s="228">
        <v>174</v>
      </c>
      <c r="AY144" s="228">
        <v>-27</v>
      </c>
      <c r="AZ144" s="229">
        <v>-0.1535</v>
      </c>
      <c r="BA144" s="228">
        <v>63</v>
      </c>
      <c r="BB144" s="228">
        <v>50</v>
      </c>
      <c r="BC144" s="228">
        <v>13</v>
      </c>
      <c r="BD144" s="229">
        <v>0.2641</v>
      </c>
      <c r="BE144" s="228">
        <v>0</v>
      </c>
      <c r="BF144" s="228">
        <v>0</v>
      </c>
      <c r="BG144" s="228">
        <v>0</v>
      </c>
      <c r="BH144" s="229">
        <v>0</v>
      </c>
      <c r="BI144" s="230">
        <v>1228</v>
      </c>
      <c r="BJ144" s="228">
        <v>982</v>
      </c>
      <c r="BK144" s="228">
        <v>246</v>
      </c>
      <c r="BL144" s="229">
        <v>0.25069999999999998</v>
      </c>
      <c r="BM144" s="228">
        <v>266</v>
      </c>
      <c r="BN144" s="228">
        <v>248</v>
      </c>
      <c r="BO144" s="228">
        <v>18</v>
      </c>
      <c r="BP144" s="229">
        <v>7.0800000000000002E-2</v>
      </c>
      <c r="BQ144" s="230">
        <v>1709</v>
      </c>
      <c r="BR144" s="230">
        <v>1458</v>
      </c>
      <c r="BS144" s="228">
        <v>251</v>
      </c>
      <c r="BT144" s="229">
        <v>0.1721</v>
      </c>
      <c r="BU144" s="230">
        <v>1694994</v>
      </c>
      <c r="BV144" s="230">
        <v>1648079</v>
      </c>
      <c r="BW144" s="230">
        <v>46915</v>
      </c>
      <c r="BX144" s="229">
        <v>2.8500000000000001E-2</v>
      </c>
      <c r="BY144" s="230">
        <v>1077</v>
      </c>
      <c r="BZ144" s="230">
        <v>1052</v>
      </c>
      <c r="CA144" s="228">
        <v>25</v>
      </c>
      <c r="CB144" s="229">
        <v>2.3800000000000002E-2</v>
      </c>
      <c r="CC144" s="228">
        <v>941</v>
      </c>
      <c r="CD144" s="228">
        <v>947</v>
      </c>
      <c r="CE144" s="228">
        <v>-7</v>
      </c>
      <c r="CF144" s="229">
        <v>-7.0000000000000001E-3</v>
      </c>
      <c r="CG144" s="228">
        <v>125</v>
      </c>
      <c r="CH144" s="228">
        <v>95</v>
      </c>
      <c r="CI144" s="228">
        <v>30</v>
      </c>
      <c r="CJ144" s="229">
        <v>0.31530000000000002</v>
      </c>
      <c r="CK144" s="228">
        <v>0</v>
      </c>
      <c r="CL144" s="228">
        <v>0</v>
      </c>
      <c r="CM144" s="228">
        <v>0</v>
      </c>
      <c r="CN144" s="229">
        <v>0</v>
      </c>
      <c r="CO144" s="228">
        <v>876</v>
      </c>
      <c r="CP144" s="228">
        <v>796</v>
      </c>
      <c r="CQ144" s="228">
        <v>80</v>
      </c>
      <c r="CR144" s="229">
        <v>0.1009</v>
      </c>
      <c r="CS144" s="228">
        <v>366</v>
      </c>
      <c r="CT144" s="228">
        <v>357</v>
      </c>
      <c r="CU144" s="228">
        <v>9</v>
      </c>
      <c r="CV144" s="229">
        <v>2.5100000000000001E-2</v>
      </c>
      <c r="CW144" s="230">
        <v>2319</v>
      </c>
      <c r="CX144" s="230">
        <v>2205</v>
      </c>
      <c r="CY144" s="228">
        <v>114</v>
      </c>
      <c r="CZ144" s="229">
        <v>5.1799999999999999E-2</v>
      </c>
      <c r="DA144" s="228">
        <v>43.3</v>
      </c>
      <c r="DB144" s="228">
        <v>43.21</v>
      </c>
      <c r="DC144" s="228">
        <v>0.09</v>
      </c>
      <c r="DD144" s="228">
        <v>0.09</v>
      </c>
      <c r="DE144" s="228">
        <v>65.930000000000007</v>
      </c>
      <c r="DF144" s="228">
        <v>66.08</v>
      </c>
      <c r="DG144" s="228">
        <v>-22.63</v>
      </c>
      <c r="DH144" s="228">
        <v>-0.15</v>
      </c>
      <c r="DI144" s="228">
        <v>44.26</v>
      </c>
      <c r="DJ144" s="228">
        <v>44.43</v>
      </c>
      <c r="DK144" s="228">
        <v>-0.17</v>
      </c>
      <c r="DL144" s="228">
        <v>-0.17</v>
      </c>
      <c r="DM144" s="228">
        <v>38.86</v>
      </c>
      <c r="DN144" s="228">
        <v>38.39</v>
      </c>
      <c r="DO144" s="228">
        <v>0.47</v>
      </c>
      <c r="DP144" s="228">
        <v>0.47</v>
      </c>
      <c r="DQ144" s="228">
        <v>0.42</v>
      </c>
      <c r="DR144" s="228">
        <v>0.45</v>
      </c>
      <c r="DS144" s="228">
        <v>-0.03</v>
      </c>
      <c r="DT144" s="229">
        <v>-6.6699999999999995E-2</v>
      </c>
      <c r="DU144" s="231">
        <v>3300</v>
      </c>
      <c r="DV144" s="231">
        <v>3000</v>
      </c>
      <c r="DW144" s="228">
        <v>0.22</v>
      </c>
      <c r="DX144" s="228">
        <v>0.25</v>
      </c>
      <c r="DY144" s="228">
        <v>-0.03</v>
      </c>
      <c r="DZ144" s="229">
        <v>-0.12</v>
      </c>
      <c r="EA144" s="229">
        <v>0.1157</v>
      </c>
      <c r="EB144" s="230">
        <v>323050</v>
      </c>
      <c r="EC144" s="229">
        <v>3.8E-3</v>
      </c>
      <c r="ED144" s="229">
        <v>0.1157</v>
      </c>
      <c r="EE144" s="228">
        <v>15.62</v>
      </c>
      <c r="EF144" s="229">
        <v>5.1999999999999998E-3</v>
      </c>
      <c r="EG144" s="230">
        <v>501009</v>
      </c>
      <c r="EH144" s="230">
        <v>549571</v>
      </c>
      <c r="EI144" s="229">
        <v>-8.8400000000000006E-2</v>
      </c>
      <c r="EJ144" s="229">
        <v>0.29559999999999997</v>
      </c>
      <c r="EK144" s="231">
        <v>1342.38</v>
      </c>
      <c r="EL144" s="228">
        <v>269.86</v>
      </c>
      <c r="EM144" s="228">
        <v>217.98</v>
      </c>
      <c r="EN144" s="228">
        <v>0</v>
      </c>
      <c r="EO144" s="231">
        <v>1830.22</v>
      </c>
      <c r="EP144" s="231">
        <v>1569.41</v>
      </c>
      <c r="EQ144" s="228">
        <v>260.81</v>
      </c>
      <c r="ER144" s="229">
        <v>0.16619999999999999</v>
      </c>
      <c r="ES144" s="228">
        <v>994.63</v>
      </c>
      <c r="ET144" s="228">
        <v>385.11</v>
      </c>
      <c r="EU144" s="231">
        <v>1077.33</v>
      </c>
      <c r="EV144" s="231">
        <v>12239606</v>
      </c>
      <c r="EW144" s="231">
        <v>2457.06</v>
      </c>
      <c r="EX144" s="231">
        <v>2351.4699999999998</v>
      </c>
      <c r="EY144" s="228">
        <v>105.59</v>
      </c>
      <c r="EZ144" s="229">
        <v>4.4900000000000002E-2</v>
      </c>
      <c r="FA144" s="229">
        <v>0.64639999999999997</v>
      </c>
      <c r="FB144" s="227" t="s">
        <v>567</v>
      </c>
      <c r="FC144">
        <f t="shared" si="2"/>
        <v>136</v>
      </c>
    </row>
    <row r="145" spans="1:159" ht="17.25" thickBot="1" x14ac:dyDescent="0.3">
      <c r="A145" s="226">
        <v>45860</v>
      </c>
      <c r="B145" s="227" t="s">
        <v>175</v>
      </c>
      <c r="C145" s="227" t="s">
        <v>517</v>
      </c>
      <c r="D145" s="228">
        <v>125</v>
      </c>
      <c r="E145" s="228">
        <v>9</v>
      </c>
      <c r="F145" s="231">
        <v>8180</v>
      </c>
      <c r="G145" s="231">
        <v>8284.5</v>
      </c>
      <c r="H145" s="228">
        <v>-104.5</v>
      </c>
      <c r="I145" s="229">
        <v>-1.26E-2</v>
      </c>
      <c r="J145" s="231">
        <v>8153.5</v>
      </c>
      <c r="K145" s="231">
        <v>8249</v>
      </c>
      <c r="L145" s="228">
        <v>-95.5</v>
      </c>
      <c r="M145" s="229">
        <v>-1.1599999999999999E-2</v>
      </c>
      <c r="N145" s="231">
        <v>8180</v>
      </c>
      <c r="O145" s="231">
        <v>8284.5</v>
      </c>
      <c r="P145" s="228">
        <v>-104.5</v>
      </c>
      <c r="Q145" s="229">
        <v>-1.26E-2</v>
      </c>
      <c r="R145" s="231">
        <v>8191.5</v>
      </c>
      <c r="S145" s="231">
        <v>8289.5</v>
      </c>
      <c r="T145" s="228">
        <v>-98</v>
      </c>
      <c r="U145" s="229">
        <v>-1.18E-2</v>
      </c>
      <c r="V145" s="228">
        <v>0</v>
      </c>
      <c r="W145" s="228">
        <v>0</v>
      </c>
      <c r="X145" s="228">
        <v>0</v>
      </c>
      <c r="Y145" s="229">
        <v>0</v>
      </c>
      <c r="Z145" s="228">
        <v>26.5</v>
      </c>
      <c r="AA145" s="228">
        <v>35.5</v>
      </c>
      <c r="AB145" s="228">
        <v>-9</v>
      </c>
      <c r="AC145" s="229">
        <v>3.3E-3</v>
      </c>
      <c r="AD145" s="228">
        <v>26.5</v>
      </c>
      <c r="AE145" s="228">
        <v>35.5</v>
      </c>
      <c r="AF145" s="228">
        <v>-9</v>
      </c>
      <c r="AG145" s="229">
        <v>3.3E-3</v>
      </c>
      <c r="AH145" s="228">
        <v>38</v>
      </c>
      <c r="AI145" s="228">
        <v>40.5</v>
      </c>
      <c r="AJ145" s="228">
        <v>-2.5</v>
      </c>
      <c r="AK145" s="229">
        <v>4.7000000000000002E-3</v>
      </c>
      <c r="AL145" s="228">
        <v>0</v>
      </c>
      <c r="AM145" s="228">
        <v>0</v>
      </c>
      <c r="AN145" s="228">
        <v>0</v>
      </c>
      <c r="AO145" s="229">
        <v>0</v>
      </c>
      <c r="AP145" s="231">
        <v>8232.39</v>
      </c>
      <c r="AQ145" s="231">
        <v>8232.82</v>
      </c>
      <c r="AR145" s="228">
        <v>0</v>
      </c>
      <c r="AS145" s="228">
        <v>501</v>
      </c>
      <c r="AT145" s="228">
        <v>490</v>
      </c>
      <c r="AU145" s="228">
        <v>11</v>
      </c>
      <c r="AV145" s="229">
        <v>2.23E-2</v>
      </c>
      <c r="AW145" s="228">
        <v>395</v>
      </c>
      <c r="AX145" s="228">
        <v>432</v>
      </c>
      <c r="AY145" s="228">
        <v>-37</v>
      </c>
      <c r="AZ145" s="229">
        <v>-8.6199999999999999E-2</v>
      </c>
      <c r="BA145" s="228">
        <v>105</v>
      </c>
      <c r="BB145" s="228">
        <v>55</v>
      </c>
      <c r="BC145" s="228">
        <v>51</v>
      </c>
      <c r="BD145" s="229">
        <v>0.92879999999999996</v>
      </c>
      <c r="BE145" s="228">
        <v>0</v>
      </c>
      <c r="BF145" s="228">
        <v>0</v>
      </c>
      <c r="BG145" s="228">
        <v>0</v>
      </c>
      <c r="BH145" s="229">
        <v>0</v>
      </c>
      <c r="BI145" s="230">
        <v>3192</v>
      </c>
      <c r="BJ145" s="230">
        <v>3120</v>
      </c>
      <c r="BK145" s="228">
        <v>73</v>
      </c>
      <c r="BL145" s="229">
        <v>2.3300000000000001E-2</v>
      </c>
      <c r="BM145" s="230">
        <v>1230</v>
      </c>
      <c r="BN145" s="230">
        <v>1418</v>
      </c>
      <c r="BO145" s="228">
        <v>-187</v>
      </c>
      <c r="BP145" s="229">
        <v>-0.1321</v>
      </c>
      <c r="BQ145" s="230">
        <v>4924</v>
      </c>
      <c r="BR145" s="230">
        <v>5028</v>
      </c>
      <c r="BS145" s="228">
        <v>-104</v>
      </c>
      <c r="BT145" s="229">
        <v>-2.06E-2</v>
      </c>
      <c r="BU145" s="230">
        <v>563835</v>
      </c>
      <c r="BV145" s="230">
        <v>374866</v>
      </c>
      <c r="BW145" s="230">
        <v>188969</v>
      </c>
      <c r="BX145" s="229">
        <v>0.50409999999999999</v>
      </c>
      <c r="BY145" s="230">
        <v>2248</v>
      </c>
      <c r="BZ145" s="230">
        <v>2179</v>
      </c>
      <c r="CA145" s="228">
        <v>69</v>
      </c>
      <c r="CB145" s="229">
        <v>3.1800000000000002E-2</v>
      </c>
      <c r="CC145" s="230">
        <v>1991</v>
      </c>
      <c r="CD145" s="230">
        <v>1983</v>
      </c>
      <c r="CE145" s="228">
        <v>9</v>
      </c>
      <c r="CF145" s="229">
        <v>4.3E-3</v>
      </c>
      <c r="CG145" s="228">
        <v>244</v>
      </c>
      <c r="CH145" s="228">
        <v>184</v>
      </c>
      <c r="CI145" s="228">
        <v>60</v>
      </c>
      <c r="CJ145" s="229">
        <v>0.32650000000000001</v>
      </c>
      <c r="CK145" s="228">
        <v>0</v>
      </c>
      <c r="CL145" s="228">
        <v>0</v>
      </c>
      <c r="CM145" s="228">
        <v>0</v>
      </c>
      <c r="CN145" s="229">
        <v>0</v>
      </c>
      <c r="CO145" s="230">
        <v>2860</v>
      </c>
      <c r="CP145" s="230">
        <v>2626</v>
      </c>
      <c r="CQ145" s="228">
        <v>233</v>
      </c>
      <c r="CR145" s="229">
        <v>8.8700000000000001E-2</v>
      </c>
      <c r="CS145" s="230">
        <v>1543</v>
      </c>
      <c r="CT145" s="230">
        <v>1519</v>
      </c>
      <c r="CU145" s="228">
        <v>24</v>
      </c>
      <c r="CV145" s="229">
        <v>1.6E-2</v>
      </c>
      <c r="CW145" s="230">
        <v>6650</v>
      </c>
      <c r="CX145" s="230">
        <v>6324</v>
      </c>
      <c r="CY145" s="228">
        <v>327</v>
      </c>
      <c r="CZ145" s="229">
        <v>5.16E-2</v>
      </c>
      <c r="DA145" s="228">
        <v>35.76</v>
      </c>
      <c r="DB145" s="228">
        <v>34.479999999999997</v>
      </c>
      <c r="DC145" s="228">
        <v>1.28</v>
      </c>
      <c r="DD145" s="228">
        <v>1.28</v>
      </c>
      <c r="DE145" s="228">
        <v>48.97</v>
      </c>
      <c r="DF145" s="228">
        <v>49.07</v>
      </c>
      <c r="DG145" s="228">
        <v>-13.21</v>
      </c>
      <c r="DH145" s="228">
        <v>-0.1</v>
      </c>
      <c r="DI145" s="228">
        <v>36.450000000000003</v>
      </c>
      <c r="DJ145" s="228">
        <v>34.61</v>
      </c>
      <c r="DK145" s="228">
        <v>1.84</v>
      </c>
      <c r="DL145" s="228">
        <v>1.84</v>
      </c>
      <c r="DM145" s="228">
        <v>33.950000000000003</v>
      </c>
      <c r="DN145" s="228">
        <v>34.18</v>
      </c>
      <c r="DO145" s="228">
        <v>-0.23</v>
      </c>
      <c r="DP145" s="228">
        <v>-0.23</v>
      </c>
      <c r="DQ145" s="228">
        <v>0.54</v>
      </c>
      <c r="DR145" s="228">
        <v>0.57999999999999996</v>
      </c>
      <c r="DS145" s="228">
        <v>-0.04</v>
      </c>
      <c r="DT145" s="229">
        <v>-6.9000000000000006E-2</v>
      </c>
      <c r="DU145" s="231">
        <v>9000</v>
      </c>
      <c r="DV145" s="231">
        <v>8000</v>
      </c>
      <c r="DW145" s="228">
        <v>0.39</v>
      </c>
      <c r="DX145" s="228">
        <v>0.45</v>
      </c>
      <c r="DY145" s="228">
        <v>-0.06</v>
      </c>
      <c r="DZ145" s="229">
        <v>-0.1333</v>
      </c>
      <c r="EA145" s="229">
        <v>0.1087</v>
      </c>
      <c r="EB145" s="230">
        <v>225125</v>
      </c>
      <c r="EC145" s="229">
        <v>1.4E-3</v>
      </c>
      <c r="ED145" s="229">
        <v>0.1087</v>
      </c>
      <c r="EE145" s="228">
        <v>0.43</v>
      </c>
      <c r="EF145" s="229">
        <v>1E-4</v>
      </c>
      <c r="EG145" s="230">
        <v>297145</v>
      </c>
      <c r="EH145" s="230">
        <v>127614</v>
      </c>
      <c r="EI145" s="229">
        <v>1.3285</v>
      </c>
      <c r="EJ145" s="229">
        <v>0.52700000000000002</v>
      </c>
      <c r="EK145" s="231">
        <v>3414.95</v>
      </c>
      <c r="EL145" s="231">
        <v>1214.42</v>
      </c>
      <c r="EM145" s="228">
        <v>504.66</v>
      </c>
      <c r="EN145" s="228">
        <v>0</v>
      </c>
      <c r="EO145" s="231">
        <v>5134.0200000000004</v>
      </c>
      <c r="EP145" s="231">
        <v>5227.01</v>
      </c>
      <c r="EQ145" s="228">
        <v>-92.99</v>
      </c>
      <c r="ER145" s="229">
        <v>-1.78E-2</v>
      </c>
      <c r="ES145" s="231">
        <v>3088.73</v>
      </c>
      <c r="ET145" s="231">
        <v>1517.94</v>
      </c>
      <c r="EU145" s="231">
        <v>2248.3000000000002</v>
      </c>
      <c r="EV145" s="231">
        <v>10180563</v>
      </c>
      <c r="EW145" s="231">
        <v>6854.97</v>
      </c>
      <c r="EX145" s="231">
        <v>6548.73</v>
      </c>
      <c r="EY145" s="228">
        <v>306.24</v>
      </c>
      <c r="EZ145" s="229">
        <v>4.6800000000000001E-2</v>
      </c>
      <c r="FA145" s="229">
        <v>0.79859999999999998</v>
      </c>
      <c r="FB145" s="227" t="s">
        <v>567</v>
      </c>
      <c r="FC145">
        <f t="shared" si="2"/>
        <v>257</v>
      </c>
    </row>
    <row r="146" spans="1:159" ht="17.25" thickBot="1" x14ac:dyDescent="0.3">
      <c r="A146" s="226">
        <v>45860</v>
      </c>
      <c r="B146" s="227" t="s">
        <v>175</v>
      </c>
      <c r="C146" s="227" t="s">
        <v>257</v>
      </c>
      <c r="D146" s="228">
        <v>800</v>
      </c>
      <c r="E146" s="228">
        <v>9</v>
      </c>
      <c r="F146" s="231">
        <v>1566.3</v>
      </c>
      <c r="G146" s="231">
        <v>1548.1</v>
      </c>
      <c r="H146" s="228">
        <v>18.2</v>
      </c>
      <c r="I146" s="229">
        <v>1.18E-2</v>
      </c>
      <c r="J146" s="231">
        <v>1562.4</v>
      </c>
      <c r="K146" s="231">
        <v>1541.7</v>
      </c>
      <c r="L146" s="228">
        <v>20.7</v>
      </c>
      <c r="M146" s="229">
        <v>1.34E-2</v>
      </c>
      <c r="N146" s="231">
        <v>1566.3</v>
      </c>
      <c r="O146" s="231">
        <v>1548.1</v>
      </c>
      <c r="P146" s="228">
        <v>18.2</v>
      </c>
      <c r="Q146" s="229">
        <v>1.18E-2</v>
      </c>
      <c r="R146" s="231">
        <v>1574.2</v>
      </c>
      <c r="S146" s="231">
        <v>1557.4</v>
      </c>
      <c r="T146" s="228">
        <v>16.8</v>
      </c>
      <c r="U146" s="229">
        <v>1.0800000000000001E-2</v>
      </c>
      <c r="V146" s="228">
        <v>0</v>
      </c>
      <c r="W146" s="228">
        <v>0</v>
      </c>
      <c r="X146" s="228">
        <v>0</v>
      </c>
      <c r="Y146" s="229">
        <v>0</v>
      </c>
      <c r="Z146" s="228">
        <v>3.9</v>
      </c>
      <c r="AA146" s="228">
        <v>6.4</v>
      </c>
      <c r="AB146" s="228">
        <v>-2.5</v>
      </c>
      <c r="AC146" s="229">
        <v>2.5000000000000001E-3</v>
      </c>
      <c r="AD146" s="228">
        <v>3.9</v>
      </c>
      <c r="AE146" s="228">
        <v>6.4</v>
      </c>
      <c r="AF146" s="228">
        <v>-2.5</v>
      </c>
      <c r="AG146" s="229">
        <v>2.5000000000000001E-3</v>
      </c>
      <c r="AH146" s="228">
        <v>11.8</v>
      </c>
      <c r="AI146" s="228">
        <v>15.7</v>
      </c>
      <c r="AJ146" s="228">
        <v>-3.9</v>
      </c>
      <c r="AK146" s="229">
        <v>7.6E-3</v>
      </c>
      <c r="AL146" s="228">
        <v>0</v>
      </c>
      <c r="AM146" s="228">
        <v>0</v>
      </c>
      <c r="AN146" s="228">
        <v>0</v>
      </c>
      <c r="AO146" s="229">
        <v>0</v>
      </c>
      <c r="AP146" s="231">
        <v>1568.34</v>
      </c>
      <c r="AQ146" s="231">
        <v>1577.73</v>
      </c>
      <c r="AR146" s="228">
        <v>0</v>
      </c>
      <c r="AS146" s="228">
        <v>374</v>
      </c>
      <c r="AT146" s="228">
        <v>108</v>
      </c>
      <c r="AU146" s="228">
        <v>265</v>
      </c>
      <c r="AV146" s="229">
        <v>2.4542000000000002</v>
      </c>
      <c r="AW146" s="228">
        <v>314</v>
      </c>
      <c r="AX146" s="228">
        <v>100</v>
      </c>
      <c r="AY146" s="228">
        <v>214</v>
      </c>
      <c r="AZ146" s="229">
        <v>2.1297999999999999</v>
      </c>
      <c r="BA146" s="228">
        <v>58</v>
      </c>
      <c r="BB146" s="228">
        <v>7</v>
      </c>
      <c r="BC146" s="228">
        <v>51</v>
      </c>
      <c r="BD146" s="229">
        <v>7.1578999999999997</v>
      </c>
      <c r="BE146" s="228">
        <v>0</v>
      </c>
      <c r="BF146" s="228">
        <v>0</v>
      </c>
      <c r="BG146" s="228">
        <v>0</v>
      </c>
      <c r="BH146" s="229">
        <v>0</v>
      </c>
      <c r="BI146" s="228">
        <v>701</v>
      </c>
      <c r="BJ146" s="228">
        <v>202</v>
      </c>
      <c r="BK146" s="228">
        <v>500</v>
      </c>
      <c r="BL146" s="229">
        <v>2.4748999999999999</v>
      </c>
      <c r="BM146" s="228">
        <v>273</v>
      </c>
      <c r="BN146" s="228">
        <v>85</v>
      </c>
      <c r="BO146" s="228">
        <v>188</v>
      </c>
      <c r="BP146" s="229">
        <v>2.2183000000000002</v>
      </c>
      <c r="BQ146" s="230">
        <v>1348</v>
      </c>
      <c r="BR146" s="228">
        <v>395</v>
      </c>
      <c r="BS146" s="228">
        <v>953</v>
      </c>
      <c r="BT146" s="229">
        <v>2.4140000000000001</v>
      </c>
      <c r="BU146" s="230">
        <v>996201</v>
      </c>
      <c r="BV146" s="230">
        <v>488269</v>
      </c>
      <c r="BW146" s="230">
        <v>507932</v>
      </c>
      <c r="BX146" s="229">
        <v>1.0403</v>
      </c>
      <c r="BY146" s="228">
        <v>947</v>
      </c>
      <c r="BZ146" s="228">
        <v>914</v>
      </c>
      <c r="CA146" s="228">
        <v>33</v>
      </c>
      <c r="CB146" s="229">
        <v>3.56E-2</v>
      </c>
      <c r="CC146" s="228">
        <v>893</v>
      </c>
      <c r="CD146" s="228">
        <v>887</v>
      </c>
      <c r="CE146" s="228">
        <v>6</v>
      </c>
      <c r="CF146" s="229">
        <v>6.6E-3</v>
      </c>
      <c r="CG146" s="228">
        <v>51</v>
      </c>
      <c r="CH146" s="228">
        <v>25</v>
      </c>
      <c r="CI146" s="228">
        <v>26</v>
      </c>
      <c r="CJ146" s="229">
        <v>1.0449999999999999</v>
      </c>
      <c r="CK146" s="228">
        <v>0</v>
      </c>
      <c r="CL146" s="228">
        <v>0</v>
      </c>
      <c r="CM146" s="228">
        <v>0</v>
      </c>
      <c r="CN146" s="229">
        <v>0</v>
      </c>
      <c r="CO146" s="228">
        <v>267</v>
      </c>
      <c r="CP146" s="228">
        <v>275</v>
      </c>
      <c r="CQ146" s="228">
        <v>-8</v>
      </c>
      <c r="CR146" s="229">
        <v>-2.8199999999999999E-2</v>
      </c>
      <c r="CS146" s="228">
        <v>220</v>
      </c>
      <c r="CT146" s="228">
        <v>223</v>
      </c>
      <c r="CU146" s="228">
        <v>-3</v>
      </c>
      <c r="CV146" s="229">
        <v>-1.35E-2</v>
      </c>
      <c r="CW146" s="230">
        <v>1434</v>
      </c>
      <c r="CX146" s="230">
        <v>1413</v>
      </c>
      <c r="CY146" s="228">
        <v>22</v>
      </c>
      <c r="CZ146" s="229">
        <v>1.54E-2</v>
      </c>
      <c r="DA146" s="228">
        <v>25.9</v>
      </c>
      <c r="DB146" s="228">
        <v>26.9</v>
      </c>
      <c r="DC146" s="228">
        <v>-1</v>
      </c>
      <c r="DD146" s="228">
        <v>-1</v>
      </c>
      <c r="DE146" s="228">
        <v>32.26</v>
      </c>
      <c r="DF146" s="228">
        <v>32.299999999999997</v>
      </c>
      <c r="DG146" s="228">
        <v>-6.36</v>
      </c>
      <c r="DH146" s="228">
        <v>-0.04</v>
      </c>
      <c r="DI146" s="228">
        <v>25.61</v>
      </c>
      <c r="DJ146" s="228">
        <v>27.11</v>
      </c>
      <c r="DK146" s="228">
        <v>-1.5</v>
      </c>
      <c r="DL146" s="228">
        <v>-1.5</v>
      </c>
      <c r="DM146" s="228">
        <v>26.63</v>
      </c>
      <c r="DN146" s="228">
        <v>26.41</v>
      </c>
      <c r="DO146" s="228">
        <v>0.22</v>
      </c>
      <c r="DP146" s="228">
        <v>0.22</v>
      </c>
      <c r="DQ146" s="228">
        <v>0.82</v>
      </c>
      <c r="DR146" s="228">
        <v>0.81</v>
      </c>
      <c r="DS146" s="228">
        <v>0.01</v>
      </c>
      <c r="DT146" s="229">
        <v>1.23E-2</v>
      </c>
      <c r="DU146" s="231">
        <v>1640</v>
      </c>
      <c r="DV146" s="231">
        <v>1500</v>
      </c>
      <c r="DW146" s="228">
        <v>0.39</v>
      </c>
      <c r="DX146" s="228">
        <v>0.42</v>
      </c>
      <c r="DY146" s="228">
        <v>-0.03</v>
      </c>
      <c r="DZ146" s="229">
        <v>-7.1400000000000005E-2</v>
      </c>
      <c r="EA146" s="229">
        <v>5.4100000000000002E-2</v>
      </c>
      <c r="EB146" s="230">
        <v>160000</v>
      </c>
      <c r="EC146" s="229">
        <v>5.0000000000000001E-3</v>
      </c>
      <c r="ED146" s="229">
        <v>5.4100000000000002E-2</v>
      </c>
      <c r="EE146" s="228">
        <v>9.39</v>
      </c>
      <c r="EF146" s="229">
        <v>6.0000000000000001E-3</v>
      </c>
      <c r="EG146" s="230">
        <v>491066</v>
      </c>
      <c r="EH146" s="230">
        <v>300298</v>
      </c>
      <c r="EI146" s="229">
        <v>0.63529999999999998</v>
      </c>
      <c r="EJ146" s="229">
        <v>0.4929</v>
      </c>
      <c r="EK146" s="228">
        <v>730.37</v>
      </c>
      <c r="EL146" s="228">
        <v>268.37</v>
      </c>
      <c r="EM146" s="228">
        <v>374.37</v>
      </c>
      <c r="EN146" s="228">
        <v>0</v>
      </c>
      <c r="EO146" s="231">
        <v>1373.11</v>
      </c>
      <c r="EP146" s="228">
        <v>402.65</v>
      </c>
      <c r="EQ146" s="228">
        <v>970.45</v>
      </c>
      <c r="ER146" s="229">
        <v>2.4102000000000001</v>
      </c>
      <c r="ES146" s="228">
        <v>280.92</v>
      </c>
      <c r="ET146" s="228">
        <v>212.91</v>
      </c>
      <c r="EU146" s="228">
        <v>947.21</v>
      </c>
      <c r="EV146" s="231">
        <v>67819703</v>
      </c>
      <c r="EW146" s="231">
        <v>1441.03</v>
      </c>
      <c r="EX146" s="231">
        <v>1408.45</v>
      </c>
      <c r="EY146" s="228">
        <v>32.58</v>
      </c>
      <c r="EZ146" s="229">
        <v>2.3099999999999999E-2</v>
      </c>
      <c r="FA146" s="229">
        <v>0.13500000000000001</v>
      </c>
      <c r="FB146" s="227" t="s">
        <v>555</v>
      </c>
      <c r="FC146">
        <f t="shared" si="2"/>
        <v>54</v>
      </c>
    </row>
    <row r="147" spans="1:159" ht="17.25" thickBot="1" x14ac:dyDescent="0.3">
      <c r="A147" s="226">
        <v>45860</v>
      </c>
      <c r="B147" s="227" t="s">
        <v>193</v>
      </c>
      <c r="C147" s="227" t="s">
        <v>258</v>
      </c>
      <c r="D147" s="228">
        <v>400</v>
      </c>
      <c r="E147" s="228">
        <v>9</v>
      </c>
      <c r="F147" s="231">
        <v>1487.7</v>
      </c>
      <c r="G147" s="231">
        <v>1513.1</v>
      </c>
      <c r="H147" s="228">
        <v>-25.4</v>
      </c>
      <c r="I147" s="229">
        <v>-1.6799999999999999E-2</v>
      </c>
      <c r="J147" s="231">
        <v>1486.3</v>
      </c>
      <c r="K147" s="231">
        <v>1512.3</v>
      </c>
      <c r="L147" s="228">
        <v>-26</v>
      </c>
      <c r="M147" s="229">
        <v>-1.72E-2</v>
      </c>
      <c r="N147" s="231">
        <v>1487.7</v>
      </c>
      <c r="O147" s="231">
        <v>1513.1</v>
      </c>
      <c r="P147" s="228">
        <v>-25.4</v>
      </c>
      <c r="Q147" s="229">
        <v>-1.6799999999999999E-2</v>
      </c>
      <c r="R147" s="228">
        <v>0</v>
      </c>
      <c r="S147" s="228">
        <v>0</v>
      </c>
      <c r="T147" s="228">
        <v>0</v>
      </c>
      <c r="U147" s="229">
        <v>0</v>
      </c>
      <c r="V147" s="228">
        <v>0</v>
      </c>
      <c r="W147" s="228">
        <v>0</v>
      </c>
      <c r="X147" s="228">
        <v>0</v>
      </c>
      <c r="Y147" s="229">
        <v>0</v>
      </c>
      <c r="Z147" s="228">
        <v>1.4</v>
      </c>
      <c r="AA147" s="228">
        <v>0.8</v>
      </c>
      <c r="AB147" s="228">
        <v>0.6</v>
      </c>
      <c r="AC147" s="229">
        <v>8.9999999999999998E-4</v>
      </c>
      <c r="AD147" s="228">
        <v>1.4</v>
      </c>
      <c r="AE147" s="228">
        <v>0.8</v>
      </c>
      <c r="AF147" s="228">
        <v>0.6</v>
      </c>
      <c r="AG147" s="229">
        <v>8.9999999999999998E-4</v>
      </c>
      <c r="AH147" s="228">
        <v>0</v>
      </c>
      <c r="AI147" s="228">
        <v>0</v>
      </c>
      <c r="AJ147" s="228">
        <v>0</v>
      </c>
      <c r="AK147" s="229">
        <v>0</v>
      </c>
      <c r="AL147" s="228">
        <v>0</v>
      </c>
      <c r="AM147" s="228">
        <v>0</v>
      </c>
      <c r="AN147" s="228">
        <v>0</v>
      </c>
      <c r="AO147" s="229">
        <v>0</v>
      </c>
      <c r="AP147" s="231">
        <v>1522.23</v>
      </c>
      <c r="AQ147" s="228">
        <v>0</v>
      </c>
      <c r="AR147" s="228">
        <v>0</v>
      </c>
      <c r="AS147" s="228">
        <v>594</v>
      </c>
      <c r="AT147" s="228">
        <v>41</v>
      </c>
      <c r="AU147" s="228">
        <v>553</v>
      </c>
      <c r="AV147" s="229">
        <v>13.4026</v>
      </c>
      <c r="AW147" s="228">
        <v>594</v>
      </c>
      <c r="AX147" s="228">
        <v>41</v>
      </c>
      <c r="AY147" s="228">
        <v>553</v>
      </c>
      <c r="AZ147" s="229">
        <v>13.4026</v>
      </c>
      <c r="BA147" s="228">
        <v>0</v>
      </c>
      <c r="BB147" s="228">
        <v>0</v>
      </c>
      <c r="BC147" s="228">
        <v>0</v>
      </c>
      <c r="BD147" s="229">
        <v>0</v>
      </c>
      <c r="BE147" s="228">
        <v>0</v>
      </c>
      <c r="BF147" s="228">
        <v>0</v>
      </c>
      <c r="BG147" s="228">
        <v>0</v>
      </c>
      <c r="BH147" s="229">
        <v>0</v>
      </c>
      <c r="BI147" s="230">
        <v>3351</v>
      </c>
      <c r="BJ147" s="228">
        <v>104</v>
      </c>
      <c r="BK147" s="230">
        <v>3247</v>
      </c>
      <c r="BL147" s="229">
        <v>31.2896</v>
      </c>
      <c r="BM147" s="230">
        <v>1439</v>
      </c>
      <c r="BN147" s="228">
        <v>67</v>
      </c>
      <c r="BO147" s="230">
        <v>1372</v>
      </c>
      <c r="BP147" s="229">
        <v>20.473400000000002</v>
      </c>
      <c r="BQ147" s="230">
        <v>5384</v>
      </c>
      <c r="BR147" s="228">
        <v>212</v>
      </c>
      <c r="BS147" s="230">
        <v>5172</v>
      </c>
      <c r="BT147" s="229">
        <v>24.392399999999999</v>
      </c>
      <c r="BU147" s="230">
        <v>2387974</v>
      </c>
      <c r="BV147" s="230">
        <v>185645</v>
      </c>
      <c r="BW147" s="230">
        <v>2202329</v>
      </c>
      <c r="BX147" s="229">
        <v>11.863099999999999</v>
      </c>
      <c r="BY147" s="228">
        <v>283</v>
      </c>
      <c r="BZ147" s="228">
        <v>277</v>
      </c>
      <c r="CA147" s="228">
        <v>6</v>
      </c>
      <c r="CB147" s="229">
        <v>2.35E-2</v>
      </c>
      <c r="CC147" s="228">
        <v>283</v>
      </c>
      <c r="CD147" s="228">
        <v>277</v>
      </c>
      <c r="CE147" s="228">
        <v>6</v>
      </c>
      <c r="CF147" s="229">
        <v>2.35E-2</v>
      </c>
      <c r="CG147" s="228">
        <v>0</v>
      </c>
      <c r="CH147" s="228">
        <v>0</v>
      </c>
      <c r="CI147" s="228">
        <v>0</v>
      </c>
      <c r="CJ147" s="229">
        <v>0</v>
      </c>
      <c r="CK147" s="228">
        <v>0</v>
      </c>
      <c r="CL147" s="228">
        <v>0</v>
      </c>
      <c r="CM147" s="228">
        <v>0</v>
      </c>
      <c r="CN147" s="229">
        <v>0</v>
      </c>
      <c r="CO147" s="228">
        <v>532</v>
      </c>
      <c r="CP147" s="228">
        <v>268</v>
      </c>
      <c r="CQ147" s="228">
        <v>264</v>
      </c>
      <c r="CR147" s="229">
        <v>0.98270000000000002</v>
      </c>
      <c r="CS147" s="228">
        <v>251</v>
      </c>
      <c r="CT147" s="228">
        <v>203</v>
      </c>
      <c r="CU147" s="228">
        <v>48</v>
      </c>
      <c r="CV147" s="229">
        <v>0.23380000000000001</v>
      </c>
      <c r="CW147" s="230">
        <v>1066</v>
      </c>
      <c r="CX147" s="228">
        <v>748</v>
      </c>
      <c r="CY147" s="228">
        <v>318</v>
      </c>
      <c r="CZ147" s="229">
        <v>0.42470000000000002</v>
      </c>
      <c r="DA147" s="228">
        <v>38.229999999999997</v>
      </c>
      <c r="DB147" s="228">
        <v>37.799999999999997</v>
      </c>
      <c r="DC147" s="228">
        <v>0.43</v>
      </c>
      <c r="DD147" s="228">
        <v>0.43</v>
      </c>
      <c r="DE147" s="228">
        <v>45.12</v>
      </c>
      <c r="DF147" s="228">
        <v>45.17</v>
      </c>
      <c r="DG147" s="228">
        <v>-6.89</v>
      </c>
      <c r="DH147" s="228">
        <v>-0.05</v>
      </c>
      <c r="DI147" s="228">
        <v>38.96</v>
      </c>
      <c r="DJ147" s="228">
        <v>38.049999999999997</v>
      </c>
      <c r="DK147" s="228">
        <v>0.91</v>
      </c>
      <c r="DL147" s="228">
        <v>0.91</v>
      </c>
      <c r="DM147" s="228">
        <v>36.520000000000003</v>
      </c>
      <c r="DN147" s="228">
        <v>37.409999999999997</v>
      </c>
      <c r="DO147" s="228">
        <v>-0.89</v>
      </c>
      <c r="DP147" s="228">
        <v>-0.89</v>
      </c>
      <c r="DQ147" s="228">
        <v>0.47</v>
      </c>
      <c r="DR147" s="228">
        <v>0.76</v>
      </c>
      <c r="DS147" s="228">
        <v>-0.28999999999999998</v>
      </c>
      <c r="DT147" s="229">
        <v>-0.38159999999999999</v>
      </c>
      <c r="DU147" s="231">
        <v>1600</v>
      </c>
      <c r="DV147" s="231">
        <v>1400</v>
      </c>
      <c r="DW147" s="228">
        <v>0.43</v>
      </c>
      <c r="DX147" s="228">
        <v>0.65</v>
      </c>
      <c r="DY147" s="228">
        <v>-0.22</v>
      </c>
      <c r="DZ147" s="229">
        <v>-0.33850000000000002</v>
      </c>
      <c r="EA147" s="229">
        <v>0</v>
      </c>
      <c r="EB147" s="228">
        <v>0</v>
      </c>
      <c r="EC147" s="229">
        <v>0</v>
      </c>
      <c r="ED147" s="229">
        <v>0</v>
      </c>
      <c r="EE147" s="228">
        <v>0</v>
      </c>
      <c r="EF147" s="229">
        <v>0</v>
      </c>
      <c r="EG147" s="230">
        <v>542611</v>
      </c>
      <c r="EH147" s="230">
        <v>98379</v>
      </c>
      <c r="EI147" s="229">
        <v>4.5155000000000003</v>
      </c>
      <c r="EJ147" s="229">
        <v>0.22720000000000001</v>
      </c>
      <c r="EK147" s="231">
        <v>3595.34</v>
      </c>
      <c r="EL147" s="231">
        <v>1455.74</v>
      </c>
      <c r="EM147" s="228">
        <v>607.74</v>
      </c>
      <c r="EN147" s="228">
        <v>0</v>
      </c>
      <c r="EO147" s="231">
        <v>5658.81</v>
      </c>
      <c r="EP147" s="228">
        <v>220.16</v>
      </c>
      <c r="EQ147" s="231">
        <v>5438.65</v>
      </c>
      <c r="ER147" s="229">
        <v>24.703399999999998</v>
      </c>
      <c r="ES147" s="228">
        <v>565.41999999999996</v>
      </c>
      <c r="ET147" s="228">
        <v>240.85</v>
      </c>
      <c r="EU147" s="228">
        <v>283.02</v>
      </c>
      <c r="EV147" s="231">
        <v>13335005</v>
      </c>
      <c r="EW147" s="231">
        <v>1089.3</v>
      </c>
      <c r="EX147" s="228">
        <v>760.71</v>
      </c>
      <c r="EY147" s="228">
        <v>328.59</v>
      </c>
      <c r="EZ147" s="229">
        <v>0.432</v>
      </c>
      <c r="FA147" s="229">
        <v>0.53739999999999999</v>
      </c>
      <c r="FB147" s="227" t="s">
        <v>567</v>
      </c>
      <c r="FC147">
        <f t="shared" si="2"/>
        <v>0</v>
      </c>
    </row>
    <row r="148" spans="1:159" ht="17.25" thickBot="1" x14ac:dyDescent="0.3">
      <c r="A148" s="226">
        <v>45860</v>
      </c>
      <c r="B148" s="227" t="s">
        <v>181</v>
      </c>
      <c r="C148" s="227" t="s">
        <v>563</v>
      </c>
      <c r="D148" s="228">
        <v>140</v>
      </c>
      <c r="E148" s="228">
        <v>9</v>
      </c>
      <c r="F148" s="231">
        <v>13220.05</v>
      </c>
      <c r="G148" s="231">
        <v>13336.35</v>
      </c>
      <c r="H148" s="228">
        <v>-116.3</v>
      </c>
      <c r="I148" s="229">
        <v>-8.6999999999999994E-3</v>
      </c>
      <c r="J148" s="231">
        <v>13206.6</v>
      </c>
      <c r="K148" s="231">
        <v>13301</v>
      </c>
      <c r="L148" s="228">
        <v>-94.4</v>
      </c>
      <c r="M148" s="229">
        <v>-7.1000000000000004E-3</v>
      </c>
      <c r="N148" s="231">
        <v>13220.05</v>
      </c>
      <c r="O148" s="231">
        <v>13336.35</v>
      </c>
      <c r="P148" s="228">
        <v>-116.3</v>
      </c>
      <c r="Q148" s="229">
        <v>-8.6999999999999994E-3</v>
      </c>
      <c r="R148" s="231">
        <v>13269.05</v>
      </c>
      <c r="S148" s="231">
        <v>13386.45</v>
      </c>
      <c r="T148" s="228">
        <v>-117.4</v>
      </c>
      <c r="U148" s="229">
        <v>-8.8000000000000005E-3</v>
      </c>
      <c r="V148" s="228">
        <v>0</v>
      </c>
      <c r="W148" s="228">
        <v>0</v>
      </c>
      <c r="X148" s="228">
        <v>0</v>
      </c>
      <c r="Y148" s="229">
        <v>0</v>
      </c>
      <c r="Z148" s="228">
        <v>13.45</v>
      </c>
      <c r="AA148" s="228">
        <v>35.35</v>
      </c>
      <c r="AB148" s="228">
        <v>-21.9</v>
      </c>
      <c r="AC148" s="229">
        <v>1E-3</v>
      </c>
      <c r="AD148" s="228">
        <v>13.45</v>
      </c>
      <c r="AE148" s="228">
        <v>35.35</v>
      </c>
      <c r="AF148" s="228">
        <v>-21.9</v>
      </c>
      <c r="AG148" s="229">
        <v>1E-3</v>
      </c>
      <c r="AH148" s="228">
        <v>62.45</v>
      </c>
      <c r="AI148" s="228">
        <v>85.45</v>
      </c>
      <c r="AJ148" s="228">
        <v>-23</v>
      </c>
      <c r="AK148" s="229">
        <v>4.7000000000000002E-3</v>
      </c>
      <c r="AL148" s="228">
        <v>0</v>
      </c>
      <c r="AM148" s="228">
        <v>0</v>
      </c>
      <c r="AN148" s="228">
        <v>0</v>
      </c>
      <c r="AO148" s="229">
        <v>0</v>
      </c>
      <c r="AP148" s="231">
        <v>13262.69</v>
      </c>
      <c r="AQ148" s="231">
        <v>13306.79</v>
      </c>
      <c r="AR148" s="228">
        <v>0</v>
      </c>
      <c r="AS148" s="228">
        <v>553</v>
      </c>
      <c r="AT148" s="228">
        <v>669</v>
      </c>
      <c r="AU148" s="228">
        <v>-117</v>
      </c>
      <c r="AV148" s="229">
        <v>-0.17419999999999999</v>
      </c>
      <c r="AW148" s="228">
        <v>467</v>
      </c>
      <c r="AX148" s="228">
        <v>587</v>
      </c>
      <c r="AY148" s="228">
        <v>-120</v>
      </c>
      <c r="AZ148" s="229">
        <v>-0.2046</v>
      </c>
      <c r="BA148" s="228">
        <v>83</v>
      </c>
      <c r="BB148" s="228">
        <v>78</v>
      </c>
      <c r="BC148" s="228">
        <v>5</v>
      </c>
      <c r="BD148" s="229">
        <v>6.1899999999999997E-2</v>
      </c>
      <c r="BE148" s="228">
        <v>0</v>
      </c>
      <c r="BF148" s="228">
        <v>0</v>
      </c>
      <c r="BG148" s="228">
        <v>0</v>
      </c>
      <c r="BH148" s="229">
        <v>0</v>
      </c>
      <c r="BI148" s="230">
        <v>35244</v>
      </c>
      <c r="BJ148" s="230">
        <v>31801</v>
      </c>
      <c r="BK148" s="230">
        <v>3443</v>
      </c>
      <c r="BL148" s="229">
        <v>0.10829999999999999</v>
      </c>
      <c r="BM148" s="230">
        <v>29882</v>
      </c>
      <c r="BN148" s="230">
        <v>28675</v>
      </c>
      <c r="BO148" s="230">
        <v>1207</v>
      </c>
      <c r="BP148" s="229">
        <v>4.2099999999999999E-2</v>
      </c>
      <c r="BQ148" s="230">
        <v>65679</v>
      </c>
      <c r="BR148" s="230">
        <v>61145</v>
      </c>
      <c r="BS148" s="230">
        <v>4534</v>
      </c>
      <c r="BT148" s="229">
        <v>7.4200000000000002E-2</v>
      </c>
      <c r="BU148" s="228">
        <v>0</v>
      </c>
      <c r="BV148" s="228">
        <v>0</v>
      </c>
      <c r="BW148" s="228">
        <v>0</v>
      </c>
      <c r="BX148" s="229">
        <v>0</v>
      </c>
      <c r="BY148" s="230">
        <v>3036</v>
      </c>
      <c r="BZ148" s="230">
        <v>3089</v>
      </c>
      <c r="CA148" s="228">
        <v>-52</v>
      </c>
      <c r="CB148" s="229">
        <v>-1.7000000000000001E-2</v>
      </c>
      <c r="CC148" s="230">
        <v>2836</v>
      </c>
      <c r="CD148" s="230">
        <v>2904</v>
      </c>
      <c r="CE148" s="228">
        <v>-68</v>
      </c>
      <c r="CF148" s="229">
        <v>-2.3300000000000001E-2</v>
      </c>
      <c r="CG148" s="228">
        <v>182</v>
      </c>
      <c r="CH148" s="228">
        <v>168</v>
      </c>
      <c r="CI148" s="228">
        <v>14</v>
      </c>
      <c r="CJ148" s="229">
        <v>8.2500000000000004E-2</v>
      </c>
      <c r="CK148" s="228">
        <v>0</v>
      </c>
      <c r="CL148" s="228">
        <v>0</v>
      </c>
      <c r="CM148" s="228">
        <v>0</v>
      </c>
      <c r="CN148" s="229">
        <v>0</v>
      </c>
      <c r="CO148" s="230">
        <v>15701</v>
      </c>
      <c r="CP148" s="230">
        <v>13429</v>
      </c>
      <c r="CQ148" s="230">
        <v>2273</v>
      </c>
      <c r="CR148" s="229">
        <v>0.16930000000000001</v>
      </c>
      <c r="CS148" s="230">
        <v>12482</v>
      </c>
      <c r="CT148" s="230">
        <v>11920</v>
      </c>
      <c r="CU148" s="228">
        <v>562</v>
      </c>
      <c r="CV148" s="229">
        <v>4.7199999999999999E-2</v>
      </c>
      <c r="CW148" s="230">
        <v>31220</v>
      </c>
      <c r="CX148" s="230">
        <v>28437</v>
      </c>
      <c r="CY148" s="230">
        <v>2783</v>
      </c>
      <c r="CZ148" s="229">
        <v>9.7900000000000001E-2</v>
      </c>
      <c r="DA148" s="228">
        <v>16.14</v>
      </c>
      <c r="DB148" s="228">
        <v>16.440000000000001</v>
      </c>
      <c r="DC148" s="228">
        <v>-0.3</v>
      </c>
      <c r="DD148" s="228">
        <v>-0.3</v>
      </c>
      <c r="DE148" s="228">
        <v>24.2</v>
      </c>
      <c r="DF148" s="228">
        <v>24.23</v>
      </c>
      <c r="DG148" s="228">
        <v>-8.06</v>
      </c>
      <c r="DH148" s="228">
        <v>-0.03</v>
      </c>
      <c r="DI148" s="228">
        <v>15.95</v>
      </c>
      <c r="DJ148" s="228">
        <v>15.63</v>
      </c>
      <c r="DK148" s="228">
        <v>0.32</v>
      </c>
      <c r="DL148" s="228">
        <v>0.32</v>
      </c>
      <c r="DM148" s="228">
        <v>16.36</v>
      </c>
      <c r="DN148" s="228">
        <v>17.329999999999998</v>
      </c>
      <c r="DO148" s="228">
        <v>-0.97</v>
      </c>
      <c r="DP148" s="228">
        <v>-0.97</v>
      </c>
      <c r="DQ148" s="228">
        <v>0.79</v>
      </c>
      <c r="DR148" s="228">
        <v>0.89</v>
      </c>
      <c r="DS148" s="228">
        <v>-0.1</v>
      </c>
      <c r="DT148" s="229">
        <v>-0.1124</v>
      </c>
      <c r="DU148" s="231">
        <v>14000</v>
      </c>
      <c r="DV148" s="231">
        <v>13000</v>
      </c>
      <c r="DW148" s="228">
        <v>0.85</v>
      </c>
      <c r="DX148" s="228">
        <v>0.9</v>
      </c>
      <c r="DY148" s="228">
        <v>-0.05</v>
      </c>
      <c r="DZ148" s="229">
        <v>-5.5599999999999997E-2</v>
      </c>
      <c r="EA148" s="229">
        <v>0.06</v>
      </c>
      <c r="EB148" s="230">
        <v>127260</v>
      </c>
      <c r="EC148" s="229">
        <v>3.7000000000000002E-3</v>
      </c>
      <c r="ED148" s="229">
        <v>0.06</v>
      </c>
      <c r="EE148" s="228">
        <v>44.1</v>
      </c>
      <c r="EF148" s="229">
        <v>3.3E-3</v>
      </c>
      <c r="EG148" s="228">
        <v>0</v>
      </c>
      <c r="EH148" s="228">
        <v>0</v>
      </c>
      <c r="EI148" s="229">
        <v>0</v>
      </c>
      <c r="EJ148" s="229">
        <v>0</v>
      </c>
      <c r="EK148" s="231">
        <v>36257.919999999998</v>
      </c>
      <c r="EL148" s="231">
        <v>29713.93</v>
      </c>
      <c r="EM148" s="228">
        <v>554.91999999999996</v>
      </c>
      <c r="EN148" s="228">
        <v>0</v>
      </c>
      <c r="EO148" s="231">
        <v>66526.77</v>
      </c>
      <c r="EP148" s="231">
        <v>61763</v>
      </c>
      <c r="EQ148" s="231">
        <v>4763.78</v>
      </c>
      <c r="ER148" s="229">
        <v>7.7100000000000002E-2</v>
      </c>
      <c r="ES148" s="231">
        <v>16287.71</v>
      </c>
      <c r="ET148" s="231">
        <v>12049.78</v>
      </c>
      <c r="EU148" s="231">
        <v>3037.08</v>
      </c>
      <c r="EV148" s="228">
        <v>0</v>
      </c>
      <c r="EW148" s="231">
        <v>31374.560000000001</v>
      </c>
      <c r="EX148" s="231">
        <v>28583.91</v>
      </c>
      <c r="EY148" s="231">
        <v>2790.65</v>
      </c>
      <c r="EZ148" s="229">
        <v>9.7600000000000006E-2</v>
      </c>
      <c r="FA148" s="229">
        <v>0</v>
      </c>
      <c r="FB148" s="227" t="s">
        <v>568</v>
      </c>
      <c r="FC148">
        <f>BY232-CC232</f>
        <v>0</v>
      </c>
    </row>
    <row r="149" spans="1:159" ht="17.25" thickBot="1" x14ac:dyDescent="0.3">
      <c r="A149" s="226">
        <v>45860</v>
      </c>
      <c r="B149" s="227" t="s">
        <v>162</v>
      </c>
      <c r="C149" s="227" t="s">
        <v>559</v>
      </c>
      <c r="D149" s="228">
        <v>6150</v>
      </c>
      <c r="E149" s="228">
        <v>9</v>
      </c>
      <c r="F149" s="228">
        <v>97.36</v>
      </c>
      <c r="G149" s="228">
        <v>100.95</v>
      </c>
      <c r="H149" s="228">
        <v>-3.59</v>
      </c>
      <c r="I149" s="229">
        <v>-3.56E-2</v>
      </c>
      <c r="J149" s="228">
        <v>97.24</v>
      </c>
      <c r="K149" s="228">
        <v>100.81</v>
      </c>
      <c r="L149" s="228">
        <v>-3.57</v>
      </c>
      <c r="M149" s="229">
        <v>-3.5400000000000001E-2</v>
      </c>
      <c r="N149" s="228">
        <v>97.36</v>
      </c>
      <c r="O149" s="228">
        <v>100.95</v>
      </c>
      <c r="P149" s="228">
        <v>-3.59</v>
      </c>
      <c r="Q149" s="229">
        <v>-3.56E-2</v>
      </c>
      <c r="R149" s="228">
        <v>97.87</v>
      </c>
      <c r="S149" s="228">
        <v>101.49</v>
      </c>
      <c r="T149" s="228">
        <v>-3.62</v>
      </c>
      <c r="U149" s="229">
        <v>-3.5700000000000003E-2</v>
      </c>
      <c r="V149" s="228">
        <v>0</v>
      </c>
      <c r="W149" s="228">
        <v>0</v>
      </c>
      <c r="X149" s="228">
        <v>0</v>
      </c>
      <c r="Y149" s="229">
        <v>0</v>
      </c>
      <c r="Z149" s="228">
        <v>0.12</v>
      </c>
      <c r="AA149" s="228">
        <v>0.14000000000000001</v>
      </c>
      <c r="AB149" s="228">
        <v>-0.02</v>
      </c>
      <c r="AC149" s="229">
        <v>1.1999999999999999E-3</v>
      </c>
      <c r="AD149" s="228">
        <v>0.12</v>
      </c>
      <c r="AE149" s="228">
        <v>0.14000000000000001</v>
      </c>
      <c r="AF149" s="228">
        <v>-0.02</v>
      </c>
      <c r="AG149" s="229">
        <v>1.1999999999999999E-3</v>
      </c>
      <c r="AH149" s="228">
        <v>0.63</v>
      </c>
      <c r="AI149" s="228">
        <v>0.68</v>
      </c>
      <c r="AJ149" s="228">
        <v>-0.05</v>
      </c>
      <c r="AK149" s="229">
        <v>6.4999999999999997E-3</v>
      </c>
      <c r="AL149" s="228">
        <v>0</v>
      </c>
      <c r="AM149" s="228">
        <v>0</v>
      </c>
      <c r="AN149" s="228">
        <v>0</v>
      </c>
      <c r="AO149" s="229">
        <v>0</v>
      </c>
      <c r="AP149" s="228">
        <v>98.72</v>
      </c>
      <c r="AQ149" s="228">
        <v>99.17</v>
      </c>
      <c r="AR149" s="228">
        <v>0</v>
      </c>
      <c r="AS149" s="228">
        <v>213</v>
      </c>
      <c r="AT149" s="228">
        <v>140</v>
      </c>
      <c r="AU149" s="228">
        <v>73</v>
      </c>
      <c r="AV149" s="229">
        <v>0.51749999999999996</v>
      </c>
      <c r="AW149" s="228">
        <v>163</v>
      </c>
      <c r="AX149" s="228">
        <v>118</v>
      </c>
      <c r="AY149" s="228">
        <v>45</v>
      </c>
      <c r="AZ149" s="229">
        <v>0.37759999999999999</v>
      </c>
      <c r="BA149" s="228">
        <v>44</v>
      </c>
      <c r="BB149" s="228">
        <v>20</v>
      </c>
      <c r="BC149" s="228">
        <v>24</v>
      </c>
      <c r="BD149" s="229">
        <v>1.177</v>
      </c>
      <c r="BE149" s="228">
        <v>0</v>
      </c>
      <c r="BF149" s="228">
        <v>0</v>
      </c>
      <c r="BG149" s="228">
        <v>0</v>
      </c>
      <c r="BH149" s="229">
        <v>0</v>
      </c>
      <c r="BI149" s="228">
        <v>505</v>
      </c>
      <c r="BJ149" s="228">
        <v>320</v>
      </c>
      <c r="BK149" s="228">
        <v>185</v>
      </c>
      <c r="BL149" s="229">
        <v>0.57789999999999997</v>
      </c>
      <c r="BM149" s="228">
        <v>268</v>
      </c>
      <c r="BN149" s="228">
        <v>123</v>
      </c>
      <c r="BO149" s="228">
        <v>145</v>
      </c>
      <c r="BP149" s="229">
        <v>1.1783999999999999</v>
      </c>
      <c r="BQ149" s="228">
        <v>986</v>
      </c>
      <c r="BR149" s="228">
        <v>583</v>
      </c>
      <c r="BS149" s="228">
        <v>403</v>
      </c>
      <c r="BT149" s="229">
        <v>0.69020000000000004</v>
      </c>
      <c r="BU149" s="230">
        <v>13627623</v>
      </c>
      <c r="BV149" s="230">
        <v>12809091</v>
      </c>
      <c r="BW149" s="230">
        <v>818532</v>
      </c>
      <c r="BX149" s="229">
        <v>6.3899999999999998E-2</v>
      </c>
      <c r="BY149" s="230">
        <v>1447</v>
      </c>
      <c r="BZ149" s="230">
        <v>1423</v>
      </c>
      <c r="CA149" s="228">
        <v>24</v>
      </c>
      <c r="CB149" s="229">
        <v>1.6899999999999998E-2</v>
      </c>
      <c r="CC149" s="230">
        <v>1339</v>
      </c>
      <c r="CD149" s="230">
        <v>1339</v>
      </c>
      <c r="CE149" s="228">
        <v>1</v>
      </c>
      <c r="CF149" s="229">
        <v>4.0000000000000002E-4</v>
      </c>
      <c r="CG149" s="228">
        <v>92</v>
      </c>
      <c r="CH149" s="228">
        <v>72</v>
      </c>
      <c r="CI149" s="228">
        <v>19</v>
      </c>
      <c r="CJ149" s="229">
        <v>0.2697</v>
      </c>
      <c r="CK149" s="228">
        <v>0</v>
      </c>
      <c r="CL149" s="228">
        <v>0</v>
      </c>
      <c r="CM149" s="228">
        <v>0</v>
      </c>
      <c r="CN149" s="229">
        <v>0</v>
      </c>
      <c r="CO149" s="228">
        <v>456</v>
      </c>
      <c r="CP149" s="228">
        <v>417</v>
      </c>
      <c r="CQ149" s="228">
        <v>38</v>
      </c>
      <c r="CR149" s="229">
        <v>9.1899999999999996E-2</v>
      </c>
      <c r="CS149" s="228">
        <v>240</v>
      </c>
      <c r="CT149" s="228">
        <v>232</v>
      </c>
      <c r="CU149" s="228">
        <v>8</v>
      </c>
      <c r="CV149" s="229">
        <v>3.56E-2</v>
      </c>
      <c r="CW149" s="230">
        <v>2143</v>
      </c>
      <c r="CX149" s="230">
        <v>2072</v>
      </c>
      <c r="CY149" s="228">
        <v>71</v>
      </c>
      <c r="CZ149" s="229">
        <v>3.4099999999999998E-2</v>
      </c>
      <c r="DA149" s="228">
        <v>33.65</v>
      </c>
      <c r="DB149" s="228">
        <v>30.69</v>
      </c>
      <c r="DC149" s="228">
        <v>2.96</v>
      </c>
      <c r="DD149" s="228">
        <v>2.96</v>
      </c>
      <c r="DE149" s="228">
        <v>41.62</v>
      </c>
      <c r="DF149" s="228">
        <v>41.44</v>
      </c>
      <c r="DG149" s="228">
        <v>-7.97</v>
      </c>
      <c r="DH149" s="228">
        <v>0.18</v>
      </c>
      <c r="DI149" s="228">
        <v>34.85</v>
      </c>
      <c r="DJ149" s="228">
        <v>31.11</v>
      </c>
      <c r="DK149" s="228">
        <v>3.74</v>
      </c>
      <c r="DL149" s="228">
        <v>3.74</v>
      </c>
      <c r="DM149" s="228">
        <v>31.41</v>
      </c>
      <c r="DN149" s="228">
        <v>29.59</v>
      </c>
      <c r="DO149" s="228">
        <v>1.82</v>
      </c>
      <c r="DP149" s="228">
        <v>1.82</v>
      </c>
      <c r="DQ149" s="228">
        <v>0.53</v>
      </c>
      <c r="DR149" s="228">
        <v>0.56000000000000005</v>
      </c>
      <c r="DS149" s="228">
        <v>-0.03</v>
      </c>
      <c r="DT149" s="229">
        <v>-5.3600000000000002E-2</v>
      </c>
      <c r="DU149" s="228">
        <v>106.65</v>
      </c>
      <c r="DV149" s="228">
        <v>103.35</v>
      </c>
      <c r="DW149" s="228">
        <v>0.53</v>
      </c>
      <c r="DX149" s="228">
        <v>0.39</v>
      </c>
      <c r="DY149" s="228">
        <v>0.14000000000000001</v>
      </c>
      <c r="DZ149" s="229">
        <v>0.35899999999999999</v>
      </c>
      <c r="EA149" s="229">
        <v>6.3299999999999995E-2</v>
      </c>
      <c r="EB149" s="230">
        <v>7410750</v>
      </c>
      <c r="EC149" s="229">
        <v>5.1999999999999998E-3</v>
      </c>
      <c r="ED149" s="229">
        <v>6.3299999999999995E-2</v>
      </c>
      <c r="EE149" s="228">
        <v>0.45</v>
      </c>
      <c r="EF149" s="229">
        <v>4.5999999999999999E-3</v>
      </c>
      <c r="EG149" s="230">
        <v>6945884</v>
      </c>
      <c r="EH149" s="230">
        <v>8222226</v>
      </c>
      <c r="EI149" s="229">
        <v>-0.1552</v>
      </c>
      <c r="EJ149" s="229">
        <v>0.50970000000000004</v>
      </c>
      <c r="EK149" s="228">
        <v>540.54999999999995</v>
      </c>
      <c r="EL149" s="228">
        <v>279.19</v>
      </c>
      <c r="EM149" s="228">
        <v>216.21</v>
      </c>
      <c r="EN149" s="228">
        <v>0</v>
      </c>
      <c r="EO149" s="231">
        <v>1035.96</v>
      </c>
      <c r="EP149" s="228">
        <v>621.87</v>
      </c>
      <c r="EQ149" s="228">
        <v>414.09</v>
      </c>
      <c r="ER149" s="229">
        <v>0.66590000000000005</v>
      </c>
      <c r="ES149" s="228">
        <v>498.18</v>
      </c>
      <c r="ET149" s="228">
        <v>242.92</v>
      </c>
      <c r="EU149" s="231">
        <v>1447.63</v>
      </c>
      <c r="EV149" s="231">
        <v>883911758</v>
      </c>
      <c r="EW149" s="231">
        <v>2188.73</v>
      </c>
      <c r="EX149" s="231">
        <v>2171.7199999999998</v>
      </c>
      <c r="EY149" s="228">
        <v>17.010000000000002</v>
      </c>
      <c r="EZ149" s="229">
        <v>7.7999999999999996E-3</v>
      </c>
      <c r="FA149" s="229">
        <v>0.249</v>
      </c>
      <c r="FB149" s="227" t="s">
        <v>567</v>
      </c>
      <c r="FC149">
        <f t="shared" ref="FC149:FC194" si="3">BY231-CC231</f>
        <v>149</v>
      </c>
    </row>
    <row r="150" spans="1:159" ht="17.25" thickBot="1" x14ac:dyDescent="0.3">
      <c r="A150" s="226">
        <v>45860</v>
      </c>
      <c r="B150" s="227" t="s">
        <v>221</v>
      </c>
      <c r="C150" s="227" t="s">
        <v>487</v>
      </c>
      <c r="D150" s="228">
        <v>275</v>
      </c>
      <c r="E150" s="228">
        <v>9</v>
      </c>
      <c r="F150" s="231">
        <v>2784.3</v>
      </c>
      <c r="G150" s="231">
        <v>2806.6</v>
      </c>
      <c r="H150" s="228">
        <v>-22.3</v>
      </c>
      <c r="I150" s="229">
        <v>-7.9000000000000008E-3</v>
      </c>
      <c r="J150" s="231">
        <v>2777.2</v>
      </c>
      <c r="K150" s="231">
        <v>2802.9</v>
      </c>
      <c r="L150" s="228">
        <v>-25.7</v>
      </c>
      <c r="M150" s="229">
        <v>-9.1999999999999998E-3</v>
      </c>
      <c r="N150" s="231">
        <v>2784.3</v>
      </c>
      <c r="O150" s="231">
        <v>2806.6</v>
      </c>
      <c r="P150" s="228">
        <v>-22.3</v>
      </c>
      <c r="Q150" s="229">
        <v>-7.9000000000000008E-3</v>
      </c>
      <c r="R150" s="231">
        <v>2798</v>
      </c>
      <c r="S150" s="231">
        <v>2821</v>
      </c>
      <c r="T150" s="228">
        <v>-23</v>
      </c>
      <c r="U150" s="229">
        <v>-8.2000000000000007E-3</v>
      </c>
      <c r="V150" s="228">
        <v>0</v>
      </c>
      <c r="W150" s="228">
        <v>0</v>
      </c>
      <c r="X150" s="228">
        <v>0</v>
      </c>
      <c r="Y150" s="229">
        <v>0</v>
      </c>
      <c r="Z150" s="228">
        <v>7.1</v>
      </c>
      <c r="AA150" s="228">
        <v>3.7</v>
      </c>
      <c r="AB150" s="228">
        <v>3.4</v>
      </c>
      <c r="AC150" s="229">
        <v>2.5999999999999999E-3</v>
      </c>
      <c r="AD150" s="228">
        <v>7.1</v>
      </c>
      <c r="AE150" s="228">
        <v>3.7</v>
      </c>
      <c r="AF150" s="228">
        <v>3.4</v>
      </c>
      <c r="AG150" s="229">
        <v>2.5999999999999999E-3</v>
      </c>
      <c r="AH150" s="228">
        <v>20.8</v>
      </c>
      <c r="AI150" s="228">
        <v>18.100000000000001</v>
      </c>
      <c r="AJ150" s="228">
        <v>2.7</v>
      </c>
      <c r="AK150" s="229">
        <v>7.4999999999999997E-3</v>
      </c>
      <c r="AL150" s="228">
        <v>0</v>
      </c>
      <c r="AM150" s="228">
        <v>0</v>
      </c>
      <c r="AN150" s="228">
        <v>0</v>
      </c>
      <c r="AO150" s="229">
        <v>0</v>
      </c>
      <c r="AP150" s="231">
        <v>2797.89</v>
      </c>
      <c r="AQ150" s="231">
        <v>2811.7</v>
      </c>
      <c r="AR150" s="228">
        <v>0</v>
      </c>
      <c r="AS150" s="228">
        <v>211</v>
      </c>
      <c r="AT150" s="228">
        <v>303</v>
      </c>
      <c r="AU150" s="228">
        <v>-92</v>
      </c>
      <c r="AV150" s="229">
        <v>-0.30499999999999999</v>
      </c>
      <c r="AW150" s="228">
        <v>202</v>
      </c>
      <c r="AX150" s="228">
        <v>286</v>
      </c>
      <c r="AY150" s="228">
        <v>-84</v>
      </c>
      <c r="AZ150" s="229">
        <v>-0.29320000000000002</v>
      </c>
      <c r="BA150" s="228">
        <v>8</v>
      </c>
      <c r="BB150" s="228">
        <v>16</v>
      </c>
      <c r="BC150" s="228">
        <v>-8</v>
      </c>
      <c r="BD150" s="229">
        <v>-0.47139999999999999</v>
      </c>
      <c r="BE150" s="228">
        <v>0</v>
      </c>
      <c r="BF150" s="228">
        <v>0</v>
      </c>
      <c r="BG150" s="228">
        <v>0</v>
      </c>
      <c r="BH150" s="229">
        <v>0</v>
      </c>
      <c r="BI150" s="228">
        <v>108</v>
      </c>
      <c r="BJ150" s="228">
        <v>186</v>
      </c>
      <c r="BK150" s="228">
        <v>-78</v>
      </c>
      <c r="BL150" s="229">
        <v>-0.41739999999999999</v>
      </c>
      <c r="BM150" s="228">
        <v>71</v>
      </c>
      <c r="BN150" s="228">
        <v>105</v>
      </c>
      <c r="BO150" s="228">
        <v>-34</v>
      </c>
      <c r="BP150" s="229">
        <v>-0.32190000000000002</v>
      </c>
      <c r="BQ150" s="228">
        <v>390</v>
      </c>
      <c r="BR150" s="228">
        <v>594</v>
      </c>
      <c r="BS150" s="228">
        <v>-204</v>
      </c>
      <c r="BT150" s="229">
        <v>-0.34320000000000001</v>
      </c>
      <c r="BU150" s="230">
        <v>122800</v>
      </c>
      <c r="BV150" s="230">
        <v>197669</v>
      </c>
      <c r="BW150" s="230">
        <v>-74869</v>
      </c>
      <c r="BX150" s="229">
        <v>-0.37880000000000003</v>
      </c>
      <c r="BY150" s="230">
        <v>1258</v>
      </c>
      <c r="BZ150" s="230">
        <v>1313</v>
      </c>
      <c r="CA150" s="228">
        <v>-55</v>
      </c>
      <c r="CB150" s="229">
        <v>-4.2200000000000001E-2</v>
      </c>
      <c r="CC150" s="230">
        <v>1232</v>
      </c>
      <c r="CD150" s="230">
        <v>1289</v>
      </c>
      <c r="CE150" s="228">
        <v>-57</v>
      </c>
      <c r="CF150" s="229">
        <v>-4.4299999999999999E-2</v>
      </c>
      <c r="CG150" s="228">
        <v>24</v>
      </c>
      <c r="CH150" s="228">
        <v>22</v>
      </c>
      <c r="CI150" s="228">
        <v>2</v>
      </c>
      <c r="CJ150" s="229">
        <v>7.5300000000000006E-2</v>
      </c>
      <c r="CK150" s="228">
        <v>0</v>
      </c>
      <c r="CL150" s="228">
        <v>0</v>
      </c>
      <c r="CM150" s="228">
        <v>0</v>
      </c>
      <c r="CN150" s="229">
        <v>0</v>
      </c>
      <c r="CO150" s="228">
        <v>275</v>
      </c>
      <c r="CP150" s="228">
        <v>282</v>
      </c>
      <c r="CQ150" s="228">
        <v>-8</v>
      </c>
      <c r="CR150" s="229">
        <v>-2.7400000000000001E-2</v>
      </c>
      <c r="CS150" s="228">
        <v>265</v>
      </c>
      <c r="CT150" s="228">
        <v>269</v>
      </c>
      <c r="CU150" s="228">
        <v>-4</v>
      </c>
      <c r="CV150" s="229">
        <v>-1.37E-2</v>
      </c>
      <c r="CW150" s="230">
        <v>1798</v>
      </c>
      <c r="CX150" s="230">
        <v>1865</v>
      </c>
      <c r="CY150" s="228">
        <v>-67</v>
      </c>
      <c r="CZ150" s="229">
        <v>-3.5799999999999998E-2</v>
      </c>
      <c r="DA150" s="228">
        <v>38.6</v>
      </c>
      <c r="DB150" s="228">
        <v>37.64</v>
      </c>
      <c r="DC150" s="228">
        <v>0.96</v>
      </c>
      <c r="DD150" s="228">
        <v>0.96</v>
      </c>
      <c r="DE150" s="228">
        <v>38.67</v>
      </c>
      <c r="DF150" s="228">
        <v>38.75</v>
      </c>
      <c r="DG150" s="228">
        <v>-7.0000000000000007E-2</v>
      </c>
      <c r="DH150" s="228">
        <v>-0.08</v>
      </c>
      <c r="DI150" s="228">
        <v>38.67</v>
      </c>
      <c r="DJ150" s="228">
        <v>37.99</v>
      </c>
      <c r="DK150" s="228">
        <v>0.68</v>
      </c>
      <c r="DL150" s="228">
        <v>0.68</v>
      </c>
      <c r="DM150" s="228">
        <v>38.5</v>
      </c>
      <c r="DN150" s="228">
        <v>37.020000000000003</v>
      </c>
      <c r="DO150" s="228">
        <v>1.48</v>
      </c>
      <c r="DP150" s="228">
        <v>1.48</v>
      </c>
      <c r="DQ150" s="228">
        <v>0.96</v>
      </c>
      <c r="DR150" s="228">
        <v>0.95</v>
      </c>
      <c r="DS150" s="228">
        <v>0.01</v>
      </c>
      <c r="DT150" s="229">
        <v>1.0500000000000001E-2</v>
      </c>
      <c r="DU150" s="231">
        <v>2943</v>
      </c>
      <c r="DV150" s="231">
        <v>2743</v>
      </c>
      <c r="DW150" s="228">
        <v>0.66</v>
      </c>
      <c r="DX150" s="228">
        <v>0.56000000000000005</v>
      </c>
      <c r="DY150" s="228">
        <v>0.1</v>
      </c>
      <c r="DZ150" s="229">
        <v>0.17860000000000001</v>
      </c>
      <c r="EA150" s="229">
        <v>1.9099999999999999E-2</v>
      </c>
      <c r="EB150" s="230">
        <v>80300</v>
      </c>
      <c r="EC150" s="229">
        <v>4.8999999999999998E-3</v>
      </c>
      <c r="ED150" s="229">
        <v>1.9099999999999999E-2</v>
      </c>
      <c r="EE150" s="228">
        <v>13.81</v>
      </c>
      <c r="EF150" s="229">
        <v>4.8999999999999998E-3</v>
      </c>
      <c r="EG150" s="230">
        <v>63294</v>
      </c>
      <c r="EH150" s="230">
        <v>69682</v>
      </c>
      <c r="EI150" s="229">
        <v>-9.1700000000000004E-2</v>
      </c>
      <c r="EJ150" s="229">
        <v>0.51539999999999997</v>
      </c>
      <c r="EK150" s="228">
        <v>113.74</v>
      </c>
      <c r="EL150" s="228">
        <v>71.34</v>
      </c>
      <c r="EM150" s="228">
        <v>211.86</v>
      </c>
      <c r="EN150" s="228">
        <v>0</v>
      </c>
      <c r="EO150" s="228">
        <v>396.94</v>
      </c>
      <c r="EP150" s="228">
        <v>609.72</v>
      </c>
      <c r="EQ150" s="228">
        <v>-212.78</v>
      </c>
      <c r="ER150" s="229">
        <v>-0.34899999999999998</v>
      </c>
      <c r="ES150" s="228">
        <v>286.68</v>
      </c>
      <c r="ET150" s="228">
        <v>253.56</v>
      </c>
      <c r="EU150" s="231">
        <v>1258.17</v>
      </c>
      <c r="EV150" s="231">
        <v>22754935</v>
      </c>
      <c r="EW150" s="231">
        <v>1798.4</v>
      </c>
      <c r="EX150" s="231">
        <v>1876.12</v>
      </c>
      <c r="EY150" s="228">
        <v>-77.72</v>
      </c>
      <c r="EZ150" s="229">
        <v>-4.1399999999999999E-2</v>
      </c>
      <c r="FA150" s="229">
        <v>0.2838</v>
      </c>
      <c r="FB150" s="227" t="s">
        <v>568</v>
      </c>
      <c r="FC150">
        <f t="shared" si="3"/>
        <v>0</v>
      </c>
    </row>
    <row r="151" spans="1:159" ht="17.25" thickBot="1" x14ac:dyDescent="0.3">
      <c r="A151" s="226">
        <v>45860</v>
      </c>
      <c r="B151" s="227" t="s">
        <v>175</v>
      </c>
      <c r="C151" s="227" t="s">
        <v>262</v>
      </c>
      <c r="D151" s="228">
        <v>275</v>
      </c>
      <c r="E151" s="228">
        <v>9</v>
      </c>
      <c r="F151" s="231">
        <v>2668.1</v>
      </c>
      <c r="G151" s="231">
        <v>2678.2</v>
      </c>
      <c r="H151" s="228">
        <v>-10.1</v>
      </c>
      <c r="I151" s="229">
        <v>-3.8E-3</v>
      </c>
      <c r="J151" s="231">
        <v>2674.3</v>
      </c>
      <c r="K151" s="231">
        <v>2683.2</v>
      </c>
      <c r="L151" s="228">
        <v>-8.9</v>
      </c>
      <c r="M151" s="229">
        <v>-3.3E-3</v>
      </c>
      <c r="N151" s="231">
        <v>2668.1</v>
      </c>
      <c r="O151" s="231">
        <v>2678.2</v>
      </c>
      <c r="P151" s="228">
        <v>-10.1</v>
      </c>
      <c r="Q151" s="229">
        <v>-3.8E-3</v>
      </c>
      <c r="R151" s="231">
        <v>2668.8</v>
      </c>
      <c r="S151" s="231">
        <v>2681.8</v>
      </c>
      <c r="T151" s="228">
        <v>-13</v>
      </c>
      <c r="U151" s="229">
        <v>-4.7999999999999996E-3</v>
      </c>
      <c r="V151" s="228">
        <v>0</v>
      </c>
      <c r="W151" s="228">
        <v>0</v>
      </c>
      <c r="X151" s="228">
        <v>0</v>
      </c>
      <c r="Y151" s="229">
        <v>0</v>
      </c>
      <c r="Z151" s="228">
        <v>-6.2</v>
      </c>
      <c r="AA151" s="228">
        <v>-5</v>
      </c>
      <c r="AB151" s="228">
        <v>-1.2</v>
      </c>
      <c r="AC151" s="229">
        <v>-2.3E-3</v>
      </c>
      <c r="AD151" s="228">
        <v>-6.2</v>
      </c>
      <c r="AE151" s="228">
        <v>-5</v>
      </c>
      <c r="AF151" s="228">
        <v>-1.2</v>
      </c>
      <c r="AG151" s="229">
        <v>-2.3E-3</v>
      </c>
      <c r="AH151" s="228">
        <v>-5.5</v>
      </c>
      <c r="AI151" s="228">
        <v>-1.4</v>
      </c>
      <c r="AJ151" s="228">
        <v>-4.0999999999999996</v>
      </c>
      <c r="AK151" s="229">
        <v>-2.0999999999999999E-3</v>
      </c>
      <c r="AL151" s="228">
        <v>0</v>
      </c>
      <c r="AM151" s="228">
        <v>0</v>
      </c>
      <c r="AN151" s="228">
        <v>0</v>
      </c>
      <c r="AO151" s="229">
        <v>0</v>
      </c>
      <c r="AP151" s="231">
        <v>2667.04</v>
      </c>
      <c r="AQ151" s="231">
        <v>2669.14</v>
      </c>
      <c r="AR151" s="228">
        <v>0</v>
      </c>
      <c r="AS151" s="228">
        <v>201</v>
      </c>
      <c r="AT151" s="228">
        <v>329</v>
      </c>
      <c r="AU151" s="228">
        <v>-128</v>
      </c>
      <c r="AV151" s="229">
        <v>-0.38879999999999998</v>
      </c>
      <c r="AW151" s="228">
        <v>170</v>
      </c>
      <c r="AX151" s="228">
        <v>265</v>
      </c>
      <c r="AY151" s="228">
        <v>-95</v>
      </c>
      <c r="AZ151" s="229">
        <v>-0.3584</v>
      </c>
      <c r="BA151" s="228">
        <v>31</v>
      </c>
      <c r="BB151" s="228">
        <v>62</v>
      </c>
      <c r="BC151" s="228">
        <v>-31</v>
      </c>
      <c r="BD151" s="229">
        <v>-0.50470000000000004</v>
      </c>
      <c r="BE151" s="228">
        <v>0</v>
      </c>
      <c r="BF151" s="228">
        <v>0</v>
      </c>
      <c r="BG151" s="228">
        <v>0</v>
      </c>
      <c r="BH151" s="229">
        <v>0</v>
      </c>
      <c r="BI151" s="228">
        <v>428</v>
      </c>
      <c r="BJ151" s="230">
        <v>1306</v>
      </c>
      <c r="BK151" s="228">
        <v>-877</v>
      </c>
      <c r="BL151" s="229">
        <v>-0.67200000000000004</v>
      </c>
      <c r="BM151" s="228">
        <v>179</v>
      </c>
      <c r="BN151" s="228">
        <v>332</v>
      </c>
      <c r="BO151" s="228">
        <v>-153</v>
      </c>
      <c r="BP151" s="229">
        <v>-0.46179999999999999</v>
      </c>
      <c r="BQ151" s="228">
        <v>808</v>
      </c>
      <c r="BR151" s="230">
        <v>1967</v>
      </c>
      <c r="BS151" s="230">
        <v>-1159</v>
      </c>
      <c r="BT151" s="229">
        <v>-0.58909999999999996</v>
      </c>
      <c r="BU151" s="230">
        <v>313888</v>
      </c>
      <c r="BV151" s="230">
        <v>394079</v>
      </c>
      <c r="BW151" s="230">
        <v>-80191</v>
      </c>
      <c r="BX151" s="229">
        <v>-0.20349999999999999</v>
      </c>
      <c r="BY151" s="230">
        <v>1269</v>
      </c>
      <c r="BZ151" s="230">
        <v>1229</v>
      </c>
      <c r="CA151" s="228">
        <v>40</v>
      </c>
      <c r="CB151" s="229">
        <v>3.2199999999999999E-2</v>
      </c>
      <c r="CC151" s="230">
        <v>1154</v>
      </c>
      <c r="CD151" s="230">
        <v>1129</v>
      </c>
      <c r="CE151" s="228">
        <v>25</v>
      </c>
      <c r="CF151" s="229">
        <v>2.2100000000000002E-2</v>
      </c>
      <c r="CG151" s="228">
        <v>111</v>
      </c>
      <c r="CH151" s="228">
        <v>96</v>
      </c>
      <c r="CI151" s="228">
        <v>15</v>
      </c>
      <c r="CJ151" s="229">
        <v>0.1532</v>
      </c>
      <c r="CK151" s="228">
        <v>0</v>
      </c>
      <c r="CL151" s="228">
        <v>0</v>
      </c>
      <c r="CM151" s="228">
        <v>0</v>
      </c>
      <c r="CN151" s="229">
        <v>0</v>
      </c>
      <c r="CO151" s="228">
        <v>753</v>
      </c>
      <c r="CP151" s="228">
        <v>776</v>
      </c>
      <c r="CQ151" s="228">
        <v>-23</v>
      </c>
      <c r="CR151" s="229">
        <v>-3.0200000000000001E-2</v>
      </c>
      <c r="CS151" s="228">
        <v>300</v>
      </c>
      <c r="CT151" s="228">
        <v>308</v>
      </c>
      <c r="CU151" s="228">
        <v>-7</v>
      </c>
      <c r="CV151" s="229">
        <v>-2.41E-2</v>
      </c>
      <c r="CW151" s="230">
        <v>2321</v>
      </c>
      <c r="CX151" s="230">
        <v>2312</v>
      </c>
      <c r="CY151" s="228">
        <v>9</v>
      </c>
      <c r="CZ151" s="229">
        <v>3.8E-3</v>
      </c>
      <c r="DA151" s="228">
        <v>26.28</v>
      </c>
      <c r="DB151" s="228">
        <v>27.31</v>
      </c>
      <c r="DC151" s="228">
        <v>-1.03</v>
      </c>
      <c r="DD151" s="228">
        <v>-1.03</v>
      </c>
      <c r="DE151" s="228">
        <v>36.65</v>
      </c>
      <c r="DF151" s="228">
        <v>36.74</v>
      </c>
      <c r="DG151" s="228">
        <v>-10.37</v>
      </c>
      <c r="DH151" s="228">
        <v>-0.09</v>
      </c>
      <c r="DI151" s="228">
        <v>25.88</v>
      </c>
      <c r="DJ151" s="228">
        <v>27.12</v>
      </c>
      <c r="DK151" s="228">
        <v>-1.24</v>
      </c>
      <c r="DL151" s="228">
        <v>-1.24</v>
      </c>
      <c r="DM151" s="228">
        <v>27.23</v>
      </c>
      <c r="DN151" s="228">
        <v>28.07</v>
      </c>
      <c r="DO151" s="228">
        <v>-0.84</v>
      </c>
      <c r="DP151" s="228">
        <v>-0.84</v>
      </c>
      <c r="DQ151" s="228">
        <v>0.4</v>
      </c>
      <c r="DR151" s="228">
        <v>0.4</v>
      </c>
      <c r="DS151" s="228">
        <v>0</v>
      </c>
      <c r="DT151" s="229">
        <v>0</v>
      </c>
      <c r="DU151" s="231">
        <v>2500</v>
      </c>
      <c r="DV151" s="231">
        <v>2600</v>
      </c>
      <c r="DW151" s="228">
        <v>0.42</v>
      </c>
      <c r="DX151" s="228">
        <v>0.25</v>
      </c>
      <c r="DY151" s="228">
        <v>0.17</v>
      </c>
      <c r="DZ151" s="229">
        <v>0.68</v>
      </c>
      <c r="EA151" s="229">
        <v>8.7499999999999994E-2</v>
      </c>
      <c r="EB151" s="230">
        <v>360800</v>
      </c>
      <c r="EC151" s="229">
        <v>2.9999999999999997E-4</v>
      </c>
      <c r="ED151" s="229">
        <v>8.7499999999999994E-2</v>
      </c>
      <c r="EE151" s="228">
        <v>2.1</v>
      </c>
      <c r="EF151" s="229">
        <v>8.0000000000000004E-4</v>
      </c>
      <c r="EG151" s="230">
        <v>156576</v>
      </c>
      <c r="EH151" s="230">
        <v>182000</v>
      </c>
      <c r="EI151" s="229">
        <v>-0.13969999999999999</v>
      </c>
      <c r="EJ151" s="229">
        <v>0.49880000000000002</v>
      </c>
      <c r="EK151" s="228">
        <v>442.99</v>
      </c>
      <c r="EL151" s="228">
        <v>175.05</v>
      </c>
      <c r="EM151" s="228">
        <v>201.13</v>
      </c>
      <c r="EN151" s="228">
        <v>0</v>
      </c>
      <c r="EO151" s="228">
        <v>819.17</v>
      </c>
      <c r="EP151" s="231">
        <v>2012.21</v>
      </c>
      <c r="EQ151" s="231">
        <v>-1193.04</v>
      </c>
      <c r="ER151" s="229">
        <v>-0.59289999999999998</v>
      </c>
      <c r="ES151" s="228">
        <v>758.95</v>
      </c>
      <c r="ET151" s="228">
        <v>279.02999999999997</v>
      </c>
      <c r="EU151" s="231">
        <v>1268.6500000000001</v>
      </c>
      <c r="EV151" s="231">
        <v>21400003</v>
      </c>
      <c r="EW151" s="231">
        <v>2306.64</v>
      </c>
      <c r="EX151" s="231">
        <v>2303.38</v>
      </c>
      <c r="EY151" s="228">
        <v>3.26</v>
      </c>
      <c r="EZ151" s="229">
        <v>1.4E-3</v>
      </c>
      <c r="FA151" s="229">
        <v>0.40660000000000002</v>
      </c>
      <c r="FB151" s="227" t="s">
        <v>567</v>
      </c>
      <c r="FC151">
        <f t="shared" si="3"/>
        <v>0</v>
      </c>
    </row>
    <row r="152" spans="1:159" ht="17.25" thickBot="1" x14ac:dyDescent="0.3">
      <c r="A152" s="226">
        <v>45860</v>
      </c>
      <c r="B152" s="227" t="s">
        <v>227</v>
      </c>
      <c r="C152" s="227" t="s">
        <v>263</v>
      </c>
      <c r="D152" s="228">
        <v>3750</v>
      </c>
      <c r="E152" s="228">
        <v>9</v>
      </c>
      <c r="F152" s="228">
        <v>197.06</v>
      </c>
      <c r="G152" s="228">
        <v>195.66</v>
      </c>
      <c r="H152" s="228">
        <v>1.4</v>
      </c>
      <c r="I152" s="229">
        <v>7.1999999999999998E-3</v>
      </c>
      <c r="J152" s="228">
        <v>196.69</v>
      </c>
      <c r="K152" s="228">
        <v>194.99</v>
      </c>
      <c r="L152" s="228">
        <v>1.7</v>
      </c>
      <c r="M152" s="229">
        <v>8.6999999999999994E-3</v>
      </c>
      <c r="N152" s="228">
        <v>197.06</v>
      </c>
      <c r="O152" s="228">
        <v>195.66</v>
      </c>
      <c r="P152" s="228">
        <v>1.4</v>
      </c>
      <c r="Q152" s="229">
        <v>7.1999999999999998E-3</v>
      </c>
      <c r="R152" s="228">
        <v>198.12</v>
      </c>
      <c r="S152" s="228">
        <v>196.64</v>
      </c>
      <c r="T152" s="228">
        <v>1.48</v>
      </c>
      <c r="U152" s="229">
        <v>7.4999999999999997E-3</v>
      </c>
      <c r="V152" s="228">
        <v>0</v>
      </c>
      <c r="W152" s="228">
        <v>0</v>
      </c>
      <c r="X152" s="228">
        <v>0</v>
      </c>
      <c r="Y152" s="229">
        <v>0</v>
      </c>
      <c r="Z152" s="228">
        <v>0.37</v>
      </c>
      <c r="AA152" s="228">
        <v>0.67</v>
      </c>
      <c r="AB152" s="228">
        <v>-0.3</v>
      </c>
      <c r="AC152" s="229">
        <v>1.9E-3</v>
      </c>
      <c r="AD152" s="228">
        <v>0.37</v>
      </c>
      <c r="AE152" s="228">
        <v>0.67</v>
      </c>
      <c r="AF152" s="228">
        <v>-0.3</v>
      </c>
      <c r="AG152" s="229">
        <v>1.9E-3</v>
      </c>
      <c r="AH152" s="228">
        <v>1.43</v>
      </c>
      <c r="AI152" s="228">
        <v>1.65</v>
      </c>
      <c r="AJ152" s="228">
        <v>-0.22</v>
      </c>
      <c r="AK152" s="229">
        <v>7.3000000000000001E-3</v>
      </c>
      <c r="AL152" s="228">
        <v>0</v>
      </c>
      <c r="AM152" s="228">
        <v>0</v>
      </c>
      <c r="AN152" s="228">
        <v>0</v>
      </c>
      <c r="AO152" s="229">
        <v>0</v>
      </c>
      <c r="AP152" s="228">
        <v>197.45</v>
      </c>
      <c r="AQ152" s="228">
        <v>198.29</v>
      </c>
      <c r="AR152" s="228">
        <v>0</v>
      </c>
      <c r="AS152" s="228">
        <v>395</v>
      </c>
      <c r="AT152" s="228">
        <v>796</v>
      </c>
      <c r="AU152" s="228">
        <v>-401</v>
      </c>
      <c r="AV152" s="229">
        <v>-0.50339999999999996</v>
      </c>
      <c r="AW152" s="228">
        <v>323</v>
      </c>
      <c r="AX152" s="228">
        <v>682</v>
      </c>
      <c r="AY152" s="228">
        <v>-360</v>
      </c>
      <c r="AZ152" s="229">
        <v>-0.52690000000000003</v>
      </c>
      <c r="BA152" s="228">
        <v>68</v>
      </c>
      <c r="BB152" s="228">
        <v>108</v>
      </c>
      <c r="BC152" s="228">
        <v>-40</v>
      </c>
      <c r="BD152" s="229">
        <v>-0.37080000000000002</v>
      </c>
      <c r="BE152" s="228">
        <v>0</v>
      </c>
      <c r="BF152" s="228">
        <v>0</v>
      </c>
      <c r="BG152" s="228">
        <v>0</v>
      </c>
      <c r="BH152" s="229">
        <v>0</v>
      </c>
      <c r="BI152" s="228">
        <v>757</v>
      </c>
      <c r="BJ152" s="230">
        <v>1723</v>
      </c>
      <c r="BK152" s="228">
        <v>-966</v>
      </c>
      <c r="BL152" s="229">
        <v>-0.56069999999999998</v>
      </c>
      <c r="BM152" s="228">
        <v>363</v>
      </c>
      <c r="BN152" s="228">
        <v>800</v>
      </c>
      <c r="BO152" s="228">
        <v>-437</v>
      </c>
      <c r="BP152" s="229">
        <v>-0.54610000000000003</v>
      </c>
      <c r="BQ152" s="230">
        <v>1516</v>
      </c>
      <c r="BR152" s="230">
        <v>3320</v>
      </c>
      <c r="BS152" s="230">
        <v>-1804</v>
      </c>
      <c r="BT152" s="229">
        <v>-0.54339999999999999</v>
      </c>
      <c r="BU152" s="230">
        <v>9804272</v>
      </c>
      <c r="BV152" s="230">
        <v>25196831</v>
      </c>
      <c r="BW152" s="230">
        <v>-15392559</v>
      </c>
      <c r="BX152" s="229">
        <v>-0.6109</v>
      </c>
      <c r="BY152" s="230">
        <v>1390</v>
      </c>
      <c r="BZ152" s="230">
        <v>1371</v>
      </c>
      <c r="CA152" s="228">
        <v>19</v>
      </c>
      <c r="CB152" s="229">
        <v>1.37E-2</v>
      </c>
      <c r="CC152" s="230">
        <v>1249</v>
      </c>
      <c r="CD152" s="230">
        <v>1252</v>
      </c>
      <c r="CE152" s="228">
        <v>-3</v>
      </c>
      <c r="CF152" s="229">
        <v>-2.3999999999999998E-3</v>
      </c>
      <c r="CG152" s="228">
        <v>128</v>
      </c>
      <c r="CH152" s="228">
        <v>106</v>
      </c>
      <c r="CI152" s="228">
        <v>22</v>
      </c>
      <c r="CJ152" s="229">
        <v>0.20569999999999999</v>
      </c>
      <c r="CK152" s="228">
        <v>0</v>
      </c>
      <c r="CL152" s="228">
        <v>0</v>
      </c>
      <c r="CM152" s="228">
        <v>0</v>
      </c>
      <c r="CN152" s="229">
        <v>0</v>
      </c>
      <c r="CO152" s="228">
        <v>519</v>
      </c>
      <c r="CP152" s="228">
        <v>543</v>
      </c>
      <c r="CQ152" s="228">
        <v>-24</v>
      </c>
      <c r="CR152" s="229">
        <v>-4.4400000000000002E-2</v>
      </c>
      <c r="CS152" s="228">
        <v>367</v>
      </c>
      <c r="CT152" s="228">
        <v>362</v>
      </c>
      <c r="CU152" s="228">
        <v>6</v>
      </c>
      <c r="CV152" s="229">
        <v>1.5299999999999999E-2</v>
      </c>
      <c r="CW152" s="230">
        <v>2276</v>
      </c>
      <c r="CX152" s="230">
        <v>2276</v>
      </c>
      <c r="CY152" s="228">
        <v>0</v>
      </c>
      <c r="CZ152" s="229">
        <v>1E-4</v>
      </c>
      <c r="DA152" s="228">
        <v>32.229999999999997</v>
      </c>
      <c r="DB152" s="228">
        <v>33.56</v>
      </c>
      <c r="DC152" s="228">
        <v>-1.33</v>
      </c>
      <c r="DD152" s="228">
        <v>-1.33</v>
      </c>
      <c r="DE152" s="228">
        <v>51.32</v>
      </c>
      <c r="DF152" s="228">
        <v>51.44</v>
      </c>
      <c r="DG152" s="228">
        <v>-19.09</v>
      </c>
      <c r="DH152" s="228">
        <v>-0.12</v>
      </c>
      <c r="DI152" s="228">
        <v>31.88</v>
      </c>
      <c r="DJ152" s="228">
        <v>33.119999999999997</v>
      </c>
      <c r="DK152" s="228">
        <v>-1.24</v>
      </c>
      <c r="DL152" s="228">
        <v>-1.24</v>
      </c>
      <c r="DM152" s="228">
        <v>32.97</v>
      </c>
      <c r="DN152" s="228">
        <v>34.5</v>
      </c>
      <c r="DO152" s="228">
        <v>-1.53</v>
      </c>
      <c r="DP152" s="228">
        <v>-1.53</v>
      </c>
      <c r="DQ152" s="228">
        <v>0.71</v>
      </c>
      <c r="DR152" s="228">
        <v>0.67</v>
      </c>
      <c r="DS152" s="228">
        <v>0.04</v>
      </c>
      <c r="DT152" s="229">
        <v>5.9700000000000003E-2</v>
      </c>
      <c r="DU152" s="228">
        <v>200</v>
      </c>
      <c r="DV152" s="228">
        <v>190</v>
      </c>
      <c r="DW152" s="228">
        <v>0.48</v>
      </c>
      <c r="DX152" s="228">
        <v>0.46</v>
      </c>
      <c r="DY152" s="228">
        <v>0.02</v>
      </c>
      <c r="DZ152" s="229">
        <v>4.3499999999999997E-2</v>
      </c>
      <c r="EA152" s="229">
        <v>9.2299999999999993E-2</v>
      </c>
      <c r="EB152" s="230">
        <v>5396250</v>
      </c>
      <c r="EC152" s="229">
        <v>5.4000000000000003E-3</v>
      </c>
      <c r="ED152" s="229">
        <v>9.2299999999999993E-2</v>
      </c>
      <c r="EE152" s="228">
        <v>0.84</v>
      </c>
      <c r="EF152" s="229">
        <v>4.3E-3</v>
      </c>
      <c r="EG152" s="230">
        <v>3738041</v>
      </c>
      <c r="EH152" s="230">
        <v>8009825</v>
      </c>
      <c r="EI152" s="229">
        <v>-0.5333</v>
      </c>
      <c r="EJ152" s="229">
        <v>0.38129999999999997</v>
      </c>
      <c r="EK152" s="228">
        <v>784.21</v>
      </c>
      <c r="EL152" s="228">
        <v>356.95</v>
      </c>
      <c r="EM152" s="228">
        <v>396.44</v>
      </c>
      <c r="EN152" s="228">
        <v>0</v>
      </c>
      <c r="EO152" s="231">
        <v>1537.59</v>
      </c>
      <c r="EP152" s="231">
        <v>3328.67</v>
      </c>
      <c r="EQ152" s="231">
        <v>-1791.08</v>
      </c>
      <c r="ER152" s="229">
        <v>-0.53810000000000002</v>
      </c>
      <c r="ES152" s="228">
        <v>527.92999999999995</v>
      </c>
      <c r="ET152" s="228">
        <v>350.34</v>
      </c>
      <c r="EU152" s="231">
        <v>1390.32</v>
      </c>
      <c r="EV152" s="231">
        <v>178967755</v>
      </c>
      <c r="EW152" s="231">
        <v>2268.58</v>
      </c>
      <c r="EX152" s="231">
        <v>2256.59</v>
      </c>
      <c r="EY152" s="228">
        <v>11.99</v>
      </c>
      <c r="EZ152" s="229">
        <v>5.3E-3</v>
      </c>
      <c r="FA152" s="229">
        <v>0.64529999999999998</v>
      </c>
      <c r="FB152" s="227" t="s">
        <v>555</v>
      </c>
      <c r="FC152">
        <f t="shared" si="3"/>
        <v>0</v>
      </c>
    </row>
    <row r="153" spans="1:159" ht="17.25" thickBot="1" x14ac:dyDescent="0.3">
      <c r="A153" s="226">
        <v>45860</v>
      </c>
      <c r="B153" s="227" t="s">
        <v>616</v>
      </c>
      <c r="C153" s="227" t="s">
        <v>264</v>
      </c>
      <c r="D153" s="228">
        <v>375</v>
      </c>
      <c r="E153" s="228">
        <v>9</v>
      </c>
      <c r="F153" s="231">
        <v>1455.8</v>
      </c>
      <c r="G153" s="231">
        <v>1403.7</v>
      </c>
      <c r="H153" s="228">
        <v>52.1</v>
      </c>
      <c r="I153" s="229">
        <v>3.7100000000000001E-2</v>
      </c>
      <c r="J153" s="231">
        <v>1458.8</v>
      </c>
      <c r="K153" s="231">
        <v>1399.8</v>
      </c>
      <c r="L153" s="228">
        <v>59</v>
      </c>
      <c r="M153" s="229">
        <v>4.2099999999999999E-2</v>
      </c>
      <c r="N153" s="231">
        <v>1455.8</v>
      </c>
      <c r="O153" s="231">
        <v>1403.7</v>
      </c>
      <c r="P153" s="228">
        <v>52.1</v>
      </c>
      <c r="Q153" s="229">
        <v>3.7100000000000001E-2</v>
      </c>
      <c r="R153" s="231">
        <v>1463.2</v>
      </c>
      <c r="S153" s="231">
        <v>1409.5</v>
      </c>
      <c r="T153" s="228">
        <v>53.7</v>
      </c>
      <c r="U153" s="229">
        <v>3.8100000000000002E-2</v>
      </c>
      <c r="V153" s="228">
        <v>0</v>
      </c>
      <c r="W153" s="228">
        <v>0</v>
      </c>
      <c r="X153" s="228">
        <v>0</v>
      </c>
      <c r="Y153" s="229">
        <v>0</v>
      </c>
      <c r="Z153" s="228">
        <v>-3</v>
      </c>
      <c r="AA153" s="228">
        <v>3.9</v>
      </c>
      <c r="AB153" s="228">
        <v>-6.9</v>
      </c>
      <c r="AC153" s="229">
        <v>-2.0999999999999999E-3</v>
      </c>
      <c r="AD153" s="228">
        <v>-3</v>
      </c>
      <c r="AE153" s="228">
        <v>3.9</v>
      </c>
      <c r="AF153" s="228">
        <v>-6.9</v>
      </c>
      <c r="AG153" s="229">
        <v>-2.0999999999999999E-3</v>
      </c>
      <c r="AH153" s="228">
        <v>4.4000000000000004</v>
      </c>
      <c r="AI153" s="228">
        <v>9.6999999999999993</v>
      </c>
      <c r="AJ153" s="228">
        <v>-5.3</v>
      </c>
      <c r="AK153" s="229">
        <v>3.0000000000000001E-3</v>
      </c>
      <c r="AL153" s="228">
        <v>0</v>
      </c>
      <c r="AM153" s="228">
        <v>0</v>
      </c>
      <c r="AN153" s="228">
        <v>0</v>
      </c>
      <c r="AO153" s="229">
        <v>0</v>
      </c>
      <c r="AP153" s="231">
        <v>1452.39</v>
      </c>
      <c r="AQ153" s="231">
        <v>1458.47</v>
      </c>
      <c r="AR153" s="228">
        <v>0</v>
      </c>
      <c r="AS153" s="228">
        <v>645</v>
      </c>
      <c r="AT153" s="228">
        <v>189</v>
      </c>
      <c r="AU153" s="228">
        <v>457</v>
      </c>
      <c r="AV153" s="229">
        <v>2.4171</v>
      </c>
      <c r="AW153" s="228">
        <v>565</v>
      </c>
      <c r="AX153" s="228">
        <v>168</v>
      </c>
      <c r="AY153" s="228">
        <v>397</v>
      </c>
      <c r="AZ153" s="229">
        <v>2.3694999999999999</v>
      </c>
      <c r="BA153" s="228">
        <v>78</v>
      </c>
      <c r="BB153" s="228">
        <v>20</v>
      </c>
      <c r="BC153" s="228">
        <v>58</v>
      </c>
      <c r="BD153" s="229">
        <v>2.8437000000000001</v>
      </c>
      <c r="BE153" s="228">
        <v>0</v>
      </c>
      <c r="BF153" s="228">
        <v>0</v>
      </c>
      <c r="BG153" s="228">
        <v>0</v>
      </c>
      <c r="BH153" s="229">
        <v>0</v>
      </c>
      <c r="BI153" s="230">
        <v>2821</v>
      </c>
      <c r="BJ153" s="228">
        <v>429</v>
      </c>
      <c r="BK153" s="230">
        <v>2392</v>
      </c>
      <c r="BL153" s="229">
        <v>5.5731999999999999</v>
      </c>
      <c r="BM153" s="228">
        <v>856</v>
      </c>
      <c r="BN153" s="228">
        <v>120</v>
      </c>
      <c r="BO153" s="228">
        <v>736</v>
      </c>
      <c r="BP153" s="229">
        <v>6.1147</v>
      </c>
      <c r="BQ153" s="230">
        <v>4323</v>
      </c>
      <c r="BR153" s="228">
        <v>738</v>
      </c>
      <c r="BS153" s="230">
        <v>3584</v>
      </c>
      <c r="BT153" s="229">
        <v>4.8540999999999999</v>
      </c>
      <c r="BU153" s="230">
        <v>4201700</v>
      </c>
      <c r="BV153" s="230">
        <v>1084579</v>
      </c>
      <c r="BW153" s="230">
        <v>3117121</v>
      </c>
      <c r="BX153" s="229">
        <v>2.8740000000000001</v>
      </c>
      <c r="BY153" s="230">
        <v>1774</v>
      </c>
      <c r="BZ153" s="230">
        <v>1772</v>
      </c>
      <c r="CA153" s="228">
        <v>3</v>
      </c>
      <c r="CB153" s="229">
        <v>1.6000000000000001E-3</v>
      </c>
      <c r="CC153" s="230">
        <v>1711</v>
      </c>
      <c r="CD153" s="230">
        <v>1735</v>
      </c>
      <c r="CE153" s="228">
        <v>-23</v>
      </c>
      <c r="CF153" s="229">
        <v>-1.34E-2</v>
      </c>
      <c r="CG153" s="228">
        <v>60</v>
      </c>
      <c r="CH153" s="228">
        <v>33</v>
      </c>
      <c r="CI153" s="228">
        <v>27</v>
      </c>
      <c r="CJ153" s="229">
        <v>0.81089999999999995</v>
      </c>
      <c r="CK153" s="228">
        <v>0</v>
      </c>
      <c r="CL153" s="228">
        <v>0</v>
      </c>
      <c r="CM153" s="228">
        <v>0</v>
      </c>
      <c r="CN153" s="229">
        <v>0</v>
      </c>
      <c r="CO153" s="228">
        <v>428</v>
      </c>
      <c r="CP153" s="228">
        <v>465</v>
      </c>
      <c r="CQ153" s="228">
        <v>-37</v>
      </c>
      <c r="CR153" s="229">
        <v>-7.9500000000000001E-2</v>
      </c>
      <c r="CS153" s="228">
        <v>217</v>
      </c>
      <c r="CT153" s="228">
        <v>212</v>
      </c>
      <c r="CU153" s="228">
        <v>5</v>
      </c>
      <c r="CV153" s="229">
        <v>2.1899999999999999E-2</v>
      </c>
      <c r="CW153" s="230">
        <v>2419</v>
      </c>
      <c r="CX153" s="230">
        <v>2449</v>
      </c>
      <c r="CY153" s="228">
        <v>-30</v>
      </c>
      <c r="CZ153" s="229">
        <v>-1.21E-2</v>
      </c>
      <c r="DA153" s="228">
        <v>33.53</v>
      </c>
      <c r="DB153" s="228">
        <v>32.1</v>
      </c>
      <c r="DC153" s="228">
        <v>1.43</v>
      </c>
      <c r="DD153" s="228">
        <v>1.43</v>
      </c>
      <c r="DE153" s="228">
        <v>40.75</v>
      </c>
      <c r="DF153" s="228">
        <v>40.47</v>
      </c>
      <c r="DG153" s="228">
        <v>-7.22</v>
      </c>
      <c r="DH153" s="228">
        <v>0.28000000000000003</v>
      </c>
      <c r="DI153" s="228">
        <v>34.1</v>
      </c>
      <c r="DJ153" s="228">
        <v>31.92</v>
      </c>
      <c r="DK153" s="228">
        <v>2.1800000000000002</v>
      </c>
      <c r="DL153" s="228">
        <v>2.1800000000000002</v>
      </c>
      <c r="DM153" s="228">
        <v>31.64</v>
      </c>
      <c r="DN153" s="228">
        <v>32.75</v>
      </c>
      <c r="DO153" s="228">
        <v>-1.1100000000000001</v>
      </c>
      <c r="DP153" s="228">
        <v>-1.1100000000000001</v>
      </c>
      <c r="DQ153" s="228">
        <v>0.51</v>
      </c>
      <c r="DR153" s="228">
        <v>0.46</v>
      </c>
      <c r="DS153" s="228">
        <v>0.05</v>
      </c>
      <c r="DT153" s="229">
        <v>0.1087</v>
      </c>
      <c r="DU153" s="231">
        <v>1500</v>
      </c>
      <c r="DV153" s="231">
        <v>1400</v>
      </c>
      <c r="DW153" s="228">
        <v>0.3</v>
      </c>
      <c r="DX153" s="228">
        <v>0.28000000000000003</v>
      </c>
      <c r="DY153" s="228">
        <v>0.02</v>
      </c>
      <c r="DZ153" s="229">
        <v>7.1400000000000005E-2</v>
      </c>
      <c r="EA153" s="229">
        <v>3.39E-2</v>
      </c>
      <c r="EB153" s="230">
        <v>228000</v>
      </c>
      <c r="EC153" s="229">
        <v>5.1000000000000004E-3</v>
      </c>
      <c r="ED153" s="229">
        <v>3.39E-2</v>
      </c>
      <c r="EE153" s="228">
        <v>6.08</v>
      </c>
      <c r="EF153" s="229">
        <v>4.1999999999999997E-3</v>
      </c>
      <c r="EG153" s="230">
        <v>1910818</v>
      </c>
      <c r="EH153" s="230">
        <v>654100</v>
      </c>
      <c r="EI153" s="229">
        <v>1.9213</v>
      </c>
      <c r="EJ153" s="229">
        <v>0.45479999999999998</v>
      </c>
      <c r="EK153" s="231">
        <v>2916.28</v>
      </c>
      <c r="EL153" s="228">
        <v>841.19</v>
      </c>
      <c r="EM153" s="228">
        <v>644.29</v>
      </c>
      <c r="EN153" s="228">
        <v>0</v>
      </c>
      <c r="EO153" s="231">
        <v>4401.76</v>
      </c>
      <c r="EP153" s="228">
        <v>723.77</v>
      </c>
      <c r="EQ153" s="231">
        <v>3677.99</v>
      </c>
      <c r="ER153" s="229">
        <v>5.0816999999999997</v>
      </c>
      <c r="ES153" s="228">
        <v>441.29</v>
      </c>
      <c r="ET153" s="228">
        <v>209.86</v>
      </c>
      <c r="EU153" s="231">
        <v>1774.65</v>
      </c>
      <c r="EV153" s="231">
        <v>80673469</v>
      </c>
      <c r="EW153" s="231">
        <v>2425.81</v>
      </c>
      <c r="EX153" s="231">
        <v>2388.3000000000002</v>
      </c>
      <c r="EY153" s="228">
        <v>37.51</v>
      </c>
      <c r="EZ153" s="229">
        <v>1.5699999999999999E-2</v>
      </c>
      <c r="FA153" s="229">
        <v>0.20599999999999999</v>
      </c>
      <c r="FB153" s="227" t="s">
        <v>555</v>
      </c>
      <c r="FC153">
        <f t="shared" si="3"/>
        <v>0</v>
      </c>
    </row>
    <row r="154" spans="1:159" ht="17.25" thickBot="1" x14ac:dyDescent="0.3">
      <c r="A154" s="226">
        <v>45860</v>
      </c>
      <c r="B154" s="227" t="s">
        <v>206</v>
      </c>
      <c r="C154" s="227" t="s">
        <v>550</v>
      </c>
      <c r="D154" s="228">
        <v>6500</v>
      </c>
      <c r="E154" s="228">
        <v>9</v>
      </c>
      <c r="F154" s="228">
        <v>114.88</v>
      </c>
      <c r="G154" s="228">
        <v>115.55</v>
      </c>
      <c r="H154" s="228">
        <v>-0.67</v>
      </c>
      <c r="I154" s="229">
        <v>-5.7999999999999996E-3</v>
      </c>
      <c r="J154" s="228">
        <v>114.58</v>
      </c>
      <c r="K154" s="228">
        <v>115.31</v>
      </c>
      <c r="L154" s="228">
        <v>-0.73</v>
      </c>
      <c r="M154" s="229">
        <v>-6.3E-3</v>
      </c>
      <c r="N154" s="228">
        <v>114.88</v>
      </c>
      <c r="O154" s="228">
        <v>115.55</v>
      </c>
      <c r="P154" s="228">
        <v>-0.67</v>
      </c>
      <c r="Q154" s="229">
        <v>-5.7999999999999996E-3</v>
      </c>
      <c r="R154" s="228">
        <v>115.43</v>
      </c>
      <c r="S154" s="228">
        <v>116.23</v>
      </c>
      <c r="T154" s="228">
        <v>-0.8</v>
      </c>
      <c r="U154" s="229">
        <v>-6.8999999999999999E-3</v>
      </c>
      <c r="V154" s="228">
        <v>0</v>
      </c>
      <c r="W154" s="228">
        <v>0</v>
      </c>
      <c r="X154" s="228">
        <v>0</v>
      </c>
      <c r="Y154" s="229">
        <v>0</v>
      </c>
      <c r="Z154" s="228">
        <v>0.3</v>
      </c>
      <c r="AA154" s="228">
        <v>0.24</v>
      </c>
      <c r="AB154" s="228">
        <v>0.06</v>
      </c>
      <c r="AC154" s="229">
        <v>2.5999999999999999E-3</v>
      </c>
      <c r="AD154" s="228">
        <v>0.3</v>
      </c>
      <c r="AE154" s="228">
        <v>0.24</v>
      </c>
      <c r="AF154" s="228">
        <v>0.06</v>
      </c>
      <c r="AG154" s="229">
        <v>2.5999999999999999E-3</v>
      </c>
      <c r="AH154" s="228">
        <v>0.85</v>
      </c>
      <c r="AI154" s="228">
        <v>0.92</v>
      </c>
      <c r="AJ154" s="228">
        <v>-7.0000000000000007E-2</v>
      </c>
      <c r="AK154" s="229">
        <v>7.4000000000000003E-3</v>
      </c>
      <c r="AL154" s="228">
        <v>0</v>
      </c>
      <c r="AM154" s="228">
        <v>0</v>
      </c>
      <c r="AN154" s="228">
        <v>0</v>
      </c>
      <c r="AO154" s="229">
        <v>0</v>
      </c>
      <c r="AP154" s="228">
        <v>115.22</v>
      </c>
      <c r="AQ154" s="228">
        <v>115.75</v>
      </c>
      <c r="AR154" s="228">
        <v>0</v>
      </c>
      <c r="AS154" s="228">
        <v>117</v>
      </c>
      <c r="AT154" s="228">
        <v>107</v>
      </c>
      <c r="AU154" s="228">
        <v>10</v>
      </c>
      <c r="AV154" s="229">
        <v>9.2100000000000001E-2</v>
      </c>
      <c r="AW154" s="228">
        <v>86</v>
      </c>
      <c r="AX154" s="228">
        <v>83</v>
      </c>
      <c r="AY154" s="228">
        <v>3</v>
      </c>
      <c r="AZ154" s="229">
        <v>4.0599999999999997E-2</v>
      </c>
      <c r="BA154" s="228">
        <v>30</v>
      </c>
      <c r="BB154" s="228">
        <v>23</v>
      </c>
      <c r="BC154" s="228">
        <v>7</v>
      </c>
      <c r="BD154" s="229">
        <v>0.2984</v>
      </c>
      <c r="BE154" s="228">
        <v>0</v>
      </c>
      <c r="BF154" s="228">
        <v>0</v>
      </c>
      <c r="BG154" s="228">
        <v>0</v>
      </c>
      <c r="BH154" s="229">
        <v>0</v>
      </c>
      <c r="BI154" s="228">
        <v>110</v>
      </c>
      <c r="BJ154" s="228">
        <v>153</v>
      </c>
      <c r="BK154" s="228">
        <v>-43</v>
      </c>
      <c r="BL154" s="229">
        <v>-0.2787</v>
      </c>
      <c r="BM154" s="228">
        <v>42</v>
      </c>
      <c r="BN154" s="228">
        <v>47</v>
      </c>
      <c r="BO154" s="228">
        <v>-5</v>
      </c>
      <c r="BP154" s="229">
        <v>-0.1106</v>
      </c>
      <c r="BQ154" s="228">
        <v>269</v>
      </c>
      <c r="BR154" s="228">
        <v>307</v>
      </c>
      <c r="BS154" s="228">
        <v>-38</v>
      </c>
      <c r="BT154" s="229">
        <v>-0.1236</v>
      </c>
      <c r="BU154" s="230">
        <v>8343658</v>
      </c>
      <c r="BV154" s="230">
        <v>7992335</v>
      </c>
      <c r="BW154" s="230">
        <v>351323</v>
      </c>
      <c r="BX154" s="229">
        <v>4.3999999999999997E-2</v>
      </c>
      <c r="BY154" s="228">
        <v>686</v>
      </c>
      <c r="BZ154" s="228">
        <v>697</v>
      </c>
      <c r="CA154" s="228">
        <v>-11</v>
      </c>
      <c r="CB154" s="229">
        <v>-1.6199999999999999E-2</v>
      </c>
      <c r="CC154" s="228">
        <v>615</v>
      </c>
      <c r="CD154" s="228">
        <v>632</v>
      </c>
      <c r="CE154" s="228">
        <v>-17</v>
      </c>
      <c r="CF154" s="229">
        <v>-2.6499999999999999E-2</v>
      </c>
      <c r="CG154" s="228">
        <v>61</v>
      </c>
      <c r="CH154" s="228">
        <v>56</v>
      </c>
      <c r="CI154" s="228">
        <v>5</v>
      </c>
      <c r="CJ154" s="229">
        <v>8.8999999999999996E-2</v>
      </c>
      <c r="CK154" s="228">
        <v>0</v>
      </c>
      <c r="CL154" s="228">
        <v>0</v>
      </c>
      <c r="CM154" s="228">
        <v>0</v>
      </c>
      <c r="CN154" s="229">
        <v>0</v>
      </c>
      <c r="CO154" s="228">
        <v>347</v>
      </c>
      <c r="CP154" s="228">
        <v>345</v>
      </c>
      <c r="CQ154" s="228">
        <v>2</v>
      </c>
      <c r="CR154" s="229">
        <v>6.8999999999999999E-3</v>
      </c>
      <c r="CS154" s="228">
        <v>170</v>
      </c>
      <c r="CT154" s="228">
        <v>173</v>
      </c>
      <c r="CU154" s="228">
        <v>-3</v>
      </c>
      <c r="CV154" s="229">
        <v>-1.47E-2</v>
      </c>
      <c r="CW154" s="230">
        <v>1203</v>
      </c>
      <c r="CX154" s="230">
        <v>1215</v>
      </c>
      <c r="CY154" s="228">
        <v>-11</v>
      </c>
      <c r="CZ154" s="229">
        <v>-9.4000000000000004E-3</v>
      </c>
      <c r="DA154" s="228">
        <v>31.06</v>
      </c>
      <c r="DB154" s="228">
        <v>32.340000000000003</v>
      </c>
      <c r="DC154" s="228">
        <v>-1.28</v>
      </c>
      <c r="DD154" s="228">
        <v>-1.28</v>
      </c>
      <c r="DE154" s="228">
        <v>57.33</v>
      </c>
      <c r="DF154" s="228">
        <v>57.47</v>
      </c>
      <c r="DG154" s="228">
        <v>-26.27</v>
      </c>
      <c r="DH154" s="228">
        <v>-0.14000000000000001</v>
      </c>
      <c r="DI154" s="228">
        <v>31.56</v>
      </c>
      <c r="DJ154" s="228">
        <v>32.54</v>
      </c>
      <c r="DK154" s="228">
        <v>-0.98</v>
      </c>
      <c r="DL154" s="228">
        <v>-0.98</v>
      </c>
      <c r="DM154" s="228">
        <v>29.75</v>
      </c>
      <c r="DN154" s="228">
        <v>31.7</v>
      </c>
      <c r="DO154" s="228">
        <v>-1.95</v>
      </c>
      <c r="DP154" s="228">
        <v>-1.95</v>
      </c>
      <c r="DQ154" s="228">
        <v>0.49</v>
      </c>
      <c r="DR154" s="228">
        <v>0.5</v>
      </c>
      <c r="DS154" s="228">
        <v>-0.01</v>
      </c>
      <c r="DT154" s="229">
        <v>-0.02</v>
      </c>
      <c r="DU154" s="228">
        <v>120</v>
      </c>
      <c r="DV154" s="228">
        <v>110</v>
      </c>
      <c r="DW154" s="228">
        <v>0.38</v>
      </c>
      <c r="DX154" s="228">
        <v>0.31</v>
      </c>
      <c r="DY154" s="228">
        <v>7.0000000000000007E-2</v>
      </c>
      <c r="DZ154" s="229">
        <v>0.2258</v>
      </c>
      <c r="EA154" s="229">
        <v>8.9300000000000004E-2</v>
      </c>
      <c r="EB154" s="230">
        <v>4894500</v>
      </c>
      <c r="EC154" s="229">
        <v>4.7999999999999996E-3</v>
      </c>
      <c r="ED154" s="229">
        <v>8.9300000000000004E-2</v>
      </c>
      <c r="EE154" s="228">
        <v>0.53</v>
      </c>
      <c r="EF154" s="229">
        <v>4.5999999999999999E-3</v>
      </c>
      <c r="EG154" s="230">
        <v>3969872</v>
      </c>
      <c r="EH154" s="230">
        <v>2861618</v>
      </c>
      <c r="EI154" s="229">
        <v>0.38729999999999998</v>
      </c>
      <c r="EJ154" s="229">
        <v>0.4758</v>
      </c>
      <c r="EK154" s="228">
        <v>116.25</v>
      </c>
      <c r="EL154" s="228">
        <v>42.09</v>
      </c>
      <c r="EM154" s="228">
        <v>117.36</v>
      </c>
      <c r="EN154" s="228">
        <v>0</v>
      </c>
      <c r="EO154" s="228">
        <v>275.7</v>
      </c>
      <c r="EP154" s="228">
        <v>314.52</v>
      </c>
      <c r="EQ154" s="228">
        <v>-38.82</v>
      </c>
      <c r="ER154" s="229">
        <v>-0.1234</v>
      </c>
      <c r="ES154" s="228">
        <v>370.5</v>
      </c>
      <c r="ET154" s="228">
        <v>171.53</v>
      </c>
      <c r="EU154" s="228">
        <v>686.13</v>
      </c>
      <c r="EV154" s="231">
        <v>206526272</v>
      </c>
      <c r="EW154" s="231">
        <v>1228.1600000000001</v>
      </c>
      <c r="EX154" s="231">
        <v>1243.6600000000001</v>
      </c>
      <c r="EY154" s="228">
        <v>-15.5</v>
      </c>
      <c r="EZ154" s="229">
        <v>-1.2500000000000001E-2</v>
      </c>
      <c r="FA154" s="229">
        <v>0.5071</v>
      </c>
      <c r="FB154" s="227" t="s">
        <v>568</v>
      </c>
      <c r="FC154">
        <f t="shared" si="3"/>
        <v>0</v>
      </c>
    </row>
    <row r="155" spans="1:159" ht="17.25" thickBot="1" x14ac:dyDescent="0.3">
      <c r="A155" s="226">
        <v>45860</v>
      </c>
      <c r="B155" s="227" t="s">
        <v>215</v>
      </c>
      <c r="C155" s="227" t="s">
        <v>592</v>
      </c>
      <c r="D155" s="228">
        <v>2700</v>
      </c>
      <c r="E155" s="228">
        <v>9</v>
      </c>
      <c r="F155" s="228">
        <v>227.31</v>
      </c>
      <c r="G155" s="228">
        <v>228.7</v>
      </c>
      <c r="H155" s="228">
        <v>-1.39</v>
      </c>
      <c r="I155" s="229">
        <v>-6.1000000000000004E-3</v>
      </c>
      <c r="J155" s="228">
        <v>227.42</v>
      </c>
      <c r="K155" s="228">
        <v>227.62</v>
      </c>
      <c r="L155" s="228">
        <v>-0.2</v>
      </c>
      <c r="M155" s="229">
        <v>-8.9999999999999998E-4</v>
      </c>
      <c r="N155" s="228">
        <v>227.31</v>
      </c>
      <c r="O155" s="228">
        <v>228.7</v>
      </c>
      <c r="P155" s="228">
        <v>-1.39</v>
      </c>
      <c r="Q155" s="229">
        <v>-6.1000000000000004E-3</v>
      </c>
      <c r="R155" s="228">
        <v>226.53</v>
      </c>
      <c r="S155" s="228">
        <v>227.49</v>
      </c>
      <c r="T155" s="228">
        <v>-0.96</v>
      </c>
      <c r="U155" s="229">
        <v>-4.1999999999999997E-3</v>
      </c>
      <c r="V155" s="228">
        <v>0</v>
      </c>
      <c r="W155" s="228">
        <v>0</v>
      </c>
      <c r="X155" s="228">
        <v>0</v>
      </c>
      <c r="Y155" s="229">
        <v>0</v>
      </c>
      <c r="Z155" s="228">
        <v>-0.11</v>
      </c>
      <c r="AA155" s="228">
        <v>1.08</v>
      </c>
      <c r="AB155" s="228">
        <v>-1.19</v>
      </c>
      <c r="AC155" s="229">
        <v>-5.0000000000000001E-4</v>
      </c>
      <c r="AD155" s="228">
        <v>-0.11</v>
      </c>
      <c r="AE155" s="228">
        <v>1.08</v>
      </c>
      <c r="AF155" s="228">
        <v>-1.19</v>
      </c>
      <c r="AG155" s="229">
        <v>-5.0000000000000001E-4</v>
      </c>
      <c r="AH155" s="228">
        <v>-0.89</v>
      </c>
      <c r="AI155" s="228">
        <v>-0.13</v>
      </c>
      <c r="AJ155" s="228">
        <v>-0.76</v>
      </c>
      <c r="AK155" s="229">
        <v>-3.8999999999999998E-3</v>
      </c>
      <c r="AL155" s="228">
        <v>0</v>
      </c>
      <c r="AM155" s="228">
        <v>0</v>
      </c>
      <c r="AN155" s="228">
        <v>0</v>
      </c>
      <c r="AO155" s="229">
        <v>0</v>
      </c>
      <c r="AP155" s="228">
        <v>228.48</v>
      </c>
      <c r="AQ155" s="228">
        <v>227.78</v>
      </c>
      <c r="AR155" s="228">
        <v>0</v>
      </c>
      <c r="AS155" s="228">
        <v>65</v>
      </c>
      <c r="AT155" s="228">
        <v>61</v>
      </c>
      <c r="AU155" s="228">
        <v>4</v>
      </c>
      <c r="AV155" s="229">
        <v>6.0999999999999999E-2</v>
      </c>
      <c r="AW155" s="228">
        <v>53</v>
      </c>
      <c r="AX155" s="228">
        <v>49</v>
      </c>
      <c r="AY155" s="228">
        <v>3</v>
      </c>
      <c r="AZ155" s="229">
        <v>6.7000000000000004E-2</v>
      </c>
      <c r="BA155" s="228">
        <v>12</v>
      </c>
      <c r="BB155" s="228">
        <v>11</v>
      </c>
      <c r="BC155" s="228">
        <v>1</v>
      </c>
      <c r="BD155" s="229">
        <v>0.05</v>
      </c>
      <c r="BE155" s="228">
        <v>0</v>
      </c>
      <c r="BF155" s="228">
        <v>0</v>
      </c>
      <c r="BG155" s="228">
        <v>0</v>
      </c>
      <c r="BH155" s="229">
        <v>0</v>
      </c>
      <c r="BI155" s="228">
        <v>142</v>
      </c>
      <c r="BJ155" s="228">
        <v>172</v>
      </c>
      <c r="BK155" s="228">
        <v>-30</v>
      </c>
      <c r="BL155" s="229">
        <v>-0.17430000000000001</v>
      </c>
      <c r="BM155" s="228">
        <v>39</v>
      </c>
      <c r="BN155" s="228">
        <v>33</v>
      </c>
      <c r="BO155" s="228">
        <v>6</v>
      </c>
      <c r="BP155" s="229">
        <v>0.18590000000000001</v>
      </c>
      <c r="BQ155" s="228">
        <v>246</v>
      </c>
      <c r="BR155" s="228">
        <v>266</v>
      </c>
      <c r="BS155" s="228">
        <v>-20</v>
      </c>
      <c r="BT155" s="229">
        <v>-7.5399999999999995E-2</v>
      </c>
      <c r="BU155" s="230">
        <v>1865792</v>
      </c>
      <c r="BV155" s="230">
        <v>1397439</v>
      </c>
      <c r="BW155" s="230">
        <v>468353</v>
      </c>
      <c r="BX155" s="229">
        <v>0.3352</v>
      </c>
      <c r="BY155" s="228">
        <v>371</v>
      </c>
      <c r="BZ155" s="228">
        <v>370</v>
      </c>
      <c r="CA155" s="228">
        <v>2</v>
      </c>
      <c r="CB155" s="229">
        <v>5.0000000000000001E-3</v>
      </c>
      <c r="CC155" s="228">
        <v>313</v>
      </c>
      <c r="CD155" s="228">
        <v>314</v>
      </c>
      <c r="CE155" s="228">
        <v>-1</v>
      </c>
      <c r="CF155" s="229">
        <v>-4.4999999999999997E-3</v>
      </c>
      <c r="CG155" s="228">
        <v>54</v>
      </c>
      <c r="CH155" s="228">
        <v>51</v>
      </c>
      <c r="CI155" s="228">
        <v>3</v>
      </c>
      <c r="CJ155" s="229">
        <v>5.67E-2</v>
      </c>
      <c r="CK155" s="228">
        <v>0</v>
      </c>
      <c r="CL155" s="228">
        <v>0</v>
      </c>
      <c r="CM155" s="228">
        <v>0</v>
      </c>
      <c r="CN155" s="229">
        <v>0</v>
      </c>
      <c r="CO155" s="228">
        <v>257</v>
      </c>
      <c r="CP155" s="228">
        <v>239</v>
      </c>
      <c r="CQ155" s="228">
        <v>17</v>
      </c>
      <c r="CR155" s="229">
        <v>7.1499999999999994E-2</v>
      </c>
      <c r="CS155" s="228">
        <v>108</v>
      </c>
      <c r="CT155" s="228">
        <v>104</v>
      </c>
      <c r="CU155" s="228">
        <v>4</v>
      </c>
      <c r="CV155" s="229">
        <v>3.7900000000000003E-2</v>
      </c>
      <c r="CW155" s="228">
        <v>736</v>
      </c>
      <c r="CX155" s="228">
        <v>713</v>
      </c>
      <c r="CY155" s="228">
        <v>23</v>
      </c>
      <c r="CZ155" s="229">
        <v>3.2099999999999997E-2</v>
      </c>
      <c r="DA155" s="228">
        <v>36.75</v>
      </c>
      <c r="DB155" s="228">
        <v>35.85</v>
      </c>
      <c r="DC155" s="228">
        <v>0.9</v>
      </c>
      <c r="DD155" s="228">
        <v>0.9</v>
      </c>
      <c r="DE155" s="228">
        <v>51.77</v>
      </c>
      <c r="DF155" s="228">
        <v>51.89</v>
      </c>
      <c r="DG155" s="228">
        <v>-15.02</v>
      </c>
      <c r="DH155" s="228">
        <v>-0.12</v>
      </c>
      <c r="DI155" s="228">
        <v>36.92</v>
      </c>
      <c r="DJ155" s="228">
        <v>35.97</v>
      </c>
      <c r="DK155" s="228">
        <v>0.95</v>
      </c>
      <c r="DL155" s="228">
        <v>0.95</v>
      </c>
      <c r="DM155" s="228">
        <v>36.130000000000003</v>
      </c>
      <c r="DN155" s="228">
        <v>35.19</v>
      </c>
      <c r="DO155" s="228">
        <v>0.94</v>
      </c>
      <c r="DP155" s="228">
        <v>0.94</v>
      </c>
      <c r="DQ155" s="228">
        <v>0.42</v>
      </c>
      <c r="DR155" s="228">
        <v>0.43</v>
      </c>
      <c r="DS155" s="228">
        <v>-0.01</v>
      </c>
      <c r="DT155" s="229">
        <v>-2.3300000000000001E-2</v>
      </c>
      <c r="DU155" s="228">
        <v>230</v>
      </c>
      <c r="DV155" s="228">
        <v>230</v>
      </c>
      <c r="DW155" s="228">
        <v>0.28000000000000003</v>
      </c>
      <c r="DX155" s="228">
        <v>0.19</v>
      </c>
      <c r="DY155" s="228">
        <v>0.09</v>
      </c>
      <c r="DZ155" s="229">
        <v>0.47370000000000001</v>
      </c>
      <c r="EA155" s="229">
        <v>0.14480000000000001</v>
      </c>
      <c r="EB155" s="230">
        <v>2238300</v>
      </c>
      <c r="EC155" s="229">
        <v>-3.3999999999999998E-3</v>
      </c>
      <c r="ED155" s="229">
        <v>0.14480000000000001</v>
      </c>
      <c r="EE155" s="228">
        <v>-0.7</v>
      </c>
      <c r="EF155" s="229">
        <v>-3.0999999999999999E-3</v>
      </c>
      <c r="EG155" s="230">
        <v>977649</v>
      </c>
      <c r="EH155" s="230">
        <v>577814</v>
      </c>
      <c r="EI155" s="229">
        <v>0.69199999999999995</v>
      </c>
      <c r="EJ155" s="229">
        <v>0.52400000000000002</v>
      </c>
      <c r="EK155" s="228">
        <v>147.53</v>
      </c>
      <c r="EL155" s="228">
        <v>39.68</v>
      </c>
      <c r="EM155" s="228">
        <v>65.42</v>
      </c>
      <c r="EN155" s="228">
        <v>0</v>
      </c>
      <c r="EO155" s="228">
        <v>252.62</v>
      </c>
      <c r="EP155" s="228">
        <v>273.41000000000003</v>
      </c>
      <c r="EQ155" s="228">
        <v>-20.78</v>
      </c>
      <c r="ER155" s="229">
        <v>-7.5999999999999998E-2</v>
      </c>
      <c r="ES155" s="228">
        <v>264.05</v>
      </c>
      <c r="ET155" s="228">
        <v>106.38</v>
      </c>
      <c r="EU155" s="228">
        <v>371.19</v>
      </c>
      <c r="EV155" s="231">
        <v>97811871</v>
      </c>
      <c r="EW155" s="228">
        <v>741.62</v>
      </c>
      <c r="EX155" s="228">
        <v>720.67</v>
      </c>
      <c r="EY155" s="228">
        <v>20.95</v>
      </c>
      <c r="EZ155" s="229">
        <v>2.9100000000000001E-2</v>
      </c>
      <c r="FA155" s="229">
        <v>0.33079999999999998</v>
      </c>
      <c r="FB155" s="227" t="s">
        <v>567</v>
      </c>
      <c r="FC155">
        <f t="shared" si="3"/>
        <v>0</v>
      </c>
    </row>
    <row r="156" spans="1:159" ht="17.25" thickBot="1" x14ac:dyDescent="0.3">
      <c r="A156" s="226">
        <v>45860</v>
      </c>
      <c r="B156" s="227" t="s">
        <v>168</v>
      </c>
      <c r="C156" s="227" t="s">
        <v>265</v>
      </c>
      <c r="D156" s="228">
        <v>250</v>
      </c>
      <c r="E156" s="228">
        <v>9</v>
      </c>
      <c r="F156" s="231">
        <v>2445.6</v>
      </c>
      <c r="G156" s="231">
        <v>2475</v>
      </c>
      <c r="H156" s="228">
        <v>-29.4</v>
      </c>
      <c r="I156" s="229">
        <v>-1.1900000000000001E-2</v>
      </c>
      <c r="J156" s="231">
        <v>2443.5</v>
      </c>
      <c r="K156" s="231">
        <v>2472.6</v>
      </c>
      <c r="L156" s="228">
        <v>-29.1</v>
      </c>
      <c r="M156" s="229">
        <v>-1.18E-2</v>
      </c>
      <c r="N156" s="231">
        <v>2445.6</v>
      </c>
      <c r="O156" s="231">
        <v>2475</v>
      </c>
      <c r="P156" s="228">
        <v>-29.4</v>
      </c>
      <c r="Q156" s="229">
        <v>-1.1900000000000001E-2</v>
      </c>
      <c r="R156" s="231">
        <v>2458.3000000000002</v>
      </c>
      <c r="S156" s="231">
        <v>2489.6999999999998</v>
      </c>
      <c r="T156" s="228">
        <v>-31.4</v>
      </c>
      <c r="U156" s="229">
        <v>-1.26E-2</v>
      </c>
      <c r="V156" s="228">
        <v>0</v>
      </c>
      <c r="W156" s="228">
        <v>0</v>
      </c>
      <c r="X156" s="228">
        <v>0</v>
      </c>
      <c r="Y156" s="229">
        <v>0</v>
      </c>
      <c r="Z156" s="228">
        <v>2.1</v>
      </c>
      <c r="AA156" s="228">
        <v>2.4</v>
      </c>
      <c r="AB156" s="228">
        <v>-0.3</v>
      </c>
      <c r="AC156" s="229">
        <v>8.9999999999999998E-4</v>
      </c>
      <c r="AD156" s="228">
        <v>2.1</v>
      </c>
      <c r="AE156" s="228">
        <v>2.4</v>
      </c>
      <c r="AF156" s="228">
        <v>-0.3</v>
      </c>
      <c r="AG156" s="229">
        <v>8.9999999999999998E-4</v>
      </c>
      <c r="AH156" s="228">
        <v>14.8</v>
      </c>
      <c r="AI156" s="228">
        <v>17.100000000000001</v>
      </c>
      <c r="AJ156" s="228">
        <v>-2.2999999999999998</v>
      </c>
      <c r="AK156" s="229">
        <v>6.1000000000000004E-3</v>
      </c>
      <c r="AL156" s="228">
        <v>0</v>
      </c>
      <c r="AM156" s="228">
        <v>0</v>
      </c>
      <c r="AN156" s="228">
        <v>0</v>
      </c>
      <c r="AO156" s="229">
        <v>0</v>
      </c>
      <c r="AP156" s="231">
        <v>2454.69</v>
      </c>
      <c r="AQ156" s="231">
        <v>2467</v>
      </c>
      <c r="AR156" s="228">
        <v>0</v>
      </c>
      <c r="AS156" s="228">
        <v>191</v>
      </c>
      <c r="AT156" s="228">
        <v>212</v>
      </c>
      <c r="AU156" s="228">
        <v>-21</v>
      </c>
      <c r="AV156" s="229">
        <v>-9.9000000000000005E-2</v>
      </c>
      <c r="AW156" s="228">
        <v>162</v>
      </c>
      <c r="AX156" s="228">
        <v>192</v>
      </c>
      <c r="AY156" s="228">
        <v>-30</v>
      </c>
      <c r="AZ156" s="229">
        <v>-0.15390000000000001</v>
      </c>
      <c r="BA156" s="228">
        <v>28</v>
      </c>
      <c r="BB156" s="228">
        <v>17</v>
      </c>
      <c r="BC156" s="228">
        <v>11</v>
      </c>
      <c r="BD156" s="229">
        <v>0.67769999999999997</v>
      </c>
      <c r="BE156" s="228">
        <v>0</v>
      </c>
      <c r="BF156" s="228">
        <v>0</v>
      </c>
      <c r="BG156" s="228">
        <v>0</v>
      </c>
      <c r="BH156" s="229">
        <v>0</v>
      </c>
      <c r="BI156" s="228">
        <v>351</v>
      </c>
      <c r="BJ156" s="228">
        <v>430</v>
      </c>
      <c r="BK156" s="228">
        <v>-79</v>
      </c>
      <c r="BL156" s="229">
        <v>-0.1842</v>
      </c>
      <c r="BM156" s="228">
        <v>279</v>
      </c>
      <c r="BN156" s="228">
        <v>345</v>
      </c>
      <c r="BO156" s="228">
        <v>-66</v>
      </c>
      <c r="BP156" s="229">
        <v>-0.1913</v>
      </c>
      <c r="BQ156" s="228">
        <v>821</v>
      </c>
      <c r="BR156" s="228">
        <v>987</v>
      </c>
      <c r="BS156" s="228">
        <v>-166</v>
      </c>
      <c r="BT156" s="229">
        <v>-0.16830000000000001</v>
      </c>
      <c r="BU156" s="230">
        <v>404233</v>
      </c>
      <c r="BV156" s="230">
        <v>497852</v>
      </c>
      <c r="BW156" s="230">
        <v>-93619</v>
      </c>
      <c r="BX156" s="229">
        <v>-0.188</v>
      </c>
      <c r="BY156" s="230">
        <v>2418</v>
      </c>
      <c r="BZ156" s="230">
        <v>2411</v>
      </c>
      <c r="CA156" s="228">
        <v>7</v>
      </c>
      <c r="CB156" s="229">
        <v>2.8999999999999998E-3</v>
      </c>
      <c r="CC156" s="230">
        <v>2311</v>
      </c>
      <c r="CD156" s="230">
        <v>2314</v>
      </c>
      <c r="CE156" s="228">
        <v>-4</v>
      </c>
      <c r="CF156" s="229">
        <v>-1.5E-3</v>
      </c>
      <c r="CG156" s="228">
        <v>92</v>
      </c>
      <c r="CH156" s="228">
        <v>82</v>
      </c>
      <c r="CI156" s="228">
        <v>10</v>
      </c>
      <c r="CJ156" s="229">
        <v>0.12130000000000001</v>
      </c>
      <c r="CK156" s="228">
        <v>0</v>
      </c>
      <c r="CL156" s="228">
        <v>0</v>
      </c>
      <c r="CM156" s="228">
        <v>0</v>
      </c>
      <c r="CN156" s="229">
        <v>0</v>
      </c>
      <c r="CO156" s="228">
        <v>554</v>
      </c>
      <c r="CP156" s="228">
        <v>537</v>
      </c>
      <c r="CQ156" s="228">
        <v>17</v>
      </c>
      <c r="CR156" s="229">
        <v>3.2099999999999997E-2</v>
      </c>
      <c r="CS156" s="228">
        <v>554</v>
      </c>
      <c r="CT156" s="228">
        <v>523</v>
      </c>
      <c r="CU156" s="228">
        <v>31</v>
      </c>
      <c r="CV156" s="229">
        <v>5.9499999999999997E-2</v>
      </c>
      <c r="CW156" s="230">
        <v>3526</v>
      </c>
      <c r="CX156" s="230">
        <v>3471</v>
      </c>
      <c r="CY156" s="228">
        <v>55</v>
      </c>
      <c r="CZ156" s="229">
        <v>1.5900000000000001E-2</v>
      </c>
      <c r="DA156" s="228">
        <v>26.87</v>
      </c>
      <c r="DB156" s="228">
        <v>25.59</v>
      </c>
      <c r="DC156" s="228">
        <v>1.28</v>
      </c>
      <c r="DD156" s="228">
        <v>1.28</v>
      </c>
      <c r="DE156" s="228">
        <v>22.21</v>
      </c>
      <c r="DF156" s="228">
        <v>22.2</v>
      </c>
      <c r="DG156" s="228">
        <v>4.66</v>
      </c>
      <c r="DH156" s="228">
        <v>0.01</v>
      </c>
      <c r="DI156" s="228">
        <v>26.95</v>
      </c>
      <c r="DJ156" s="228">
        <v>24.94</v>
      </c>
      <c r="DK156" s="228">
        <v>2.0099999999999998</v>
      </c>
      <c r="DL156" s="228">
        <v>2.0099999999999998</v>
      </c>
      <c r="DM156" s="228">
        <v>26.77</v>
      </c>
      <c r="DN156" s="228">
        <v>26.41</v>
      </c>
      <c r="DO156" s="228">
        <v>0.36</v>
      </c>
      <c r="DP156" s="228">
        <v>0.36</v>
      </c>
      <c r="DQ156" s="228">
        <v>1</v>
      </c>
      <c r="DR156" s="228">
        <v>0.97</v>
      </c>
      <c r="DS156" s="228">
        <v>0.03</v>
      </c>
      <c r="DT156" s="229">
        <v>3.09E-2</v>
      </c>
      <c r="DU156" s="231">
        <v>2500</v>
      </c>
      <c r="DV156" s="231">
        <v>2400</v>
      </c>
      <c r="DW156" s="228">
        <v>0.79</v>
      </c>
      <c r="DX156" s="228">
        <v>0.8</v>
      </c>
      <c r="DY156" s="228">
        <v>-0.01</v>
      </c>
      <c r="DZ156" s="229">
        <v>-1.2500000000000001E-2</v>
      </c>
      <c r="EA156" s="229">
        <v>3.78E-2</v>
      </c>
      <c r="EB156" s="230">
        <v>333750</v>
      </c>
      <c r="EC156" s="229">
        <v>5.1999999999999998E-3</v>
      </c>
      <c r="ED156" s="229">
        <v>3.78E-2</v>
      </c>
      <c r="EE156" s="228">
        <v>12.31</v>
      </c>
      <c r="EF156" s="229">
        <v>5.0000000000000001E-3</v>
      </c>
      <c r="EG156" s="230">
        <v>226966</v>
      </c>
      <c r="EH156" s="230">
        <v>278102</v>
      </c>
      <c r="EI156" s="229">
        <v>-0.18390000000000001</v>
      </c>
      <c r="EJ156" s="229">
        <v>0.5615</v>
      </c>
      <c r="EK156" s="228">
        <v>364.37</v>
      </c>
      <c r="EL156" s="228">
        <v>276.41000000000003</v>
      </c>
      <c r="EM156" s="228">
        <v>192.17</v>
      </c>
      <c r="EN156" s="228">
        <v>0</v>
      </c>
      <c r="EO156" s="228">
        <v>832.95</v>
      </c>
      <c r="EP156" s="228">
        <v>996.56</v>
      </c>
      <c r="EQ156" s="228">
        <v>-163.61000000000001</v>
      </c>
      <c r="ER156" s="229">
        <v>-0.16420000000000001</v>
      </c>
      <c r="ES156" s="228">
        <v>571.98</v>
      </c>
      <c r="ET156" s="228">
        <v>525.66999999999996</v>
      </c>
      <c r="EU156" s="231">
        <v>2418.83</v>
      </c>
      <c r="EV156" s="231">
        <v>71801274</v>
      </c>
      <c r="EW156" s="231">
        <v>3516.48</v>
      </c>
      <c r="EX156" s="231">
        <v>3490.9</v>
      </c>
      <c r="EY156" s="228">
        <v>25.58</v>
      </c>
      <c r="EZ156" s="229">
        <v>7.3000000000000001E-3</v>
      </c>
      <c r="FA156" s="229">
        <v>0.20080000000000001</v>
      </c>
      <c r="FB156" s="227" t="s">
        <v>567</v>
      </c>
      <c r="FC156">
        <f t="shared" si="3"/>
        <v>0</v>
      </c>
    </row>
    <row r="157" spans="1:159" ht="17.25" thickBot="1" x14ac:dyDescent="0.3">
      <c r="A157" s="226">
        <v>45860</v>
      </c>
      <c r="B157" s="227" t="s">
        <v>161</v>
      </c>
      <c r="C157" s="227" t="s">
        <v>586</v>
      </c>
      <c r="D157" s="228">
        <v>6400</v>
      </c>
      <c r="E157" s="228">
        <v>9</v>
      </c>
      <c r="F157" s="228">
        <v>86.58</v>
      </c>
      <c r="G157" s="228">
        <v>87.75</v>
      </c>
      <c r="H157" s="228">
        <v>-1.17</v>
      </c>
      <c r="I157" s="229">
        <v>-1.3299999999999999E-2</v>
      </c>
      <c r="J157" s="228">
        <v>86.33</v>
      </c>
      <c r="K157" s="228">
        <v>87.53</v>
      </c>
      <c r="L157" s="228">
        <v>-1.2</v>
      </c>
      <c r="M157" s="229">
        <v>-1.37E-2</v>
      </c>
      <c r="N157" s="228">
        <v>86.58</v>
      </c>
      <c r="O157" s="228">
        <v>87.75</v>
      </c>
      <c r="P157" s="228">
        <v>-1.17</v>
      </c>
      <c r="Q157" s="229">
        <v>-1.3299999999999999E-2</v>
      </c>
      <c r="R157" s="228">
        <v>86.64</v>
      </c>
      <c r="S157" s="228">
        <v>87.86</v>
      </c>
      <c r="T157" s="228">
        <v>-1.22</v>
      </c>
      <c r="U157" s="229">
        <v>-1.3899999999999999E-2</v>
      </c>
      <c r="V157" s="228">
        <v>0</v>
      </c>
      <c r="W157" s="228">
        <v>0</v>
      </c>
      <c r="X157" s="228">
        <v>0</v>
      </c>
      <c r="Y157" s="229">
        <v>0</v>
      </c>
      <c r="Z157" s="228">
        <v>0.25</v>
      </c>
      <c r="AA157" s="228">
        <v>0.22</v>
      </c>
      <c r="AB157" s="228">
        <v>0.03</v>
      </c>
      <c r="AC157" s="229">
        <v>2.8999999999999998E-3</v>
      </c>
      <c r="AD157" s="228">
        <v>0.25</v>
      </c>
      <c r="AE157" s="228">
        <v>0.22</v>
      </c>
      <c r="AF157" s="228">
        <v>0.03</v>
      </c>
      <c r="AG157" s="229">
        <v>2.8999999999999998E-3</v>
      </c>
      <c r="AH157" s="228">
        <v>0.31</v>
      </c>
      <c r="AI157" s="228">
        <v>0.33</v>
      </c>
      <c r="AJ157" s="228">
        <v>-0.02</v>
      </c>
      <c r="AK157" s="229">
        <v>3.5999999999999999E-3</v>
      </c>
      <c r="AL157" s="228">
        <v>0</v>
      </c>
      <c r="AM157" s="228">
        <v>0</v>
      </c>
      <c r="AN157" s="228">
        <v>0</v>
      </c>
      <c r="AO157" s="229">
        <v>0</v>
      </c>
      <c r="AP157" s="228">
        <v>86.91</v>
      </c>
      <c r="AQ157" s="228">
        <v>87.03</v>
      </c>
      <c r="AR157" s="228">
        <v>0</v>
      </c>
      <c r="AS157" s="228">
        <v>47</v>
      </c>
      <c r="AT157" s="228">
        <v>46</v>
      </c>
      <c r="AU157" s="228">
        <v>2</v>
      </c>
      <c r="AV157" s="229">
        <v>3.4099999999999998E-2</v>
      </c>
      <c r="AW157" s="228">
        <v>36</v>
      </c>
      <c r="AX157" s="228">
        <v>37</v>
      </c>
      <c r="AY157" s="228">
        <v>-1</v>
      </c>
      <c r="AZ157" s="229">
        <v>-3.1699999999999999E-2</v>
      </c>
      <c r="BA157" s="228">
        <v>9</v>
      </c>
      <c r="BB157" s="228">
        <v>9</v>
      </c>
      <c r="BC157" s="228">
        <v>0</v>
      </c>
      <c r="BD157" s="229">
        <v>1.9099999999999999E-2</v>
      </c>
      <c r="BE157" s="228">
        <v>0</v>
      </c>
      <c r="BF157" s="228">
        <v>0</v>
      </c>
      <c r="BG157" s="228">
        <v>0</v>
      </c>
      <c r="BH157" s="229">
        <v>0</v>
      </c>
      <c r="BI157" s="228">
        <v>84</v>
      </c>
      <c r="BJ157" s="228">
        <v>59</v>
      </c>
      <c r="BK157" s="228">
        <v>25</v>
      </c>
      <c r="BL157" s="229">
        <v>0.42199999999999999</v>
      </c>
      <c r="BM157" s="228">
        <v>23</v>
      </c>
      <c r="BN157" s="228">
        <v>33</v>
      </c>
      <c r="BO157" s="228">
        <v>-10</v>
      </c>
      <c r="BP157" s="229">
        <v>-0.29920000000000002</v>
      </c>
      <c r="BQ157" s="228">
        <v>155</v>
      </c>
      <c r="BR157" s="228">
        <v>138</v>
      </c>
      <c r="BS157" s="228">
        <v>17</v>
      </c>
      <c r="BT157" s="229">
        <v>0.12139999999999999</v>
      </c>
      <c r="BU157" s="230">
        <v>6966245</v>
      </c>
      <c r="BV157" s="230">
        <v>6660693</v>
      </c>
      <c r="BW157" s="230">
        <v>305552</v>
      </c>
      <c r="BX157" s="229">
        <v>4.5900000000000003E-2</v>
      </c>
      <c r="BY157" s="228">
        <v>606</v>
      </c>
      <c r="BZ157" s="228">
        <v>608</v>
      </c>
      <c r="CA157" s="228">
        <v>-2</v>
      </c>
      <c r="CB157" s="229">
        <v>-3.2000000000000002E-3</v>
      </c>
      <c r="CC157" s="228">
        <v>562</v>
      </c>
      <c r="CD157" s="228">
        <v>570</v>
      </c>
      <c r="CE157" s="228">
        <v>-8</v>
      </c>
      <c r="CF157" s="229">
        <v>-1.38E-2</v>
      </c>
      <c r="CG157" s="228">
        <v>39</v>
      </c>
      <c r="CH157" s="228">
        <v>35</v>
      </c>
      <c r="CI157" s="228">
        <v>4</v>
      </c>
      <c r="CJ157" s="229">
        <v>0.113</v>
      </c>
      <c r="CK157" s="228">
        <v>0</v>
      </c>
      <c r="CL157" s="228">
        <v>0</v>
      </c>
      <c r="CM157" s="228">
        <v>0</v>
      </c>
      <c r="CN157" s="229">
        <v>0</v>
      </c>
      <c r="CO157" s="228">
        <v>204</v>
      </c>
      <c r="CP157" s="228">
        <v>201</v>
      </c>
      <c r="CQ157" s="228">
        <v>3</v>
      </c>
      <c r="CR157" s="229">
        <v>1.38E-2</v>
      </c>
      <c r="CS157" s="228">
        <v>102</v>
      </c>
      <c r="CT157" s="228">
        <v>104</v>
      </c>
      <c r="CU157" s="228">
        <v>-2</v>
      </c>
      <c r="CV157" s="229">
        <v>-1.9599999999999999E-2</v>
      </c>
      <c r="CW157" s="228">
        <v>912</v>
      </c>
      <c r="CX157" s="228">
        <v>913</v>
      </c>
      <c r="CY157" s="228">
        <v>-1</v>
      </c>
      <c r="CZ157" s="229">
        <v>-1.2999999999999999E-3</v>
      </c>
      <c r="DA157" s="228">
        <v>30.99</v>
      </c>
      <c r="DB157" s="228">
        <v>30.07</v>
      </c>
      <c r="DC157" s="228">
        <v>0.92</v>
      </c>
      <c r="DD157" s="228">
        <v>0.92</v>
      </c>
      <c r="DE157" s="228">
        <v>42.95</v>
      </c>
      <c r="DF157" s="228">
        <v>43.02</v>
      </c>
      <c r="DG157" s="228">
        <v>-11.96</v>
      </c>
      <c r="DH157" s="228">
        <v>-7.0000000000000007E-2</v>
      </c>
      <c r="DI157" s="228">
        <v>31.79</v>
      </c>
      <c r="DJ157" s="228">
        <v>30.87</v>
      </c>
      <c r="DK157" s="228">
        <v>0.92</v>
      </c>
      <c r="DL157" s="228">
        <v>0.92</v>
      </c>
      <c r="DM157" s="228">
        <v>28.04</v>
      </c>
      <c r="DN157" s="228">
        <v>28.63</v>
      </c>
      <c r="DO157" s="228">
        <v>-0.59</v>
      </c>
      <c r="DP157" s="228">
        <v>-0.59</v>
      </c>
      <c r="DQ157" s="228">
        <v>0.5</v>
      </c>
      <c r="DR157" s="228">
        <v>0.52</v>
      </c>
      <c r="DS157" s="228">
        <v>-0.02</v>
      </c>
      <c r="DT157" s="229">
        <v>-3.85E-2</v>
      </c>
      <c r="DU157" s="228">
        <v>90</v>
      </c>
      <c r="DV157" s="228">
        <v>85</v>
      </c>
      <c r="DW157" s="228">
        <v>0.27</v>
      </c>
      <c r="DX157" s="228">
        <v>0.56000000000000005</v>
      </c>
      <c r="DY157" s="228">
        <v>-0.28999999999999998</v>
      </c>
      <c r="DZ157" s="229">
        <v>-0.51790000000000003</v>
      </c>
      <c r="EA157" s="229">
        <v>6.4799999999999996E-2</v>
      </c>
      <c r="EB157" s="230">
        <v>4076800</v>
      </c>
      <c r="EC157" s="229">
        <v>6.9999999999999999E-4</v>
      </c>
      <c r="ED157" s="229">
        <v>6.4799999999999996E-2</v>
      </c>
      <c r="EE157" s="228">
        <v>0.12</v>
      </c>
      <c r="EF157" s="229">
        <v>1.4E-3</v>
      </c>
      <c r="EG157" s="230">
        <v>4138579</v>
      </c>
      <c r="EH157" s="230">
        <v>3062641</v>
      </c>
      <c r="EI157" s="229">
        <v>0.3513</v>
      </c>
      <c r="EJ157" s="229">
        <v>0.59409999999999996</v>
      </c>
      <c r="EK157" s="228">
        <v>89.63</v>
      </c>
      <c r="EL157" s="228">
        <v>23.29</v>
      </c>
      <c r="EM157" s="228">
        <v>47.3</v>
      </c>
      <c r="EN157" s="228">
        <v>0</v>
      </c>
      <c r="EO157" s="228">
        <v>160.22</v>
      </c>
      <c r="EP157" s="228">
        <v>141.71</v>
      </c>
      <c r="EQ157" s="228">
        <v>18.52</v>
      </c>
      <c r="ER157" s="229">
        <v>0.13070000000000001</v>
      </c>
      <c r="ES157" s="228">
        <v>213.34</v>
      </c>
      <c r="ET157" s="228">
        <v>99.34</v>
      </c>
      <c r="EU157" s="228">
        <v>605.91999999999996</v>
      </c>
      <c r="EV157" s="231">
        <v>654977669</v>
      </c>
      <c r="EW157" s="228">
        <v>918.59</v>
      </c>
      <c r="EX157" s="228">
        <v>928.11</v>
      </c>
      <c r="EY157" s="228">
        <v>-9.52</v>
      </c>
      <c r="EZ157" s="229">
        <v>-1.03E-2</v>
      </c>
      <c r="FA157" s="229">
        <v>0.1608</v>
      </c>
      <c r="FB157" s="227" t="s">
        <v>568</v>
      </c>
      <c r="FC157">
        <f t="shared" si="3"/>
        <v>0</v>
      </c>
    </row>
    <row r="158" spans="1:159" ht="17.25" thickBot="1" x14ac:dyDescent="0.3">
      <c r="A158" s="226">
        <v>45860</v>
      </c>
      <c r="B158" s="227" t="s">
        <v>181</v>
      </c>
      <c r="C158" s="227" t="s">
        <v>266</v>
      </c>
      <c r="D158" s="228">
        <v>75</v>
      </c>
      <c r="E158" s="228">
        <v>9</v>
      </c>
      <c r="F158" s="231">
        <v>25093.9</v>
      </c>
      <c r="G158" s="231">
        <v>25127.599999999999</v>
      </c>
      <c r="H158" s="228">
        <v>-33.700000000000003</v>
      </c>
      <c r="I158" s="229">
        <v>-1.2999999999999999E-3</v>
      </c>
      <c r="J158" s="231">
        <v>25060.9</v>
      </c>
      <c r="K158" s="231">
        <v>25090.7</v>
      </c>
      <c r="L158" s="228">
        <v>-29.8</v>
      </c>
      <c r="M158" s="229">
        <v>-1.1999999999999999E-3</v>
      </c>
      <c r="N158" s="231">
        <v>25093.9</v>
      </c>
      <c r="O158" s="231">
        <v>25127.599999999999</v>
      </c>
      <c r="P158" s="228">
        <v>-33.700000000000003</v>
      </c>
      <c r="Q158" s="229">
        <v>-1.2999999999999999E-3</v>
      </c>
      <c r="R158" s="231">
        <v>25199</v>
      </c>
      <c r="S158" s="231">
        <v>25226.7</v>
      </c>
      <c r="T158" s="228">
        <v>-27.7</v>
      </c>
      <c r="U158" s="229">
        <v>-1.1000000000000001E-3</v>
      </c>
      <c r="V158" s="231">
        <v>25348.5</v>
      </c>
      <c r="W158" s="231">
        <v>25378.9</v>
      </c>
      <c r="X158" s="228">
        <v>-30.4</v>
      </c>
      <c r="Y158" s="229">
        <v>-1.1999999999999999E-3</v>
      </c>
      <c r="Z158" s="228">
        <v>33</v>
      </c>
      <c r="AA158" s="228">
        <v>36.9</v>
      </c>
      <c r="AB158" s="228">
        <v>-3.9</v>
      </c>
      <c r="AC158" s="229">
        <v>1.2999999999999999E-3</v>
      </c>
      <c r="AD158" s="228">
        <v>33</v>
      </c>
      <c r="AE158" s="228">
        <v>36.9</v>
      </c>
      <c r="AF158" s="228">
        <v>-3.9</v>
      </c>
      <c r="AG158" s="229">
        <v>1.2999999999999999E-3</v>
      </c>
      <c r="AH158" s="228">
        <v>138.1</v>
      </c>
      <c r="AI158" s="228">
        <v>136</v>
      </c>
      <c r="AJ158" s="228">
        <v>2.1</v>
      </c>
      <c r="AK158" s="229">
        <v>5.4999999999999997E-3</v>
      </c>
      <c r="AL158" s="228">
        <v>287.60000000000002</v>
      </c>
      <c r="AM158" s="228">
        <v>288.2</v>
      </c>
      <c r="AN158" s="228">
        <v>-0.6</v>
      </c>
      <c r="AO158" s="229">
        <v>1.15E-2</v>
      </c>
      <c r="AP158" s="231">
        <v>25122.12</v>
      </c>
      <c r="AQ158" s="231">
        <v>25224.94</v>
      </c>
      <c r="AR158" s="228">
        <v>0</v>
      </c>
      <c r="AS158" s="230">
        <v>8951</v>
      </c>
      <c r="AT158" s="230">
        <v>12536</v>
      </c>
      <c r="AU158" s="230">
        <v>-3585</v>
      </c>
      <c r="AV158" s="229">
        <v>-0.28599999999999998</v>
      </c>
      <c r="AW158" s="230">
        <v>7777</v>
      </c>
      <c r="AX158" s="230">
        <v>10723</v>
      </c>
      <c r="AY158" s="230">
        <v>-2946</v>
      </c>
      <c r="AZ158" s="229">
        <v>-0.2747</v>
      </c>
      <c r="BA158" s="230">
        <v>1007</v>
      </c>
      <c r="BB158" s="230">
        <v>1310</v>
      </c>
      <c r="BC158" s="228">
        <v>-303</v>
      </c>
      <c r="BD158" s="229">
        <v>-0.2311</v>
      </c>
      <c r="BE158" s="228">
        <v>167</v>
      </c>
      <c r="BF158" s="228">
        <v>503</v>
      </c>
      <c r="BG158" s="228">
        <v>-336</v>
      </c>
      <c r="BH158" s="229">
        <v>-0.66849999999999998</v>
      </c>
      <c r="BI158" s="230">
        <v>5137468</v>
      </c>
      <c r="BJ158" s="230">
        <v>6148688</v>
      </c>
      <c r="BK158" s="230">
        <v>-1011220</v>
      </c>
      <c r="BL158" s="229">
        <v>-0.16450000000000001</v>
      </c>
      <c r="BM158" s="230">
        <v>5038157</v>
      </c>
      <c r="BN158" s="230">
        <v>5229873</v>
      </c>
      <c r="BO158" s="230">
        <v>-191717</v>
      </c>
      <c r="BP158" s="229">
        <v>-3.6700000000000003E-2</v>
      </c>
      <c r="BQ158" s="230">
        <v>10184576</v>
      </c>
      <c r="BR158" s="230">
        <v>11391098</v>
      </c>
      <c r="BS158" s="230">
        <v>-1206522</v>
      </c>
      <c r="BT158" s="229">
        <v>-0.10589999999999999</v>
      </c>
      <c r="BU158" s="228">
        <v>0</v>
      </c>
      <c r="BV158" s="228">
        <v>0</v>
      </c>
      <c r="BW158" s="228">
        <v>0</v>
      </c>
      <c r="BX158" s="229">
        <v>0</v>
      </c>
      <c r="BY158" s="230">
        <v>47822</v>
      </c>
      <c r="BZ158" s="230">
        <v>47608</v>
      </c>
      <c r="CA158" s="228">
        <v>214</v>
      </c>
      <c r="CB158" s="229">
        <v>4.4999999999999997E-3</v>
      </c>
      <c r="CC158" s="230">
        <v>33176</v>
      </c>
      <c r="CD158" s="230">
        <v>33336</v>
      </c>
      <c r="CE158" s="228">
        <v>-160</v>
      </c>
      <c r="CF158" s="229">
        <v>-4.7999999999999996E-3</v>
      </c>
      <c r="CG158" s="230">
        <v>13395</v>
      </c>
      <c r="CH158" s="230">
        <v>13050</v>
      </c>
      <c r="CI158" s="228">
        <v>345</v>
      </c>
      <c r="CJ158" s="229">
        <v>2.64E-2</v>
      </c>
      <c r="CK158" s="230">
        <v>1251</v>
      </c>
      <c r="CL158" s="230">
        <v>1222</v>
      </c>
      <c r="CM158" s="228">
        <v>29</v>
      </c>
      <c r="CN158" s="229">
        <v>2.3599999999999999E-2</v>
      </c>
      <c r="CO158" s="230">
        <v>663842</v>
      </c>
      <c r="CP158" s="230">
        <v>555554</v>
      </c>
      <c r="CQ158" s="230">
        <v>108287</v>
      </c>
      <c r="CR158" s="229">
        <v>0.19489999999999999</v>
      </c>
      <c r="CS158" s="230">
        <v>555817</v>
      </c>
      <c r="CT158" s="230">
        <v>530583</v>
      </c>
      <c r="CU158" s="230">
        <v>25234</v>
      </c>
      <c r="CV158" s="229">
        <v>4.7600000000000003E-2</v>
      </c>
      <c r="CW158" s="230">
        <v>1267480</v>
      </c>
      <c r="CX158" s="230">
        <v>1133746</v>
      </c>
      <c r="CY158" s="230">
        <v>133735</v>
      </c>
      <c r="CZ158" s="229">
        <v>0.11799999999999999</v>
      </c>
      <c r="DA158" s="228">
        <v>10.76</v>
      </c>
      <c r="DB158" s="228">
        <v>11.39</v>
      </c>
      <c r="DC158" s="228">
        <v>-0.63</v>
      </c>
      <c r="DD158" s="228">
        <v>-0.63</v>
      </c>
      <c r="DE158" s="228">
        <v>16.37</v>
      </c>
      <c r="DF158" s="228">
        <v>16.41</v>
      </c>
      <c r="DG158" s="228">
        <v>-5.61</v>
      </c>
      <c r="DH158" s="228">
        <v>-0.04</v>
      </c>
      <c r="DI158" s="228">
        <v>10.44</v>
      </c>
      <c r="DJ158" s="228">
        <v>10.7</v>
      </c>
      <c r="DK158" s="228">
        <v>-0.26</v>
      </c>
      <c r="DL158" s="228">
        <v>-0.26</v>
      </c>
      <c r="DM158" s="228">
        <v>11.12</v>
      </c>
      <c r="DN158" s="228">
        <v>12.18</v>
      </c>
      <c r="DO158" s="228">
        <v>-1.06</v>
      </c>
      <c r="DP158" s="228">
        <v>-1.06</v>
      </c>
      <c r="DQ158" s="228">
        <v>0.84</v>
      </c>
      <c r="DR158" s="228">
        <v>0.96</v>
      </c>
      <c r="DS158" s="228">
        <v>-0.12</v>
      </c>
      <c r="DT158" s="229">
        <v>-0.125</v>
      </c>
      <c r="DU158" s="231">
        <v>25100</v>
      </c>
      <c r="DV158" s="231">
        <v>25000</v>
      </c>
      <c r="DW158" s="228">
        <v>0.98</v>
      </c>
      <c r="DX158" s="228">
        <v>0.85</v>
      </c>
      <c r="DY158" s="228">
        <v>0.13</v>
      </c>
      <c r="DZ158" s="229">
        <v>0.15290000000000001</v>
      </c>
      <c r="EA158" s="229">
        <v>0.30630000000000002</v>
      </c>
      <c r="EB158" s="230">
        <v>5687325</v>
      </c>
      <c r="EC158" s="229">
        <v>4.1999999999999997E-3</v>
      </c>
      <c r="ED158" s="229">
        <v>0.30630000000000002</v>
      </c>
      <c r="EE158" s="228">
        <v>102.82</v>
      </c>
      <c r="EF158" s="229">
        <v>4.1000000000000003E-3</v>
      </c>
      <c r="EG158" s="228">
        <v>0</v>
      </c>
      <c r="EH158" s="228">
        <v>0</v>
      </c>
      <c r="EI158" s="229">
        <v>0</v>
      </c>
      <c r="EJ158" s="229">
        <v>0</v>
      </c>
      <c r="EK158" s="231">
        <v>5209077.18</v>
      </c>
      <c r="EL158" s="231">
        <v>4996727.13</v>
      </c>
      <c r="EM158" s="231">
        <v>8967.09</v>
      </c>
      <c r="EN158" s="228">
        <v>0</v>
      </c>
      <c r="EO158" s="231">
        <v>10214771.41</v>
      </c>
      <c r="EP158" s="231">
        <v>11403512.6</v>
      </c>
      <c r="EQ158" s="231">
        <v>-1188741.19</v>
      </c>
      <c r="ER158" s="229">
        <v>-0.1042</v>
      </c>
      <c r="ES158" s="231">
        <v>680391.44</v>
      </c>
      <c r="ET158" s="231">
        <v>541343.37</v>
      </c>
      <c r="EU158" s="231">
        <v>47890.55</v>
      </c>
      <c r="EV158" s="228">
        <v>0</v>
      </c>
      <c r="EW158" s="231">
        <v>1269625.3600000001</v>
      </c>
      <c r="EX158" s="231">
        <v>1134652.56</v>
      </c>
      <c r="EY158" s="231">
        <v>134972.79999999999</v>
      </c>
      <c r="EZ158" s="229">
        <v>0.11899999999999999</v>
      </c>
      <c r="FA158" s="229">
        <v>0</v>
      </c>
      <c r="FB158" s="227" t="s">
        <v>567</v>
      </c>
      <c r="FC158">
        <f t="shared" si="3"/>
        <v>0</v>
      </c>
    </row>
    <row r="159" spans="1:159" ht="17.25" thickBot="1" x14ac:dyDescent="0.3">
      <c r="A159" s="226">
        <v>45860</v>
      </c>
      <c r="B159" s="227" t="s">
        <v>181</v>
      </c>
      <c r="C159" s="227" t="s">
        <v>566</v>
      </c>
      <c r="D159" s="228">
        <v>25</v>
      </c>
      <c r="E159" s="228">
        <v>9</v>
      </c>
      <c r="F159" s="231">
        <v>68212.600000000006</v>
      </c>
      <c r="G159" s="231">
        <v>68591.600000000006</v>
      </c>
      <c r="H159" s="228">
        <v>-379</v>
      </c>
      <c r="I159" s="229">
        <v>-5.4999999999999997E-3</v>
      </c>
      <c r="J159" s="231">
        <v>68253.899999999994</v>
      </c>
      <c r="K159" s="231">
        <v>68503.149999999994</v>
      </c>
      <c r="L159" s="228">
        <v>-249.25</v>
      </c>
      <c r="M159" s="229">
        <v>-3.5999999999999999E-3</v>
      </c>
      <c r="N159" s="231">
        <v>68212.600000000006</v>
      </c>
      <c r="O159" s="231">
        <v>68591.600000000006</v>
      </c>
      <c r="P159" s="228">
        <v>-379</v>
      </c>
      <c r="Q159" s="229">
        <v>-5.4999999999999997E-3</v>
      </c>
      <c r="R159" s="231">
        <v>68582</v>
      </c>
      <c r="S159" s="231">
        <v>68960.600000000006</v>
      </c>
      <c r="T159" s="228">
        <v>-378.6</v>
      </c>
      <c r="U159" s="229">
        <v>-5.4999999999999997E-3</v>
      </c>
      <c r="V159" s="228">
        <v>0</v>
      </c>
      <c r="W159" s="228">
        <v>0</v>
      </c>
      <c r="X159" s="228">
        <v>0</v>
      </c>
      <c r="Y159" s="229">
        <v>0</v>
      </c>
      <c r="Z159" s="228">
        <v>-41.3</v>
      </c>
      <c r="AA159" s="228">
        <v>88.45</v>
      </c>
      <c r="AB159" s="228">
        <v>-129.75</v>
      </c>
      <c r="AC159" s="229">
        <v>-5.9999999999999995E-4</v>
      </c>
      <c r="AD159" s="228">
        <v>-41.3</v>
      </c>
      <c r="AE159" s="228">
        <v>88.45</v>
      </c>
      <c r="AF159" s="228">
        <v>-129.75</v>
      </c>
      <c r="AG159" s="229">
        <v>-5.9999999999999995E-4</v>
      </c>
      <c r="AH159" s="228">
        <v>328.1</v>
      </c>
      <c r="AI159" s="228">
        <v>457.45</v>
      </c>
      <c r="AJ159" s="228">
        <v>-129.35</v>
      </c>
      <c r="AK159" s="229">
        <v>4.7999999999999996E-3</v>
      </c>
      <c r="AL159" s="228">
        <v>0</v>
      </c>
      <c r="AM159" s="228">
        <v>0</v>
      </c>
      <c r="AN159" s="228">
        <v>0</v>
      </c>
      <c r="AO159" s="229">
        <v>0</v>
      </c>
      <c r="AP159" s="231">
        <v>68369.13</v>
      </c>
      <c r="AQ159" s="231">
        <v>68698.259999999995</v>
      </c>
      <c r="AR159" s="228">
        <v>0</v>
      </c>
      <c r="AS159" s="228">
        <v>63</v>
      </c>
      <c r="AT159" s="228">
        <v>43</v>
      </c>
      <c r="AU159" s="228">
        <v>20</v>
      </c>
      <c r="AV159" s="229">
        <v>0.46610000000000001</v>
      </c>
      <c r="AW159" s="228">
        <v>47</v>
      </c>
      <c r="AX159" s="228">
        <v>37</v>
      </c>
      <c r="AY159" s="228">
        <v>10</v>
      </c>
      <c r="AZ159" s="229">
        <v>0.27189999999999998</v>
      </c>
      <c r="BA159" s="228">
        <v>16</v>
      </c>
      <c r="BB159" s="228">
        <v>6</v>
      </c>
      <c r="BC159" s="228">
        <v>10</v>
      </c>
      <c r="BD159" s="229">
        <v>1.7059</v>
      </c>
      <c r="BE159" s="228">
        <v>0</v>
      </c>
      <c r="BF159" s="228">
        <v>0</v>
      </c>
      <c r="BG159" s="228">
        <v>0</v>
      </c>
      <c r="BH159" s="229">
        <v>0</v>
      </c>
      <c r="BI159" s="228">
        <v>49</v>
      </c>
      <c r="BJ159" s="228">
        <v>71</v>
      </c>
      <c r="BK159" s="228">
        <v>-22</v>
      </c>
      <c r="BL159" s="229">
        <v>-0.31340000000000001</v>
      </c>
      <c r="BM159" s="228">
        <v>18</v>
      </c>
      <c r="BN159" s="228">
        <v>32</v>
      </c>
      <c r="BO159" s="228">
        <v>-14</v>
      </c>
      <c r="BP159" s="229">
        <v>-0.43919999999999998</v>
      </c>
      <c r="BQ159" s="228">
        <v>130</v>
      </c>
      <c r="BR159" s="228">
        <v>146</v>
      </c>
      <c r="BS159" s="228">
        <v>-17</v>
      </c>
      <c r="BT159" s="229">
        <v>-0.11310000000000001</v>
      </c>
      <c r="BU159" s="228">
        <v>0</v>
      </c>
      <c r="BV159" s="228">
        <v>0</v>
      </c>
      <c r="BW159" s="228">
        <v>0</v>
      </c>
      <c r="BX159" s="229">
        <v>0</v>
      </c>
      <c r="BY159" s="228">
        <v>148</v>
      </c>
      <c r="BZ159" s="228">
        <v>158</v>
      </c>
      <c r="CA159" s="228">
        <v>-11</v>
      </c>
      <c r="CB159" s="229">
        <v>-6.6699999999999995E-2</v>
      </c>
      <c r="CC159" s="228">
        <v>122</v>
      </c>
      <c r="CD159" s="228">
        <v>135</v>
      </c>
      <c r="CE159" s="228">
        <v>-12</v>
      </c>
      <c r="CF159" s="229">
        <v>-9.2499999999999999E-2</v>
      </c>
      <c r="CG159" s="228">
        <v>26</v>
      </c>
      <c r="CH159" s="228">
        <v>24</v>
      </c>
      <c r="CI159" s="228">
        <v>2</v>
      </c>
      <c r="CJ159" s="229">
        <v>7.9100000000000004E-2</v>
      </c>
      <c r="CK159" s="228">
        <v>0</v>
      </c>
      <c r="CL159" s="228">
        <v>0</v>
      </c>
      <c r="CM159" s="228">
        <v>0</v>
      </c>
      <c r="CN159" s="229">
        <v>0</v>
      </c>
      <c r="CO159" s="228">
        <v>68</v>
      </c>
      <c r="CP159" s="228">
        <v>73</v>
      </c>
      <c r="CQ159" s="228">
        <v>-5</v>
      </c>
      <c r="CR159" s="229">
        <v>-7.4399999999999994E-2</v>
      </c>
      <c r="CS159" s="228">
        <v>24</v>
      </c>
      <c r="CT159" s="228">
        <v>24</v>
      </c>
      <c r="CU159" s="228">
        <v>0</v>
      </c>
      <c r="CV159" s="229">
        <v>-1.41E-2</v>
      </c>
      <c r="CW159" s="228">
        <v>240</v>
      </c>
      <c r="CX159" s="228">
        <v>256</v>
      </c>
      <c r="CY159" s="228">
        <v>-16</v>
      </c>
      <c r="CZ159" s="229">
        <v>-6.4000000000000001E-2</v>
      </c>
      <c r="DA159" s="228">
        <v>11.16</v>
      </c>
      <c r="DB159" s="228">
        <v>11.82</v>
      </c>
      <c r="DC159" s="228">
        <v>-0.66</v>
      </c>
      <c r="DD159" s="228">
        <v>-0.66</v>
      </c>
      <c r="DE159" s="228">
        <v>23.25</v>
      </c>
      <c r="DF159" s="228">
        <v>23.3</v>
      </c>
      <c r="DG159" s="228">
        <v>-12.09</v>
      </c>
      <c r="DH159" s="228">
        <v>-0.05</v>
      </c>
      <c r="DI159" s="228">
        <v>11.16</v>
      </c>
      <c r="DJ159" s="228">
        <v>11.59</v>
      </c>
      <c r="DK159" s="228">
        <v>-0.43</v>
      </c>
      <c r="DL159" s="228">
        <v>-0.43</v>
      </c>
      <c r="DM159" s="228">
        <v>11.15</v>
      </c>
      <c r="DN159" s="228">
        <v>12.32</v>
      </c>
      <c r="DO159" s="228">
        <v>-1.17</v>
      </c>
      <c r="DP159" s="228">
        <v>-1.17</v>
      </c>
      <c r="DQ159" s="228">
        <v>0.35</v>
      </c>
      <c r="DR159" s="228">
        <v>0.33</v>
      </c>
      <c r="DS159" s="228">
        <v>0.02</v>
      </c>
      <c r="DT159" s="229">
        <v>6.0600000000000001E-2</v>
      </c>
      <c r="DU159" s="231">
        <v>69000</v>
      </c>
      <c r="DV159" s="231">
        <v>68000</v>
      </c>
      <c r="DW159" s="228">
        <v>0.37</v>
      </c>
      <c r="DX159" s="228">
        <v>0.45</v>
      </c>
      <c r="DY159" s="228">
        <v>-0.08</v>
      </c>
      <c r="DZ159" s="229">
        <v>-0.17780000000000001</v>
      </c>
      <c r="EA159" s="229">
        <v>0.17299999999999999</v>
      </c>
      <c r="EB159" s="230">
        <v>3475</v>
      </c>
      <c r="EC159" s="229">
        <v>5.4000000000000003E-3</v>
      </c>
      <c r="ED159" s="229">
        <v>0.17299999999999999</v>
      </c>
      <c r="EE159" s="228">
        <v>329.13</v>
      </c>
      <c r="EF159" s="229">
        <v>4.7999999999999996E-3</v>
      </c>
      <c r="EG159" s="228">
        <v>0</v>
      </c>
      <c r="EH159" s="228">
        <v>0</v>
      </c>
      <c r="EI159" s="229">
        <v>0</v>
      </c>
      <c r="EJ159" s="229">
        <v>0</v>
      </c>
      <c r="EK159" s="228">
        <v>49.9</v>
      </c>
      <c r="EL159" s="228">
        <v>18.260000000000002</v>
      </c>
      <c r="EM159" s="228">
        <v>62.98</v>
      </c>
      <c r="EN159" s="228">
        <v>0</v>
      </c>
      <c r="EO159" s="228">
        <v>131.13999999999999</v>
      </c>
      <c r="EP159" s="228">
        <v>147.93</v>
      </c>
      <c r="EQ159" s="228">
        <v>-16.8</v>
      </c>
      <c r="ER159" s="229">
        <v>-0.1135</v>
      </c>
      <c r="ES159" s="228">
        <v>68.819999999999993</v>
      </c>
      <c r="ET159" s="228">
        <v>23.87</v>
      </c>
      <c r="EU159" s="228">
        <v>147.99</v>
      </c>
      <c r="EV159" s="228">
        <v>0</v>
      </c>
      <c r="EW159" s="228">
        <v>240.69</v>
      </c>
      <c r="EX159" s="228">
        <v>258.08999999999997</v>
      </c>
      <c r="EY159" s="228">
        <v>-17.399999999999999</v>
      </c>
      <c r="EZ159" s="229">
        <v>-6.7400000000000002E-2</v>
      </c>
      <c r="FA159" s="229">
        <v>0</v>
      </c>
      <c r="FB159" s="227" t="s">
        <v>568</v>
      </c>
      <c r="FC159">
        <f t="shared" si="3"/>
        <v>0</v>
      </c>
    </row>
    <row r="160" spans="1:159" ht="17.25" thickBot="1" x14ac:dyDescent="0.3">
      <c r="A160" s="226">
        <v>45860</v>
      </c>
      <c r="B160" s="227" t="s">
        <v>227</v>
      </c>
      <c r="C160" s="227" t="s">
        <v>267</v>
      </c>
      <c r="D160" s="228">
        <v>13500</v>
      </c>
      <c r="E160" s="228">
        <v>9</v>
      </c>
      <c r="F160" s="228">
        <v>72.38</v>
      </c>
      <c r="G160" s="228">
        <v>72.17</v>
      </c>
      <c r="H160" s="228">
        <v>0.21</v>
      </c>
      <c r="I160" s="229">
        <v>2.8999999999999998E-3</v>
      </c>
      <c r="J160" s="228">
        <v>72.14</v>
      </c>
      <c r="K160" s="228">
        <v>71.91</v>
      </c>
      <c r="L160" s="228">
        <v>0.23</v>
      </c>
      <c r="M160" s="229">
        <v>3.2000000000000002E-3</v>
      </c>
      <c r="N160" s="228">
        <v>72.38</v>
      </c>
      <c r="O160" s="228">
        <v>72.17</v>
      </c>
      <c r="P160" s="228">
        <v>0.21</v>
      </c>
      <c r="Q160" s="229">
        <v>2.8999999999999998E-3</v>
      </c>
      <c r="R160" s="228">
        <v>72.31</v>
      </c>
      <c r="S160" s="228">
        <v>72.150000000000006</v>
      </c>
      <c r="T160" s="228">
        <v>0.16</v>
      </c>
      <c r="U160" s="229">
        <v>2.2000000000000001E-3</v>
      </c>
      <c r="V160" s="228">
        <v>0</v>
      </c>
      <c r="W160" s="228">
        <v>0</v>
      </c>
      <c r="X160" s="228">
        <v>0</v>
      </c>
      <c r="Y160" s="229">
        <v>0</v>
      </c>
      <c r="Z160" s="228">
        <v>0.24</v>
      </c>
      <c r="AA160" s="228">
        <v>0.26</v>
      </c>
      <c r="AB160" s="228">
        <v>-0.02</v>
      </c>
      <c r="AC160" s="229">
        <v>3.3E-3</v>
      </c>
      <c r="AD160" s="228">
        <v>0.24</v>
      </c>
      <c r="AE160" s="228">
        <v>0.26</v>
      </c>
      <c r="AF160" s="228">
        <v>-0.02</v>
      </c>
      <c r="AG160" s="229">
        <v>3.3E-3</v>
      </c>
      <c r="AH160" s="228">
        <v>0.17</v>
      </c>
      <c r="AI160" s="228">
        <v>0.24</v>
      </c>
      <c r="AJ160" s="228">
        <v>-7.0000000000000007E-2</v>
      </c>
      <c r="AK160" s="229">
        <v>2.3999999999999998E-3</v>
      </c>
      <c r="AL160" s="228">
        <v>0</v>
      </c>
      <c r="AM160" s="228">
        <v>0</v>
      </c>
      <c r="AN160" s="228">
        <v>0</v>
      </c>
      <c r="AO160" s="229">
        <v>0</v>
      </c>
      <c r="AP160" s="228">
        <v>72.459999999999994</v>
      </c>
      <c r="AQ160" s="228">
        <v>72.36</v>
      </c>
      <c r="AR160" s="228">
        <v>0</v>
      </c>
      <c r="AS160" s="228">
        <v>380</v>
      </c>
      <c r="AT160" s="228">
        <v>463</v>
      </c>
      <c r="AU160" s="228">
        <v>-83</v>
      </c>
      <c r="AV160" s="229">
        <v>-0.17960000000000001</v>
      </c>
      <c r="AW160" s="228">
        <v>271</v>
      </c>
      <c r="AX160" s="228">
        <v>374</v>
      </c>
      <c r="AY160" s="228">
        <v>-103</v>
      </c>
      <c r="AZ160" s="229">
        <v>-0.27610000000000001</v>
      </c>
      <c r="BA160" s="228">
        <v>98</v>
      </c>
      <c r="BB160" s="228">
        <v>66</v>
      </c>
      <c r="BC160" s="228">
        <v>32</v>
      </c>
      <c r="BD160" s="229">
        <v>0.47789999999999999</v>
      </c>
      <c r="BE160" s="228">
        <v>0</v>
      </c>
      <c r="BF160" s="228">
        <v>0</v>
      </c>
      <c r="BG160" s="228">
        <v>0</v>
      </c>
      <c r="BH160" s="229">
        <v>0</v>
      </c>
      <c r="BI160" s="228">
        <v>969</v>
      </c>
      <c r="BJ160" s="228">
        <v>882</v>
      </c>
      <c r="BK160" s="228">
        <v>87</v>
      </c>
      <c r="BL160" s="229">
        <v>9.8299999999999998E-2</v>
      </c>
      <c r="BM160" s="228">
        <v>483</v>
      </c>
      <c r="BN160" s="228">
        <v>451</v>
      </c>
      <c r="BO160" s="228">
        <v>31</v>
      </c>
      <c r="BP160" s="229">
        <v>6.9800000000000001E-2</v>
      </c>
      <c r="BQ160" s="230">
        <v>1831</v>
      </c>
      <c r="BR160" s="230">
        <v>1796</v>
      </c>
      <c r="BS160" s="228">
        <v>35</v>
      </c>
      <c r="BT160" s="229">
        <v>1.9599999999999999E-2</v>
      </c>
      <c r="BU160" s="230">
        <v>26483048</v>
      </c>
      <c r="BV160" s="230">
        <v>29622715</v>
      </c>
      <c r="BW160" s="230">
        <v>-3139667</v>
      </c>
      <c r="BX160" s="229">
        <v>-0.106</v>
      </c>
      <c r="BY160" s="230">
        <v>1997</v>
      </c>
      <c r="BZ160" s="230">
        <v>1962</v>
      </c>
      <c r="CA160" s="228">
        <v>35</v>
      </c>
      <c r="CB160" s="229">
        <v>1.7899999999999999E-2</v>
      </c>
      <c r="CC160" s="230">
        <v>1709</v>
      </c>
      <c r="CD160" s="230">
        <v>1724</v>
      </c>
      <c r="CE160" s="228">
        <v>-15</v>
      </c>
      <c r="CF160" s="229">
        <v>-8.5000000000000006E-3</v>
      </c>
      <c r="CG160" s="228">
        <v>232</v>
      </c>
      <c r="CH160" s="228">
        <v>185</v>
      </c>
      <c r="CI160" s="228">
        <v>47</v>
      </c>
      <c r="CJ160" s="229">
        <v>0.25469999999999998</v>
      </c>
      <c r="CK160" s="228">
        <v>0</v>
      </c>
      <c r="CL160" s="228">
        <v>0</v>
      </c>
      <c r="CM160" s="228">
        <v>0</v>
      </c>
      <c r="CN160" s="229">
        <v>0</v>
      </c>
      <c r="CO160" s="228">
        <v>991</v>
      </c>
      <c r="CP160" s="228">
        <v>992</v>
      </c>
      <c r="CQ160" s="228">
        <v>-2</v>
      </c>
      <c r="CR160" s="229">
        <v>-1.9E-3</v>
      </c>
      <c r="CS160" s="228">
        <v>736</v>
      </c>
      <c r="CT160" s="228">
        <v>739</v>
      </c>
      <c r="CU160" s="228">
        <v>-4</v>
      </c>
      <c r="CV160" s="229">
        <v>-4.7999999999999996E-3</v>
      </c>
      <c r="CW160" s="230">
        <v>3723</v>
      </c>
      <c r="CX160" s="230">
        <v>3693</v>
      </c>
      <c r="CY160" s="228">
        <v>30</v>
      </c>
      <c r="CZ160" s="229">
        <v>8.0000000000000002E-3</v>
      </c>
      <c r="DA160" s="228">
        <v>28.85</v>
      </c>
      <c r="DB160" s="228">
        <v>29.34</v>
      </c>
      <c r="DC160" s="228">
        <v>-0.49</v>
      </c>
      <c r="DD160" s="228">
        <v>-0.49</v>
      </c>
      <c r="DE160" s="228">
        <v>42.94</v>
      </c>
      <c r="DF160" s="228">
        <v>43.05</v>
      </c>
      <c r="DG160" s="228">
        <v>-14.09</v>
      </c>
      <c r="DH160" s="228">
        <v>-0.11</v>
      </c>
      <c r="DI160" s="228">
        <v>28.15</v>
      </c>
      <c r="DJ160" s="228">
        <v>28.77</v>
      </c>
      <c r="DK160" s="228">
        <v>-0.62</v>
      </c>
      <c r="DL160" s="228">
        <v>-0.62</v>
      </c>
      <c r="DM160" s="228">
        <v>30.27</v>
      </c>
      <c r="DN160" s="228">
        <v>30.45</v>
      </c>
      <c r="DO160" s="228">
        <v>-0.18</v>
      </c>
      <c r="DP160" s="228">
        <v>-0.18</v>
      </c>
      <c r="DQ160" s="228">
        <v>0.74</v>
      </c>
      <c r="DR160" s="228">
        <v>0.74</v>
      </c>
      <c r="DS160" s="228">
        <v>0</v>
      </c>
      <c r="DT160" s="229">
        <v>0</v>
      </c>
      <c r="DU160" s="228">
        <v>75</v>
      </c>
      <c r="DV160" s="228">
        <v>60</v>
      </c>
      <c r="DW160" s="228">
        <v>0.5</v>
      </c>
      <c r="DX160" s="228">
        <v>0.51</v>
      </c>
      <c r="DY160" s="228">
        <v>-0.01</v>
      </c>
      <c r="DZ160" s="229">
        <v>-1.9599999999999999E-2</v>
      </c>
      <c r="EA160" s="229">
        <v>0.1164</v>
      </c>
      <c r="EB160" s="230">
        <v>25596000</v>
      </c>
      <c r="EC160" s="229">
        <v>-1E-3</v>
      </c>
      <c r="ED160" s="229">
        <v>0.1164</v>
      </c>
      <c r="EE160" s="228">
        <v>-0.1</v>
      </c>
      <c r="EF160" s="229">
        <v>-1.4E-3</v>
      </c>
      <c r="EG160" s="230">
        <v>12335085</v>
      </c>
      <c r="EH160" s="230">
        <v>14140683</v>
      </c>
      <c r="EI160" s="229">
        <v>-0.12770000000000001</v>
      </c>
      <c r="EJ160" s="229">
        <v>0.46579999999999999</v>
      </c>
      <c r="EK160" s="231">
        <v>1006.4</v>
      </c>
      <c r="EL160" s="228">
        <v>476.9</v>
      </c>
      <c r="EM160" s="228">
        <v>379.77</v>
      </c>
      <c r="EN160" s="228">
        <v>0</v>
      </c>
      <c r="EO160" s="231">
        <v>1863.07</v>
      </c>
      <c r="EP160" s="231">
        <v>1817.64</v>
      </c>
      <c r="EQ160" s="228">
        <v>45.43</v>
      </c>
      <c r="ER160" s="229">
        <v>2.5000000000000001E-2</v>
      </c>
      <c r="ES160" s="231">
        <v>1019.57</v>
      </c>
      <c r="ET160" s="228">
        <v>701.44</v>
      </c>
      <c r="EU160" s="231">
        <v>1996.39</v>
      </c>
      <c r="EV160" s="231">
        <v>689383367</v>
      </c>
      <c r="EW160" s="231">
        <v>3717.41</v>
      </c>
      <c r="EX160" s="231">
        <v>3680.19</v>
      </c>
      <c r="EY160" s="228">
        <v>37.22</v>
      </c>
      <c r="EZ160" s="229">
        <v>1.01E-2</v>
      </c>
      <c r="FA160" s="229">
        <v>0.74609999999999999</v>
      </c>
      <c r="FB160" s="227" t="s">
        <v>555</v>
      </c>
      <c r="FC160">
        <f t="shared" si="3"/>
        <v>0</v>
      </c>
    </row>
    <row r="161" spans="1:159" ht="17.25" thickBot="1" x14ac:dyDescent="0.3">
      <c r="A161" s="226">
        <v>45860</v>
      </c>
      <c r="B161" s="227" t="s">
        <v>161</v>
      </c>
      <c r="C161" s="227" t="s">
        <v>268</v>
      </c>
      <c r="D161" s="228">
        <v>1500</v>
      </c>
      <c r="E161" s="228">
        <v>9</v>
      </c>
      <c r="F161" s="228">
        <v>341.3</v>
      </c>
      <c r="G161" s="228">
        <v>341.75</v>
      </c>
      <c r="H161" s="228">
        <v>-0.45</v>
      </c>
      <c r="I161" s="229">
        <v>-1.2999999999999999E-3</v>
      </c>
      <c r="J161" s="228">
        <v>340.85</v>
      </c>
      <c r="K161" s="228">
        <v>341.55</v>
      </c>
      <c r="L161" s="228">
        <v>-0.7</v>
      </c>
      <c r="M161" s="229">
        <v>-2E-3</v>
      </c>
      <c r="N161" s="228">
        <v>341.3</v>
      </c>
      <c r="O161" s="228">
        <v>341.75</v>
      </c>
      <c r="P161" s="228">
        <v>-0.45</v>
      </c>
      <c r="Q161" s="229">
        <v>-1.2999999999999999E-3</v>
      </c>
      <c r="R161" s="228">
        <v>339.8</v>
      </c>
      <c r="S161" s="228">
        <v>340.2</v>
      </c>
      <c r="T161" s="228">
        <v>-0.4</v>
      </c>
      <c r="U161" s="229">
        <v>-1.1999999999999999E-3</v>
      </c>
      <c r="V161" s="228">
        <v>0</v>
      </c>
      <c r="W161" s="228">
        <v>0</v>
      </c>
      <c r="X161" s="228">
        <v>0</v>
      </c>
      <c r="Y161" s="229">
        <v>0</v>
      </c>
      <c r="Z161" s="228">
        <v>0.45</v>
      </c>
      <c r="AA161" s="228">
        <v>0.2</v>
      </c>
      <c r="AB161" s="228">
        <v>0.25</v>
      </c>
      <c r="AC161" s="229">
        <v>1.2999999999999999E-3</v>
      </c>
      <c r="AD161" s="228">
        <v>0.45</v>
      </c>
      <c r="AE161" s="228">
        <v>0.2</v>
      </c>
      <c r="AF161" s="228">
        <v>0.25</v>
      </c>
      <c r="AG161" s="229">
        <v>1.2999999999999999E-3</v>
      </c>
      <c r="AH161" s="228">
        <v>-1.05</v>
      </c>
      <c r="AI161" s="228">
        <v>-1.35</v>
      </c>
      <c r="AJ161" s="228">
        <v>0.3</v>
      </c>
      <c r="AK161" s="229">
        <v>-3.0999999999999999E-3</v>
      </c>
      <c r="AL161" s="228">
        <v>0</v>
      </c>
      <c r="AM161" s="228">
        <v>0</v>
      </c>
      <c r="AN161" s="228">
        <v>0</v>
      </c>
      <c r="AO161" s="229">
        <v>0</v>
      </c>
      <c r="AP161" s="228">
        <v>341.4</v>
      </c>
      <c r="AQ161" s="228">
        <v>339.94</v>
      </c>
      <c r="AR161" s="228">
        <v>0</v>
      </c>
      <c r="AS161" s="228">
        <v>210</v>
      </c>
      <c r="AT161" s="228">
        <v>249</v>
      </c>
      <c r="AU161" s="228">
        <v>-39</v>
      </c>
      <c r="AV161" s="229">
        <v>-0.157</v>
      </c>
      <c r="AW161" s="228">
        <v>166</v>
      </c>
      <c r="AX161" s="228">
        <v>209</v>
      </c>
      <c r="AY161" s="228">
        <v>-43</v>
      </c>
      <c r="AZ161" s="229">
        <v>-0.20649999999999999</v>
      </c>
      <c r="BA161" s="228">
        <v>43</v>
      </c>
      <c r="BB161" s="228">
        <v>38</v>
      </c>
      <c r="BC161" s="228">
        <v>5</v>
      </c>
      <c r="BD161" s="229">
        <v>0.1346</v>
      </c>
      <c r="BE161" s="228">
        <v>0</v>
      </c>
      <c r="BF161" s="228">
        <v>0</v>
      </c>
      <c r="BG161" s="228">
        <v>0</v>
      </c>
      <c r="BH161" s="229">
        <v>0</v>
      </c>
      <c r="BI161" s="228">
        <v>978</v>
      </c>
      <c r="BJ161" s="230">
        <v>1185</v>
      </c>
      <c r="BK161" s="228">
        <v>-207</v>
      </c>
      <c r="BL161" s="229">
        <v>-0.17469999999999999</v>
      </c>
      <c r="BM161" s="228">
        <v>433</v>
      </c>
      <c r="BN161" s="228">
        <v>495</v>
      </c>
      <c r="BO161" s="228">
        <v>-62</v>
      </c>
      <c r="BP161" s="229">
        <v>-0.12570000000000001</v>
      </c>
      <c r="BQ161" s="230">
        <v>1621</v>
      </c>
      <c r="BR161" s="230">
        <v>1930</v>
      </c>
      <c r="BS161" s="228">
        <v>-308</v>
      </c>
      <c r="BT161" s="229">
        <v>-0.1598</v>
      </c>
      <c r="BU161" s="230">
        <v>5020447</v>
      </c>
      <c r="BV161" s="230">
        <v>4758246</v>
      </c>
      <c r="BW161" s="230">
        <v>262201</v>
      </c>
      <c r="BX161" s="229">
        <v>5.5100000000000003E-2</v>
      </c>
      <c r="BY161" s="230">
        <v>3957</v>
      </c>
      <c r="BZ161" s="230">
        <v>3977</v>
      </c>
      <c r="CA161" s="228">
        <v>-20</v>
      </c>
      <c r="CB161" s="229">
        <v>-5.1000000000000004E-3</v>
      </c>
      <c r="CC161" s="230">
        <v>2932</v>
      </c>
      <c r="CD161" s="230">
        <v>2963</v>
      </c>
      <c r="CE161" s="228">
        <v>-31</v>
      </c>
      <c r="CF161" s="229">
        <v>-1.04E-2</v>
      </c>
      <c r="CG161" s="230">
        <v>1009</v>
      </c>
      <c r="CH161" s="228">
        <v>999</v>
      </c>
      <c r="CI161" s="228">
        <v>10</v>
      </c>
      <c r="CJ161" s="229">
        <v>0.01</v>
      </c>
      <c r="CK161" s="228">
        <v>0</v>
      </c>
      <c r="CL161" s="228">
        <v>0</v>
      </c>
      <c r="CM161" s="228">
        <v>0</v>
      </c>
      <c r="CN161" s="229">
        <v>0</v>
      </c>
      <c r="CO161" s="230">
        <v>2764</v>
      </c>
      <c r="CP161" s="230">
        <v>2732</v>
      </c>
      <c r="CQ161" s="228">
        <v>32</v>
      </c>
      <c r="CR161" s="229">
        <v>1.18E-2</v>
      </c>
      <c r="CS161" s="228">
        <v>900</v>
      </c>
      <c r="CT161" s="228">
        <v>869</v>
      </c>
      <c r="CU161" s="228">
        <v>31</v>
      </c>
      <c r="CV161" s="229">
        <v>3.5799999999999998E-2</v>
      </c>
      <c r="CW161" s="230">
        <v>7621</v>
      </c>
      <c r="CX161" s="230">
        <v>7578</v>
      </c>
      <c r="CY161" s="228">
        <v>43</v>
      </c>
      <c r="CZ161" s="229">
        <v>5.7000000000000002E-3</v>
      </c>
      <c r="DA161" s="228">
        <v>14.92</v>
      </c>
      <c r="DB161" s="228">
        <v>15.11</v>
      </c>
      <c r="DC161" s="228">
        <v>-0.19</v>
      </c>
      <c r="DD161" s="228">
        <v>-0.19</v>
      </c>
      <c r="DE161" s="228">
        <v>31.63</v>
      </c>
      <c r="DF161" s="228">
        <v>31.7</v>
      </c>
      <c r="DG161" s="228">
        <v>-16.71</v>
      </c>
      <c r="DH161" s="228">
        <v>-7.0000000000000007E-2</v>
      </c>
      <c r="DI161" s="228">
        <v>14.35</v>
      </c>
      <c r="DJ161" s="228">
        <v>14.55</v>
      </c>
      <c r="DK161" s="228">
        <v>-0.2</v>
      </c>
      <c r="DL161" s="228">
        <v>-0.2</v>
      </c>
      <c r="DM161" s="228">
        <v>16.21</v>
      </c>
      <c r="DN161" s="228">
        <v>16.440000000000001</v>
      </c>
      <c r="DO161" s="228">
        <v>-0.23</v>
      </c>
      <c r="DP161" s="228">
        <v>-0.23</v>
      </c>
      <c r="DQ161" s="228">
        <v>0.33</v>
      </c>
      <c r="DR161" s="228">
        <v>0.32</v>
      </c>
      <c r="DS161" s="228">
        <v>0.01</v>
      </c>
      <c r="DT161" s="229">
        <v>3.1300000000000001E-2</v>
      </c>
      <c r="DU161" s="228">
        <v>345</v>
      </c>
      <c r="DV161" s="228">
        <v>345</v>
      </c>
      <c r="DW161" s="228">
        <v>0.44</v>
      </c>
      <c r="DX161" s="228">
        <v>0.42</v>
      </c>
      <c r="DY161" s="228">
        <v>0.02</v>
      </c>
      <c r="DZ161" s="229">
        <v>4.7600000000000003E-2</v>
      </c>
      <c r="EA161" s="229">
        <v>0.255</v>
      </c>
      <c r="EB161" s="230">
        <v>29272500</v>
      </c>
      <c r="EC161" s="229">
        <v>-4.4000000000000003E-3</v>
      </c>
      <c r="ED161" s="229">
        <v>0.255</v>
      </c>
      <c r="EE161" s="228">
        <v>-1.46</v>
      </c>
      <c r="EF161" s="229">
        <v>-4.3E-3</v>
      </c>
      <c r="EG161" s="230">
        <v>3295352</v>
      </c>
      <c r="EH161" s="230">
        <v>3184143</v>
      </c>
      <c r="EI161" s="229">
        <v>3.49E-2</v>
      </c>
      <c r="EJ161" s="229">
        <v>0.65639999999999998</v>
      </c>
      <c r="EK161" s="231">
        <v>1000.78</v>
      </c>
      <c r="EL161" s="228">
        <v>432.35</v>
      </c>
      <c r="EM161" s="228">
        <v>209.93</v>
      </c>
      <c r="EN161" s="228">
        <v>0</v>
      </c>
      <c r="EO161" s="231">
        <v>1643.05</v>
      </c>
      <c r="EP161" s="231">
        <v>1957.17</v>
      </c>
      <c r="EQ161" s="228">
        <v>-314.11</v>
      </c>
      <c r="ER161" s="229">
        <v>-0.1605</v>
      </c>
      <c r="ES161" s="231">
        <v>2825.92</v>
      </c>
      <c r="ET161" s="228">
        <v>888.64</v>
      </c>
      <c r="EU161" s="231">
        <v>3952.09</v>
      </c>
      <c r="EV161" s="231">
        <v>948263976</v>
      </c>
      <c r="EW161" s="231">
        <v>7666.65</v>
      </c>
      <c r="EX161" s="231">
        <v>7627.81</v>
      </c>
      <c r="EY161" s="228">
        <v>38.840000000000003</v>
      </c>
      <c r="EZ161" s="229">
        <v>5.1000000000000004E-3</v>
      </c>
      <c r="FA161" s="229">
        <v>0.23549999999999999</v>
      </c>
      <c r="FB161" s="227" t="s">
        <v>568</v>
      </c>
      <c r="FC161">
        <f t="shared" si="3"/>
        <v>0</v>
      </c>
    </row>
    <row r="162" spans="1:159" ht="17.25" thickBot="1" x14ac:dyDescent="0.3">
      <c r="A162" s="226">
        <v>45860</v>
      </c>
      <c r="B162" s="227" t="s">
        <v>616</v>
      </c>
      <c r="C162" s="227" t="s">
        <v>614</v>
      </c>
      <c r="D162" s="228">
        <v>3125</v>
      </c>
      <c r="E162" s="228">
        <v>9</v>
      </c>
      <c r="F162" s="228">
        <v>220.1</v>
      </c>
      <c r="G162" s="228">
        <v>215.49</v>
      </c>
      <c r="H162" s="228">
        <v>4.6100000000000003</v>
      </c>
      <c r="I162" s="229">
        <v>2.1399999999999999E-2</v>
      </c>
      <c r="J162" s="228">
        <v>220.03</v>
      </c>
      <c r="K162" s="228">
        <v>215.03</v>
      </c>
      <c r="L162" s="228">
        <v>5</v>
      </c>
      <c r="M162" s="229">
        <v>2.3300000000000001E-2</v>
      </c>
      <c r="N162" s="228">
        <v>220.1</v>
      </c>
      <c r="O162" s="228">
        <v>215.49</v>
      </c>
      <c r="P162" s="228">
        <v>4.6100000000000003</v>
      </c>
      <c r="Q162" s="229">
        <v>2.1399999999999999E-2</v>
      </c>
      <c r="R162" s="228">
        <v>219.22</v>
      </c>
      <c r="S162" s="228">
        <v>214.92</v>
      </c>
      <c r="T162" s="228">
        <v>4.3</v>
      </c>
      <c r="U162" s="229">
        <v>0.02</v>
      </c>
      <c r="V162" s="228">
        <v>0</v>
      </c>
      <c r="W162" s="228">
        <v>0</v>
      </c>
      <c r="X162" s="228">
        <v>0</v>
      </c>
      <c r="Y162" s="229">
        <v>0</v>
      </c>
      <c r="Z162" s="228">
        <v>7.0000000000000007E-2</v>
      </c>
      <c r="AA162" s="228">
        <v>0.46</v>
      </c>
      <c r="AB162" s="228">
        <v>-0.39</v>
      </c>
      <c r="AC162" s="229">
        <v>2.9999999999999997E-4</v>
      </c>
      <c r="AD162" s="228">
        <v>7.0000000000000007E-2</v>
      </c>
      <c r="AE162" s="228">
        <v>0.46</v>
      </c>
      <c r="AF162" s="228">
        <v>-0.39</v>
      </c>
      <c r="AG162" s="229">
        <v>2.9999999999999997E-4</v>
      </c>
      <c r="AH162" s="228">
        <v>-0.81</v>
      </c>
      <c r="AI162" s="228">
        <v>-0.11</v>
      </c>
      <c r="AJ162" s="228">
        <v>-0.7</v>
      </c>
      <c r="AK162" s="229">
        <v>-3.7000000000000002E-3</v>
      </c>
      <c r="AL162" s="228">
        <v>0</v>
      </c>
      <c r="AM162" s="228">
        <v>0</v>
      </c>
      <c r="AN162" s="228">
        <v>0</v>
      </c>
      <c r="AO162" s="229">
        <v>0</v>
      </c>
      <c r="AP162" s="228">
        <v>219.33</v>
      </c>
      <c r="AQ162" s="228">
        <v>218.6</v>
      </c>
      <c r="AR162" s="228">
        <v>0</v>
      </c>
      <c r="AS162" s="228">
        <v>311</v>
      </c>
      <c r="AT162" s="228">
        <v>98</v>
      </c>
      <c r="AU162" s="228">
        <v>212</v>
      </c>
      <c r="AV162" s="229">
        <v>2.1600999999999999</v>
      </c>
      <c r="AW162" s="228">
        <v>275</v>
      </c>
      <c r="AX162" s="228">
        <v>87</v>
      </c>
      <c r="AY162" s="228">
        <v>188</v>
      </c>
      <c r="AZ162" s="229">
        <v>2.1636000000000002</v>
      </c>
      <c r="BA162" s="228">
        <v>34</v>
      </c>
      <c r="BB162" s="228">
        <v>10</v>
      </c>
      <c r="BC162" s="228">
        <v>23</v>
      </c>
      <c r="BD162" s="229">
        <v>2.2818999999999998</v>
      </c>
      <c r="BE162" s="228">
        <v>0</v>
      </c>
      <c r="BF162" s="228">
        <v>0</v>
      </c>
      <c r="BG162" s="228">
        <v>0</v>
      </c>
      <c r="BH162" s="229">
        <v>0</v>
      </c>
      <c r="BI162" s="230">
        <v>1627</v>
      </c>
      <c r="BJ162" s="228">
        <v>115</v>
      </c>
      <c r="BK162" s="230">
        <v>1513</v>
      </c>
      <c r="BL162" s="229">
        <v>13.1762</v>
      </c>
      <c r="BM162" s="228">
        <v>327</v>
      </c>
      <c r="BN162" s="228">
        <v>72</v>
      </c>
      <c r="BO162" s="228">
        <v>255</v>
      </c>
      <c r="BP162" s="229">
        <v>3.5575000000000001</v>
      </c>
      <c r="BQ162" s="230">
        <v>2265</v>
      </c>
      <c r="BR162" s="228">
        <v>285</v>
      </c>
      <c r="BS162" s="230">
        <v>1980</v>
      </c>
      <c r="BT162" s="229">
        <v>6.95</v>
      </c>
      <c r="BU162" s="230">
        <v>7529038</v>
      </c>
      <c r="BV162" s="230">
        <v>2146429</v>
      </c>
      <c r="BW162" s="230">
        <v>5382609</v>
      </c>
      <c r="BX162" s="229">
        <v>2.5076999999999998</v>
      </c>
      <c r="BY162" s="230">
        <v>1144</v>
      </c>
      <c r="BZ162" s="230">
        <v>1088</v>
      </c>
      <c r="CA162" s="228">
        <v>56</v>
      </c>
      <c r="CB162" s="229">
        <v>5.11E-2</v>
      </c>
      <c r="CC162" s="230">
        <v>1081</v>
      </c>
      <c r="CD162" s="230">
        <v>1035</v>
      </c>
      <c r="CE162" s="228">
        <v>47</v>
      </c>
      <c r="CF162" s="229">
        <v>4.5100000000000001E-2</v>
      </c>
      <c r="CG162" s="228">
        <v>58</v>
      </c>
      <c r="CH162" s="228">
        <v>49</v>
      </c>
      <c r="CI162" s="228">
        <v>9</v>
      </c>
      <c r="CJ162" s="229">
        <v>0.18029999999999999</v>
      </c>
      <c r="CK162" s="228">
        <v>0</v>
      </c>
      <c r="CL162" s="228">
        <v>0</v>
      </c>
      <c r="CM162" s="228">
        <v>0</v>
      </c>
      <c r="CN162" s="229">
        <v>0</v>
      </c>
      <c r="CO162" s="228">
        <v>470</v>
      </c>
      <c r="CP162" s="228">
        <v>289</v>
      </c>
      <c r="CQ162" s="228">
        <v>181</v>
      </c>
      <c r="CR162" s="229">
        <v>0.62780000000000002</v>
      </c>
      <c r="CS162" s="228">
        <v>252</v>
      </c>
      <c r="CT162" s="228">
        <v>224</v>
      </c>
      <c r="CU162" s="228">
        <v>29</v>
      </c>
      <c r="CV162" s="229">
        <v>0.12889999999999999</v>
      </c>
      <c r="CW162" s="230">
        <v>1866</v>
      </c>
      <c r="CX162" s="230">
        <v>1600</v>
      </c>
      <c r="CY162" s="228">
        <v>266</v>
      </c>
      <c r="CZ162" s="229">
        <v>0.16600000000000001</v>
      </c>
      <c r="DA162" s="228">
        <v>35.880000000000003</v>
      </c>
      <c r="DB162" s="228">
        <v>28.77</v>
      </c>
      <c r="DC162" s="228">
        <v>7.11</v>
      </c>
      <c r="DD162" s="228">
        <v>7.11</v>
      </c>
      <c r="DE162" s="228">
        <v>38.33</v>
      </c>
      <c r="DF162" s="228">
        <v>38.32</v>
      </c>
      <c r="DG162" s="228">
        <v>-2.4500000000000002</v>
      </c>
      <c r="DH162" s="228">
        <v>0.01</v>
      </c>
      <c r="DI162" s="228">
        <v>36.26</v>
      </c>
      <c r="DJ162" s="228">
        <v>28.81</v>
      </c>
      <c r="DK162" s="228">
        <v>7.45</v>
      </c>
      <c r="DL162" s="228">
        <v>7.45</v>
      </c>
      <c r="DM162" s="228">
        <v>34.020000000000003</v>
      </c>
      <c r="DN162" s="228">
        <v>28.71</v>
      </c>
      <c r="DO162" s="228">
        <v>5.31</v>
      </c>
      <c r="DP162" s="228">
        <v>5.31</v>
      </c>
      <c r="DQ162" s="228">
        <v>0.54</v>
      </c>
      <c r="DR162" s="228">
        <v>0.77</v>
      </c>
      <c r="DS162" s="228">
        <v>-0.23</v>
      </c>
      <c r="DT162" s="229">
        <v>-0.29870000000000002</v>
      </c>
      <c r="DU162" s="228">
        <v>230</v>
      </c>
      <c r="DV162" s="228">
        <v>210</v>
      </c>
      <c r="DW162" s="228">
        <v>0.2</v>
      </c>
      <c r="DX162" s="228">
        <v>0.63</v>
      </c>
      <c r="DY162" s="228">
        <v>-0.43</v>
      </c>
      <c r="DZ162" s="229">
        <v>-0.6825</v>
      </c>
      <c r="EA162" s="229">
        <v>5.04E-2</v>
      </c>
      <c r="EB162" s="230">
        <v>2218750</v>
      </c>
      <c r="EC162" s="229">
        <v>-4.0000000000000001E-3</v>
      </c>
      <c r="ED162" s="229">
        <v>5.04E-2</v>
      </c>
      <c r="EE162" s="228">
        <v>-0.73</v>
      </c>
      <c r="EF162" s="229">
        <v>-3.3E-3</v>
      </c>
      <c r="EG162" s="230">
        <v>2847237</v>
      </c>
      <c r="EH162" s="230">
        <v>882438</v>
      </c>
      <c r="EI162" s="229">
        <v>2.2265999999999999</v>
      </c>
      <c r="EJ162" s="229">
        <v>0.37819999999999998</v>
      </c>
      <c r="EK162" s="231">
        <v>1680.87</v>
      </c>
      <c r="EL162" s="228">
        <v>324.87</v>
      </c>
      <c r="EM162" s="228">
        <v>309.61</v>
      </c>
      <c r="EN162" s="228">
        <v>0</v>
      </c>
      <c r="EO162" s="231">
        <v>2315.34</v>
      </c>
      <c r="EP162" s="228">
        <v>281.24</v>
      </c>
      <c r="EQ162" s="231">
        <v>2034.11</v>
      </c>
      <c r="ER162" s="229">
        <v>7.2327000000000004</v>
      </c>
      <c r="ES162" s="228">
        <v>473.82</v>
      </c>
      <c r="ET162" s="228">
        <v>235.49</v>
      </c>
      <c r="EU162" s="231">
        <v>1143.3</v>
      </c>
      <c r="EV162" s="231">
        <v>273572068</v>
      </c>
      <c r="EW162" s="231">
        <v>1852.61</v>
      </c>
      <c r="EX162" s="231">
        <v>1555.33</v>
      </c>
      <c r="EY162" s="228">
        <v>297.27999999999997</v>
      </c>
      <c r="EZ162" s="229">
        <v>0.19109999999999999</v>
      </c>
      <c r="FA162" s="229">
        <v>0.30990000000000001</v>
      </c>
      <c r="FB162" s="227" t="s">
        <v>555</v>
      </c>
      <c r="FC162">
        <f t="shared" si="3"/>
        <v>0</v>
      </c>
    </row>
    <row r="163" spans="1:159" ht="17.25" thickBot="1" x14ac:dyDescent="0.3">
      <c r="A163" s="226">
        <v>45860</v>
      </c>
      <c r="B163" s="227" t="s">
        <v>206</v>
      </c>
      <c r="C163" s="227" t="s">
        <v>528</v>
      </c>
      <c r="D163" s="228">
        <v>350</v>
      </c>
      <c r="E163" s="228">
        <v>9</v>
      </c>
      <c r="F163" s="231">
        <v>1824.2</v>
      </c>
      <c r="G163" s="231">
        <v>1836.5</v>
      </c>
      <c r="H163" s="228">
        <v>-12.3</v>
      </c>
      <c r="I163" s="229">
        <v>-6.7000000000000002E-3</v>
      </c>
      <c r="J163" s="231">
        <v>1826.2</v>
      </c>
      <c r="K163" s="231">
        <v>1834.6</v>
      </c>
      <c r="L163" s="228">
        <v>-8.4</v>
      </c>
      <c r="M163" s="229">
        <v>-4.5999999999999999E-3</v>
      </c>
      <c r="N163" s="231">
        <v>1824.2</v>
      </c>
      <c r="O163" s="231">
        <v>1836.5</v>
      </c>
      <c r="P163" s="228">
        <v>-12.3</v>
      </c>
      <c r="Q163" s="229">
        <v>-6.7000000000000002E-3</v>
      </c>
      <c r="R163" s="231">
        <v>1813</v>
      </c>
      <c r="S163" s="231">
        <v>1831.7</v>
      </c>
      <c r="T163" s="228">
        <v>-18.7</v>
      </c>
      <c r="U163" s="229">
        <v>-1.0200000000000001E-2</v>
      </c>
      <c r="V163" s="228">
        <v>0</v>
      </c>
      <c r="W163" s="228">
        <v>0</v>
      </c>
      <c r="X163" s="228">
        <v>0</v>
      </c>
      <c r="Y163" s="229">
        <v>0</v>
      </c>
      <c r="Z163" s="228">
        <v>-2</v>
      </c>
      <c r="AA163" s="228">
        <v>1.9</v>
      </c>
      <c r="AB163" s="228">
        <v>-3.9</v>
      </c>
      <c r="AC163" s="229">
        <v>-1.1000000000000001E-3</v>
      </c>
      <c r="AD163" s="228">
        <v>-2</v>
      </c>
      <c r="AE163" s="228">
        <v>1.9</v>
      </c>
      <c r="AF163" s="228">
        <v>-3.9</v>
      </c>
      <c r="AG163" s="229">
        <v>-1.1000000000000001E-3</v>
      </c>
      <c r="AH163" s="228">
        <v>-13.2</v>
      </c>
      <c r="AI163" s="228">
        <v>-2.9</v>
      </c>
      <c r="AJ163" s="228">
        <v>-10.3</v>
      </c>
      <c r="AK163" s="229">
        <v>-7.1999999999999998E-3</v>
      </c>
      <c r="AL163" s="228">
        <v>0</v>
      </c>
      <c r="AM163" s="228">
        <v>0</v>
      </c>
      <c r="AN163" s="228">
        <v>0</v>
      </c>
      <c r="AO163" s="229">
        <v>0</v>
      </c>
      <c r="AP163" s="231">
        <v>1813.3</v>
      </c>
      <c r="AQ163" s="231">
        <v>1806.49</v>
      </c>
      <c r="AR163" s="228">
        <v>0</v>
      </c>
      <c r="AS163" s="228">
        <v>330</v>
      </c>
      <c r="AT163" s="228">
        <v>144</v>
      </c>
      <c r="AU163" s="228">
        <v>187</v>
      </c>
      <c r="AV163" s="229">
        <v>1.2964</v>
      </c>
      <c r="AW163" s="228">
        <v>278</v>
      </c>
      <c r="AX163" s="228">
        <v>126</v>
      </c>
      <c r="AY163" s="228">
        <v>152</v>
      </c>
      <c r="AZ163" s="229">
        <v>1.2104999999999999</v>
      </c>
      <c r="BA163" s="228">
        <v>51</v>
      </c>
      <c r="BB163" s="228">
        <v>18</v>
      </c>
      <c r="BC163" s="228">
        <v>33</v>
      </c>
      <c r="BD163" s="229">
        <v>1.8105</v>
      </c>
      <c r="BE163" s="228">
        <v>0</v>
      </c>
      <c r="BF163" s="228">
        <v>0</v>
      </c>
      <c r="BG163" s="228">
        <v>0</v>
      </c>
      <c r="BH163" s="229">
        <v>0</v>
      </c>
      <c r="BI163" s="230">
        <v>1059</v>
      </c>
      <c r="BJ163" s="228">
        <v>469</v>
      </c>
      <c r="BK163" s="228">
        <v>590</v>
      </c>
      <c r="BL163" s="229">
        <v>1.2571000000000001</v>
      </c>
      <c r="BM163" s="228">
        <v>827</v>
      </c>
      <c r="BN163" s="228">
        <v>354</v>
      </c>
      <c r="BO163" s="228">
        <v>473</v>
      </c>
      <c r="BP163" s="229">
        <v>1.3385</v>
      </c>
      <c r="BQ163" s="230">
        <v>2216</v>
      </c>
      <c r="BR163" s="228">
        <v>967</v>
      </c>
      <c r="BS163" s="230">
        <v>1250</v>
      </c>
      <c r="BT163" s="229">
        <v>1.2927</v>
      </c>
      <c r="BU163" s="230">
        <v>743681</v>
      </c>
      <c r="BV163" s="230">
        <v>285496</v>
      </c>
      <c r="BW163" s="230">
        <v>458185</v>
      </c>
      <c r="BX163" s="229">
        <v>1.6049</v>
      </c>
      <c r="BY163" s="228">
        <v>921</v>
      </c>
      <c r="BZ163" s="228">
        <v>891</v>
      </c>
      <c r="CA163" s="228">
        <v>29</v>
      </c>
      <c r="CB163" s="229">
        <v>3.3099999999999997E-2</v>
      </c>
      <c r="CC163" s="228">
        <v>857</v>
      </c>
      <c r="CD163" s="228">
        <v>845</v>
      </c>
      <c r="CE163" s="228">
        <v>12</v>
      </c>
      <c r="CF163" s="229">
        <v>1.4500000000000001E-2</v>
      </c>
      <c r="CG163" s="228">
        <v>59</v>
      </c>
      <c r="CH163" s="228">
        <v>43</v>
      </c>
      <c r="CI163" s="228">
        <v>16</v>
      </c>
      <c r="CJ163" s="229">
        <v>0.38740000000000002</v>
      </c>
      <c r="CK163" s="228">
        <v>0</v>
      </c>
      <c r="CL163" s="228">
        <v>0</v>
      </c>
      <c r="CM163" s="228">
        <v>0</v>
      </c>
      <c r="CN163" s="229">
        <v>0</v>
      </c>
      <c r="CO163" s="228">
        <v>469</v>
      </c>
      <c r="CP163" s="228">
        <v>462</v>
      </c>
      <c r="CQ163" s="228">
        <v>7</v>
      </c>
      <c r="CR163" s="229">
        <v>1.4800000000000001E-2</v>
      </c>
      <c r="CS163" s="228">
        <v>284</v>
      </c>
      <c r="CT163" s="228">
        <v>291</v>
      </c>
      <c r="CU163" s="228">
        <v>-7</v>
      </c>
      <c r="CV163" s="229">
        <v>-2.3099999999999999E-2</v>
      </c>
      <c r="CW163" s="230">
        <v>1674</v>
      </c>
      <c r="CX163" s="230">
        <v>1644</v>
      </c>
      <c r="CY163" s="228">
        <v>30</v>
      </c>
      <c r="CZ163" s="229">
        <v>1.7999999999999999E-2</v>
      </c>
      <c r="DA163" s="228">
        <v>30.51</v>
      </c>
      <c r="DB163" s="228">
        <v>40.6</v>
      </c>
      <c r="DC163" s="228">
        <v>-10.09</v>
      </c>
      <c r="DD163" s="228">
        <v>-10.09</v>
      </c>
      <c r="DE163" s="228">
        <v>41.08</v>
      </c>
      <c r="DF163" s="228">
        <v>41.18</v>
      </c>
      <c r="DG163" s="228">
        <v>-10.57</v>
      </c>
      <c r="DH163" s="228">
        <v>-0.1</v>
      </c>
      <c r="DI163" s="228">
        <v>31.21</v>
      </c>
      <c r="DJ163" s="228">
        <v>40.549999999999997</v>
      </c>
      <c r="DK163" s="228">
        <v>-9.34</v>
      </c>
      <c r="DL163" s="228">
        <v>-9.34</v>
      </c>
      <c r="DM163" s="228">
        <v>29.61</v>
      </c>
      <c r="DN163" s="228">
        <v>40.67</v>
      </c>
      <c r="DO163" s="228">
        <v>-11.06</v>
      </c>
      <c r="DP163" s="228">
        <v>-11.06</v>
      </c>
      <c r="DQ163" s="228">
        <v>0.61</v>
      </c>
      <c r="DR163" s="228">
        <v>0.63</v>
      </c>
      <c r="DS163" s="228">
        <v>-0.02</v>
      </c>
      <c r="DT163" s="229">
        <v>-3.1699999999999999E-2</v>
      </c>
      <c r="DU163" s="231">
        <v>1900</v>
      </c>
      <c r="DV163" s="231">
        <v>1800</v>
      </c>
      <c r="DW163" s="228">
        <v>0.78</v>
      </c>
      <c r="DX163" s="228">
        <v>0.75</v>
      </c>
      <c r="DY163" s="228">
        <v>0.03</v>
      </c>
      <c r="DZ163" s="229">
        <v>0.04</v>
      </c>
      <c r="EA163" s="229">
        <v>6.4100000000000004E-2</v>
      </c>
      <c r="EB163" s="230">
        <v>233100</v>
      </c>
      <c r="EC163" s="229">
        <v>-6.1000000000000004E-3</v>
      </c>
      <c r="ED163" s="229">
        <v>6.4100000000000004E-2</v>
      </c>
      <c r="EE163" s="228">
        <v>-6.81</v>
      </c>
      <c r="EF163" s="229">
        <v>-3.8E-3</v>
      </c>
      <c r="EG163" s="230">
        <v>179874</v>
      </c>
      <c r="EH163" s="230">
        <v>137954</v>
      </c>
      <c r="EI163" s="229">
        <v>0.3039</v>
      </c>
      <c r="EJ163" s="229">
        <v>0.2419</v>
      </c>
      <c r="EK163" s="231">
        <v>1104.17</v>
      </c>
      <c r="EL163" s="228">
        <v>818.28</v>
      </c>
      <c r="EM163" s="228">
        <v>328.3</v>
      </c>
      <c r="EN163" s="228">
        <v>0</v>
      </c>
      <c r="EO163" s="231">
        <v>2250.75</v>
      </c>
      <c r="EP163" s="228">
        <v>995.94</v>
      </c>
      <c r="EQ163" s="231">
        <v>1254.81</v>
      </c>
      <c r="ER163" s="229">
        <v>1.2599</v>
      </c>
      <c r="ES163" s="228">
        <v>496.08</v>
      </c>
      <c r="ET163" s="228">
        <v>281.13</v>
      </c>
      <c r="EU163" s="228">
        <v>920.28</v>
      </c>
      <c r="EV163" s="231">
        <v>23485458</v>
      </c>
      <c r="EW163" s="231">
        <v>1697.5</v>
      </c>
      <c r="EX163" s="231">
        <v>1676.49</v>
      </c>
      <c r="EY163" s="228">
        <v>21.01</v>
      </c>
      <c r="EZ163" s="229">
        <v>1.2500000000000001E-2</v>
      </c>
      <c r="FA163" s="229">
        <v>0.3906</v>
      </c>
      <c r="FB163" s="227" t="s">
        <v>567</v>
      </c>
      <c r="FC163">
        <f t="shared" si="3"/>
        <v>0</v>
      </c>
    </row>
    <row r="164" spans="1:159" ht="17.25" thickBot="1" x14ac:dyDescent="0.3">
      <c r="A164" s="226">
        <v>45860</v>
      </c>
      <c r="B164" s="227" t="s">
        <v>221</v>
      </c>
      <c r="C164" s="227" t="s">
        <v>518</v>
      </c>
      <c r="D164" s="228">
        <v>75</v>
      </c>
      <c r="E164" s="228">
        <v>9</v>
      </c>
      <c r="F164" s="231">
        <v>8729</v>
      </c>
      <c r="G164" s="231">
        <v>8830</v>
      </c>
      <c r="H164" s="228">
        <v>-101</v>
      </c>
      <c r="I164" s="229">
        <v>-1.14E-2</v>
      </c>
      <c r="J164" s="231">
        <v>8707.5</v>
      </c>
      <c r="K164" s="231">
        <v>8821</v>
      </c>
      <c r="L164" s="228">
        <v>-113.5</v>
      </c>
      <c r="M164" s="229">
        <v>-1.29E-2</v>
      </c>
      <c r="N164" s="231">
        <v>8729</v>
      </c>
      <c r="O164" s="231">
        <v>8830</v>
      </c>
      <c r="P164" s="228">
        <v>-101</v>
      </c>
      <c r="Q164" s="229">
        <v>-1.14E-2</v>
      </c>
      <c r="R164" s="231">
        <v>8773</v>
      </c>
      <c r="S164" s="231">
        <v>8866.5</v>
      </c>
      <c r="T164" s="228">
        <v>-93.5</v>
      </c>
      <c r="U164" s="229">
        <v>-1.0500000000000001E-2</v>
      </c>
      <c r="V164" s="228">
        <v>0</v>
      </c>
      <c r="W164" s="228">
        <v>0</v>
      </c>
      <c r="X164" s="228">
        <v>0</v>
      </c>
      <c r="Y164" s="229">
        <v>0</v>
      </c>
      <c r="Z164" s="228">
        <v>21.5</v>
      </c>
      <c r="AA164" s="228">
        <v>9</v>
      </c>
      <c r="AB164" s="228">
        <v>12.5</v>
      </c>
      <c r="AC164" s="229">
        <v>2.5000000000000001E-3</v>
      </c>
      <c r="AD164" s="228">
        <v>21.5</v>
      </c>
      <c r="AE164" s="228">
        <v>9</v>
      </c>
      <c r="AF164" s="228">
        <v>12.5</v>
      </c>
      <c r="AG164" s="229">
        <v>2.5000000000000001E-3</v>
      </c>
      <c r="AH164" s="228">
        <v>65.5</v>
      </c>
      <c r="AI164" s="228">
        <v>45.5</v>
      </c>
      <c r="AJ164" s="228">
        <v>20</v>
      </c>
      <c r="AK164" s="229">
        <v>7.4999999999999997E-3</v>
      </c>
      <c r="AL164" s="228">
        <v>0</v>
      </c>
      <c r="AM164" s="228">
        <v>0</v>
      </c>
      <c r="AN164" s="228">
        <v>0</v>
      </c>
      <c r="AO164" s="229">
        <v>0</v>
      </c>
      <c r="AP164" s="231">
        <v>8749.98</v>
      </c>
      <c r="AQ164" s="231">
        <v>8794.4699999999993</v>
      </c>
      <c r="AR164" s="228">
        <v>0</v>
      </c>
      <c r="AS164" s="228">
        <v>170</v>
      </c>
      <c r="AT164" s="228">
        <v>166</v>
      </c>
      <c r="AU164" s="228">
        <v>4</v>
      </c>
      <c r="AV164" s="229">
        <v>2.2100000000000002E-2</v>
      </c>
      <c r="AW164" s="228">
        <v>143</v>
      </c>
      <c r="AX164" s="228">
        <v>147</v>
      </c>
      <c r="AY164" s="228">
        <v>-5</v>
      </c>
      <c r="AZ164" s="229">
        <v>-3.15E-2</v>
      </c>
      <c r="BA164" s="228">
        <v>26</v>
      </c>
      <c r="BB164" s="228">
        <v>18</v>
      </c>
      <c r="BC164" s="228">
        <v>8</v>
      </c>
      <c r="BD164" s="229">
        <v>0.44440000000000002</v>
      </c>
      <c r="BE164" s="228">
        <v>0</v>
      </c>
      <c r="BF164" s="228">
        <v>0</v>
      </c>
      <c r="BG164" s="228">
        <v>0</v>
      </c>
      <c r="BH164" s="229">
        <v>0</v>
      </c>
      <c r="BI164" s="228">
        <v>368</v>
      </c>
      <c r="BJ164" s="228">
        <v>414</v>
      </c>
      <c r="BK164" s="228">
        <v>-46</v>
      </c>
      <c r="BL164" s="229">
        <v>-0.1113</v>
      </c>
      <c r="BM164" s="228">
        <v>188</v>
      </c>
      <c r="BN164" s="228">
        <v>169</v>
      </c>
      <c r="BO164" s="228">
        <v>19</v>
      </c>
      <c r="BP164" s="229">
        <v>0.11</v>
      </c>
      <c r="BQ164" s="228">
        <v>726</v>
      </c>
      <c r="BR164" s="228">
        <v>749</v>
      </c>
      <c r="BS164" s="228">
        <v>-24</v>
      </c>
      <c r="BT164" s="229">
        <v>-3.1800000000000002E-2</v>
      </c>
      <c r="BU164" s="230">
        <v>71958</v>
      </c>
      <c r="BV164" s="230">
        <v>64812</v>
      </c>
      <c r="BW164" s="230">
        <v>7146</v>
      </c>
      <c r="BX164" s="229">
        <v>0.1103</v>
      </c>
      <c r="BY164" s="230">
        <v>1008</v>
      </c>
      <c r="BZ164" s="228">
        <v>964</v>
      </c>
      <c r="CA164" s="228">
        <v>44</v>
      </c>
      <c r="CB164" s="229">
        <v>4.6100000000000002E-2</v>
      </c>
      <c r="CC164" s="228">
        <v>936</v>
      </c>
      <c r="CD164" s="228">
        <v>906</v>
      </c>
      <c r="CE164" s="228">
        <v>29</v>
      </c>
      <c r="CF164" s="229">
        <v>3.2300000000000002E-2</v>
      </c>
      <c r="CG164" s="228">
        <v>67</v>
      </c>
      <c r="CH164" s="228">
        <v>52</v>
      </c>
      <c r="CI164" s="228">
        <v>14</v>
      </c>
      <c r="CJ164" s="229">
        <v>0.27729999999999999</v>
      </c>
      <c r="CK164" s="228">
        <v>0</v>
      </c>
      <c r="CL164" s="228">
        <v>0</v>
      </c>
      <c r="CM164" s="228">
        <v>0</v>
      </c>
      <c r="CN164" s="229">
        <v>0</v>
      </c>
      <c r="CO164" s="228">
        <v>604</v>
      </c>
      <c r="CP164" s="228">
        <v>570</v>
      </c>
      <c r="CQ164" s="228">
        <v>34</v>
      </c>
      <c r="CR164" s="229">
        <v>5.9499999999999997E-2</v>
      </c>
      <c r="CS164" s="228">
        <v>313</v>
      </c>
      <c r="CT164" s="228">
        <v>315</v>
      </c>
      <c r="CU164" s="228">
        <v>-3</v>
      </c>
      <c r="CV164" s="229">
        <v>-8.0999999999999996E-3</v>
      </c>
      <c r="CW164" s="230">
        <v>1925</v>
      </c>
      <c r="CX164" s="230">
        <v>1849</v>
      </c>
      <c r="CY164" s="228">
        <v>76</v>
      </c>
      <c r="CZ164" s="229">
        <v>4.1000000000000002E-2</v>
      </c>
      <c r="DA164" s="228">
        <v>44.96</v>
      </c>
      <c r="DB164" s="228">
        <v>42.69</v>
      </c>
      <c r="DC164" s="228">
        <v>2.27</v>
      </c>
      <c r="DD164" s="228">
        <v>2.27</v>
      </c>
      <c r="DE164" s="228">
        <v>42.81</v>
      </c>
      <c r="DF164" s="228">
        <v>42.88</v>
      </c>
      <c r="DG164" s="228">
        <v>2.15</v>
      </c>
      <c r="DH164" s="228">
        <v>-7.0000000000000007E-2</v>
      </c>
      <c r="DI164" s="228">
        <v>45.71</v>
      </c>
      <c r="DJ164" s="228">
        <v>42.74</v>
      </c>
      <c r="DK164" s="228">
        <v>2.97</v>
      </c>
      <c r="DL164" s="228">
        <v>2.97</v>
      </c>
      <c r="DM164" s="228">
        <v>43.5</v>
      </c>
      <c r="DN164" s="228">
        <v>42.56</v>
      </c>
      <c r="DO164" s="228">
        <v>0.94</v>
      </c>
      <c r="DP164" s="228">
        <v>0.94</v>
      </c>
      <c r="DQ164" s="228">
        <v>0.52</v>
      </c>
      <c r="DR164" s="228">
        <v>0.55000000000000004</v>
      </c>
      <c r="DS164" s="228">
        <v>-0.03</v>
      </c>
      <c r="DT164" s="229">
        <v>-5.45E-2</v>
      </c>
      <c r="DU164" s="231">
        <v>9000</v>
      </c>
      <c r="DV164" s="231">
        <v>9000</v>
      </c>
      <c r="DW164" s="228">
        <v>0.51</v>
      </c>
      <c r="DX164" s="228">
        <v>0.41</v>
      </c>
      <c r="DY164" s="228">
        <v>0.1</v>
      </c>
      <c r="DZ164" s="229">
        <v>0.24390000000000001</v>
      </c>
      <c r="EA164" s="229">
        <v>6.6100000000000006E-2</v>
      </c>
      <c r="EB164" s="230">
        <v>59775</v>
      </c>
      <c r="EC164" s="229">
        <v>5.0000000000000001E-3</v>
      </c>
      <c r="ED164" s="229">
        <v>6.6100000000000006E-2</v>
      </c>
      <c r="EE164" s="228">
        <v>44.49</v>
      </c>
      <c r="EF164" s="229">
        <v>5.1000000000000004E-3</v>
      </c>
      <c r="EG164" s="230">
        <v>31613</v>
      </c>
      <c r="EH164" s="230">
        <v>18171</v>
      </c>
      <c r="EI164" s="229">
        <v>0.73980000000000001</v>
      </c>
      <c r="EJ164" s="229">
        <v>0.43930000000000002</v>
      </c>
      <c r="EK164" s="228">
        <v>392.92</v>
      </c>
      <c r="EL164" s="228">
        <v>188.42</v>
      </c>
      <c r="EM164" s="228">
        <v>170.44</v>
      </c>
      <c r="EN164" s="228">
        <v>0</v>
      </c>
      <c r="EO164" s="228">
        <v>751.78</v>
      </c>
      <c r="EP164" s="228">
        <v>780.68</v>
      </c>
      <c r="EQ164" s="228">
        <v>-28.9</v>
      </c>
      <c r="ER164" s="229">
        <v>-3.6999999999999998E-2</v>
      </c>
      <c r="ES164" s="228">
        <v>650.54</v>
      </c>
      <c r="ET164" s="228">
        <v>311.8</v>
      </c>
      <c r="EU164" s="231">
        <v>1008.47</v>
      </c>
      <c r="EV164" s="231">
        <v>4762380</v>
      </c>
      <c r="EW164" s="231">
        <v>1970.81</v>
      </c>
      <c r="EX164" s="231">
        <v>1905.31</v>
      </c>
      <c r="EY164" s="228">
        <v>65.5</v>
      </c>
      <c r="EZ164" s="229">
        <v>3.44E-2</v>
      </c>
      <c r="FA164" s="229">
        <v>0.46300000000000002</v>
      </c>
      <c r="FB164" s="227" t="s">
        <v>567</v>
      </c>
      <c r="FC164">
        <f t="shared" si="3"/>
        <v>0</v>
      </c>
    </row>
    <row r="165" spans="1:159" ht="17.25" thickBot="1" x14ac:dyDescent="0.3">
      <c r="A165" s="226">
        <v>45860</v>
      </c>
      <c r="B165" s="227" t="s">
        <v>193</v>
      </c>
      <c r="C165" s="227" t="s">
        <v>588</v>
      </c>
      <c r="D165" s="228">
        <v>1400</v>
      </c>
      <c r="E165" s="228">
        <v>9</v>
      </c>
      <c r="F165" s="228">
        <v>452.6</v>
      </c>
      <c r="G165" s="228">
        <v>454.5</v>
      </c>
      <c r="H165" s="228">
        <v>-1.9</v>
      </c>
      <c r="I165" s="229">
        <v>-4.1999999999999997E-3</v>
      </c>
      <c r="J165" s="228">
        <v>451.35</v>
      </c>
      <c r="K165" s="228">
        <v>453.25</v>
      </c>
      <c r="L165" s="228">
        <v>-1.9</v>
      </c>
      <c r="M165" s="229">
        <v>-4.1999999999999997E-3</v>
      </c>
      <c r="N165" s="228">
        <v>452.6</v>
      </c>
      <c r="O165" s="228">
        <v>454.5</v>
      </c>
      <c r="P165" s="228">
        <v>-1.9</v>
      </c>
      <c r="Q165" s="229">
        <v>-4.1999999999999997E-3</v>
      </c>
      <c r="R165" s="228">
        <v>453.6</v>
      </c>
      <c r="S165" s="228">
        <v>455.55</v>
      </c>
      <c r="T165" s="228">
        <v>-1.95</v>
      </c>
      <c r="U165" s="229">
        <v>-4.3E-3</v>
      </c>
      <c r="V165" s="228">
        <v>0</v>
      </c>
      <c r="W165" s="228">
        <v>0</v>
      </c>
      <c r="X165" s="228">
        <v>0</v>
      </c>
      <c r="Y165" s="229">
        <v>0</v>
      </c>
      <c r="Z165" s="228">
        <v>1.25</v>
      </c>
      <c r="AA165" s="228">
        <v>1.25</v>
      </c>
      <c r="AB165" s="228">
        <v>0</v>
      </c>
      <c r="AC165" s="229">
        <v>2.8E-3</v>
      </c>
      <c r="AD165" s="228">
        <v>1.25</v>
      </c>
      <c r="AE165" s="228">
        <v>1.25</v>
      </c>
      <c r="AF165" s="228">
        <v>0</v>
      </c>
      <c r="AG165" s="229">
        <v>2.8E-3</v>
      </c>
      <c r="AH165" s="228">
        <v>2.25</v>
      </c>
      <c r="AI165" s="228">
        <v>2.2999999999999998</v>
      </c>
      <c r="AJ165" s="228">
        <v>-0.05</v>
      </c>
      <c r="AK165" s="229">
        <v>5.0000000000000001E-3</v>
      </c>
      <c r="AL165" s="228">
        <v>0</v>
      </c>
      <c r="AM165" s="228">
        <v>0</v>
      </c>
      <c r="AN165" s="228">
        <v>0</v>
      </c>
      <c r="AO165" s="229">
        <v>0</v>
      </c>
      <c r="AP165" s="228">
        <v>453.09</v>
      </c>
      <c r="AQ165" s="228">
        <v>453.49</v>
      </c>
      <c r="AR165" s="228">
        <v>0</v>
      </c>
      <c r="AS165" s="228">
        <v>74</v>
      </c>
      <c r="AT165" s="228">
        <v>109</v>
      </c>
      <c r="AU165" s="228">
        <v>-35</v>
      </c>
      <c r="AV165" s="229">
        <v>-0.32290000000000002</v>
      </c>
      <c r="AW165" s="228">
        <v>60</v>
      </c>
      <c r="AX165" s="228">
        <v>97</v>
      </c>
      <c r="AY165" s="228">
        <v>-37</v>
      </c>
      <c r="AZ165" s="229">
        <v>-0.38229999999999997</v>
      </c>
      <c r="BA165" s="228">
        <v>13</v>
      </c>
      <c r="BB165" s="228">
        <v>11</v>
      </c>
      <c r="BC165" s="228">
        <v>2</v>
      </c>
      <c r="BD165" s="229">
        <v>0.14369999999999999</v>
      </c>
      <c r="BE165" s="228">
        <v>0</v>
      </c>
      <c r="BF165" s="228">
        <v>0</v>
      </c>
      <c r="BG165" s="228">
        <v>0</v>
      </c>
      <c r="BH165" s="229">
        <v>0</v>
      </c>
      <c r="BI165" s="228">
        <v>277</v>
      </c>
      <c r="BJ165" s="228">
        <v>260</v>
      </c>
      <c r="BK165" s="228">
        <v>17</v>
      </c>
      <c r="BL165" s="229">
        <v>6.5000000000000002E-2</v>
      </c>
      <c r="BM165" s="228">
        <v>88</v>
      </c>
      <c r="BN165" s="228">
        <v>105</v>
      </c>
      <c r="BO165" s="228">
        <v>-17</v>
      </c>
      <c r="BP165" s="229">
        <v>-0.16439999999999999</v>
      </c>
      <c r="BQ165" s="228">
        <v>438</v>
      </c>
      <c r="BR165" s="228">
        <v>474</v>
      </c>
      <c r="BS165" s="228">
        <v>-35</v>
      </c>
      <c r="BT165" s="229">
        <v>-7.4899999999999994E-2</v>
      </c>
      <c r="BU165" s="230">
        <v>1637154</v>
      </c>
      <c r="BV165" s="230">
        <v>1870003</v>
      </c>
      <c r="BW165" s="230">
        <v>-232849</v>
      </c>
      <c r="BX165" s="229">
        <v>-0.1245</v>
      </c>
      <c r="BY165" s="228">
        <v>704</v>
      </c>
      <c r="BZ165" s="228">
        <v>700</v>
      </c>
      <c r="CA165" s="228">
        <v>4</v>
      </c>
      <c r="CB165" s="229">
        <v>5.5999999999999999E-3</v>
      </c>
      <c r="CC165" s="228">
        <v>632</v>
      </c>
      <c r="CD165" s="228">
        <v>630</v>
      </c>
      <c r="CE165" s="228">
        <v>2</v>
      </c>
      <c r="CF165" s="229">
        <v>3.5000000000000001E-3</v>
      </c>
      <c r="CG165" s="228">
        <v>68</v>
      </c>
      <c r="CH165" s="228">
        <v>67</v>
      </c>
      <c r="CI165" s="228">
        <v>1</v>
      </c>
      <c r="CJ165" s="229">
        <v>1.9900000000000001E-2</v>
      </c>
      <c r="CK165" s="228">
        <v>0</v>
      </c>
      <c r="CL165" s="228">
        <v>0</v>
      </c>
      <c r="CM165" s="228">
        <v>0</v>
      </c>
      <c r="CN165" s="229">
        <v>0</v>
      </c>
      <c r="CO165" s="228">
        <v>358</v>
      </c>
      <c r="CP165" s="228">
        <v>350</v>
      </c>
      <c r="CQ165" s="228">
        <v>8</v>
      </c>
      <c r="CR165" s="229">
        <v>2.2800000000000001E-2</v>
      </c>
      <c r="CS165" s="228">
        <v>207</v>
      </c>
      <c r="CT165" s="228">
        <v>214</v>
      </c>
      <c r="CU165" s="228">
        <v>-7</v>
      </c>
      <c r="CV165" s="229">
        <v>-3.1099999999999999E-2</v>
      </c>
      <c r="CW165" s="230">
        <v>1269</v>
      </c>
      <c r="CX165" s="230">
        <v>1264</v>
      </c>
      <c r="CY165" s="228">
        <v>5</v>
      </c>
      <c r="CZ165" s="229">
        <v>4.1999999999999997E-3</v>
      </c>
      <c r="DA165" s="228">
        <v>31.92</v>
      </c>
      <c r="DB165" s="228">
        <v>32.380000000000003</v>
      </c>
      <c r="DC165" s="228">
        <v>-0.46</v>
      </c>
      <c r="DD165" s="228">
        <v>-0.46</v>
      </c>
      <c r="DE165" s="228">
        <v>49.25</v>
      </c>
      <c r="DF165" s="228">
        <v>49.37</v>
      </c>
      <c r="DG165" s="228">
        <v>-17.329999999999998</v>
      </c>
      <c r="DH165" s="228">
        <v>-0.12</v>
      </c>
      <c r="DI165" s="228">
        <v>31.75</v>
      </c>
      <c r="DJ165" s="228">
        <v>32.32</v>
      </c>
      <c r="DK165" s="228">
        <v>-0.56999999999999995</v>
      </c>
      <c r="DL165" s="228">
        <v>-0.56999999999999995</v>
      </c>
      <c r="DM165" s="228">
        <v>32.450000000000003</v>
      </c>
      <c r="DN165" s="228">
        <v>32.53</v>
      </c>
      <c r="DO165" s="228">
        <v>-0.08</v>
      </c>
      <c r="DP165" s="228">
        <v>-0.08</v>
      </c>
      <c r="DQ165" s="228">
        <v>0.57999999999999996</v>
      </c>
      <c r="DR165" s="228">
        <v>0.61</v>
      </c>
      <c r="DS165" s="228">
        <v>-0.03</v>
      </c>
      <c r="DT165" s="229">
        <v>-4.9200000000000001E-2</v>
      </c>
      <c r="DU165" s="228">
        <v>450</v>
      </c>
      <c r="DV165" s="228">
        <v>450</v>
      </c>
      <c r="DW165" s="228">
        <v>0.32</v>
      </c>
      <c r="DX165" s="228">
        <v>0.4</v>
      </c>
      <c r="DY165" s="228">
        <v>-0.08</v>
      </c>
      <c r="DZ165" s="229">
        <v>-0.2</v>
      </c>
      <c r="EA165" s="229">
        <v>9.7000000000000003E-2</v>
      </c>
      <c r="EB165" s="230">
        <v>1478400</v>
      </c>
      <c r="EC165" s="229">
        <v>2.2000000000000001E-3</v>
      </c>
      <c r="ED165" s="229">
        <v>9.7000000000000003E-2</v>
      </c>
      <c r="EE165" s="228">
        <v>0.4</v>
      </c>
      <c r="EF165" s="229">
        <v>8.9999999999999998E-4</v>
      </c>
      <c r="EG165" s="230">
        <v>866770</v>
      </c>
      <c r="EH165" s="230">
        <v>876551</v>
      </c>
      <c r="EI165" s="229">
        <v>-1.12E-2</v>
      </c>
      <c r="EJ165" s="229">
        <v>0.52939999999999998</v>
      </c>
      <c r="EK165" s="228">
        <v>285.60000000000002</v>
      </c>
      <c r="EL165" s="228">
        <v>86</v>
      </c>
      <c r="EM165" s="228">
        <v>73.849999999999994</v>
      </c>
      <c r="EN165" s="228">
        <v>0</v>
      </c>
      <c r="EO165" s="228">
        <v>445.45</v>
      </c>
      <c r="EP165" s="228">
        <v>481.85</v>
      </c>
      <c r="EQ165" s="228">
        <v>-36.4</v>
      </c>
      <c r="ER165" s="229">
        <v>-7.5499999999999998E-2</v>
      </c>
      <c r="ES165" s="228">
        <v>368.86</v>
      </c>
      <c r="ET165" s="228">
        <v>198.85</v>
      </c>
      <c r="EU165" s="228">
        <v>703.69</v>
      </c>
      <c r="EV165" s="231">
        <v>141008560</v>
      </c>
      <c r="EW165" s="231">
        <v>1271.4000000000001</v>
      </c>
      <c r="EX165" s="231">
        <v>1268.73</v>
      </c>
      <c r="EY165" s="228">
        <v>2.67</v>
      </c>
      <c r="EZ165" s="229">
        <v>2.0999999999999999E-3</v>
      </c>
      <c r="FA165" s="229">
        <v>0.1988</v>
      </c>
      <c r="FB165" s="227" t="s">
        <v>567</v>
      </c>
      <c r="FC165">
        <f t="shared" si="3"/>
        <v>0</v>
      </c>
    </row>
    <row r="166" spans="1:159" ht="17.25" thickBot="1" x14ac:dyDescent="0.3">
      <c r="A166" s="226">
        <v>45860</v>
      </c>
      <c r="B166" s="227" t="s">
        <v>193</v>
      </c>
      <c r="C166" s="227" t="s">
        <v>269</v>
      </c>
      <c r="D166" s="228">
        <v>2250</v>
      </c>
      <c r="E166" s="228">
        <v>9</v>
      </c>
      <c r="F166" s="228">
        <v>246.32</v>
      </c>
      <c r="G166" s="228">
        <v>245.42</v>
      </c>
      <c r="H166" s="228">
        <v>0.9</v>
      </c>
      <c r="I166" s="229">
        <v>3.7000000000000002E-3</v>
      </c>
      <c r="J166" s="228">
        <v>246.41</v>
      </c>
      <c r="K166" s="228">
        <v>245.04</v>
      </c>
      <c r="L166" s="228">
        <v>1.37</v>
      </c>
      <c r="M166" s="229">
        <v>5.5999999999999999E-3</v>
      </c>
      <c r="N166" s="228">
        <v>246.32</v>
      </c>
      <c r="O166" s="228">
        <v>245.42</v>
      </c>
      <c r="P166" s="228">
        <v>0.9</v>
      </c>
      <c r="Q166" s="229">
        <v>3.7000000000000002E-3</v>
      </c>
      <c r="R166" s="228">
        <v>246.35</v>
      </c>
      <c r="S166" s="228">
        <v>245.51</v>
      </c>
      <c r="T166" s="228">
        <v>0.84</v>
      </c>
      <c r="U166" s="229">
        <v>3.3999999999999998E-3</v>
      </c>
      <c r="V166" s="228">
        <v>0</v>
      </c>
      <c r="W166" s="228">
        <v>0</v>
      </c>
      <c r="X166" s="228">
        <v>0</v>
      </c>
      <c r="Y166" s="229">
        <v>0</v>
      </c>
      <c r="Z166" s="228">
        <v>-0.09</v>
      </c>
      <c r="AA166" s="228">
        <v>0.38</v>
      </c>
      <c r="AB166" s="228">
        <v>-0.47</v>
      </c>
      <c r="AC166" s="229">
        <v>-4.0000000000000002E-4</v>
      </c>
      <c r="AD166" s="228">
        <v>-0.09</v>
      </c>
      <c r="AE166" s="228">
        <v>0.38</v>
      </c>
      <c r="AF166" s="228">
        <v>-0.47</v>
      </c>
      <c r="AG166" s="229">
        <v>-4.0000000000000002E-4</v>
      </c>
      <c r="AH166" s="228">
        <v>-0.06</v>
      </c>
      <c r="AI166" s="228">
        <v>0.47</v>
      </c>
      <c r="AJ166" s="228">
        <v>-0.53</v>
      </c>
      <c r="AK166" s="229">
        <v>-2.0000000000000001E-4</v>
      </c>
      <c r="AL166" s="228">
        <v>0</v>
      </c>
      <c r="AM166" s="228">
        <v>0</v>
      </c>
      <c r="AN166" s="228">
        <v>0</v>
      </c>
      <c r="AO166" s="229">
        <v>0</v>
      </c>
      <c r="AP166" s="228">
        <v>245.83</v>
      </c>
      <c r="AQ166" s="228">
        <v>245.92</v>
      </c>
      <c r="AR166" s="228">
        <v>0</v>
      </c>
      <c r="AS166" s="228">
        <v>272</v>
      </c>
      <c r="AT166" s="228">
        <v>166</v>
      </c>
      <c r="AU166" s="228">
        <v>106</v>
      </c>
      <c r="AV166" s="229">
        <v>0.63749999999999996</v>
      </c>
      <c r="AW166" s="228">
        <v>190</v>
      </c>
      <c r="AX166" s="228">
        <v>123</v>
      </c>
      <c r="AY166" s="228">
        <v>67</v>
      </c>
      <c r="AZ166" s="229">
        <v>0.54020000000000001</v>
      </c>
      <c r="BA166" s="228">
        <v>80</v>
      </c>
      <c r="BB166" s="228">
        <v>40</v>
      </c>
      <c r="BC166" s="228">
        <v>39</v>
      </c>
      <c r="BD166" s="229">
        <v>0.97799999999999998</v>
      </c>
      <c r="BE166" s="228">
        <v>0</v>
      </c>
      <c r="BF166" s="228">
        <v>0</v>
      </c>
      <c r="BG166" s="228">
        <v>0</v>
      </c>
      <c r="BH166" s="229">
        <v>0</v>
      </c>
      <c r="BI166" s="230">
        <v>1295</v>
      </c>
      <c r="BJ166" s="230">
        <v>1291</v>
      </c>
      <c r="BK166" s="228">
        <v>4</v>
      </c>
      <c r="BL166" s="229">
        <v>3.3E-3</v>
      </c>
      <c r="BM166" s="228">
        <v>558</v>
      </c>
      <c r="BN166" s="228">
        <v>388</v>
      </c>
      <c r="BO166" s="228">
        <v>170</v>
      </c>
      <c r="BP166" s="229">
        <v>0.43919999999999998</v>
      </c>
      <c r="BQ166" s="230">
        <v>2126</v>
      </c>
      <c r="BR166" s="230">
        <v>1845</v>
      </c>
      <c r="BS166" s="228">
        <v>281</v>
      </c>
      <c r="BT166" s="229">
        <v>0.152</v>
      </c>
      <c r="BU166" s="230">
        <v>6736609</v>
      </c>
      <c r="BV166" s="230">
        <v>5841831</v>
      </c>
      <c r="BW166" s="230">
        <v>894778</v>
      </c>
      <c r="BX166" s="229">
        <v>0.1532</v>
      </c>
      <c r="BY166" s="230">
        <v>2449</v>
      </c>
      <c r="BZ166" s="230">
        <v>2461</v>
      </c>
      <c r="CA166" s="228">
        <v>-12</v>
      </c>
      <c r="CB166" s="229">
        <v>-4.7999999999999996E-3</v>
      </c>
      <c r="CC166" s="230">
        <v>1863</v>
      </c>
      <c r="CD166" s="230">
        <v>1924</v>
      </c>
      <c r="CE166" s="228">
        <v>-61</v>
      </c>
      <c r="CF166" s="229">
        <v>-3.1899999999999998E-2</v>
      </c>
      <c r="CG166" s="228">
        <v>578</v>
      </c>
      <c r="CH166" s="228">
        <v>529</v>
      </c>
      <c r="CI166" s="228">
        <v>49</v>
      </c>
      <c r="CJ166" s="229">
        <v>9.2600000000000002E-2</v>
      </c>
      <c r="CK166" s="228">
        <v>0</v>
      </c>
      <c r="CL166" s="228">
        <v>0</v>
      </c>
      <c r="CM166" s="228">
        <v>0</v>
      </c>
      <c r="CN166" s="229">
        <v>0</v>
      </c>
      <c r="CO166" s="230">
        <v>1951</v>
      </c>
      <c r="CP166" s="230">
        <v>1994</v>
      </c>
      <c r="CQ166" s="228">
        <v>-43</v>
      </c>
      <c r="CR166" s="229">
        <v>-2.18E-2</v>
      </c>
      <c r="CS166" s="228">
        <v>556</v>
      </c>
      <c r="CT166" s="228">
        <v>535</v>
      </c>
      <c r="CU166" s="228">
        <v>20</v>
      </c>
      <c r="CV166" s="229">
        <v>3.7999999999999999E-2</v>
      </c>
      <c r="CW166" s="230">
        <v>4956</v>
      </c>
      <c r="CX166" s="230">
        <v>4990</v>
      </c>
      <c r="CY166" s="228">
        <v>-35</v>
      </c>
      <c r="CZ166" s="229">
        <v>-7.0000000000000001E-3</v>
      </c>
      <c r="DA166" s="228">
        <v>18.059999999999999</v>
      </c>
      <c r="DB166" s="228">
        <v>19.399999999999999</v>
      </c>
      <c r="DC166" s="228">
        <v>-1.34</v>
      </c>
      <c r="DD166" s="228">
        <v>-1.34</v>
      </c>
      <c r="DE166" s="228">
        <v>36.35</v>
      </c>
      <c r="DF166" s="228">
        <v>36.44</v>
      </c>
      <c r="DG166" s="228">
        <v>-18.29</v>
      </c>
      <c r="DH166" s="228">
        <v>-0.09</v>
      </c>
      <c r="DI166" s="228">
        <v>17.91</v>
      </c>
      <c r="DJ166" s="228">
        <v>19.690000000000001</v>
      </c>
      <c r="DK166" s="228">
        <v>-1.78</v>
      </c>
      <c r="DL166" s="228">
        <v>-1.78</v>
      </c>
      <c r="DM166" s="228">
        <v>18.41</v>
      </c>
      <c r="DN166" s="228">
        <v>18.440000000000001</v>
      </c>
      <c r="DO166" s="228">
        <v>-0.03</v>
      </c>
      <c r="DP166" s="228">
        <v>-0.03</v>
      </c>
      <c r="DQ166" s="228">
        <v>0.28000000000000003</v>
      </c>
      <c r="DR166" s="228">
        <v>0.27</v>
      </c>
      <c r="DS166" s="228">
        <v>0.01</v>
      </c>
      <c r="DT166" s="229">
        <v>3.6999999999999998E-2</v>
      </c>
      <c r="DU166" s="228">
        <v>250</v>
      </c>
      <c r="DV166" s="228">
        <v>245</v>
      </c>
      <c r="DW166" s="228">
        <v>0.43</v>
      </c>
      <c r="DX166" s="228">
        <v>0.3</v>
      </c>
      <c r="DY166" s="228">
        <v>0.13</v>
      </c>
      <c r="DZ166" s="229">
        <v>0.43330000000000002</v>
      </c>
      <c r="EA166" s="229">
        <v>0.2361</v>
      </c>
      <c r="EB166" s="230">
        <v>21485250</v>
      </c>
      <c r="EC166" s="229">
        <v>1E-4</v>
      </c>
      <c r="ED166" s="229">
        <v>0.2361</v>
      </c>
      <c r="EE166" s="228">
        <v>0.09</v>
      </c>
      <c r="EF166" s="229">
        <v>4.0000000000000002E-4</v>
      </c>
      <c r="EG166" s="230">
        <v>4295446</v>
      </c>
      <c r="EH166" s="230">
        <v>3546219</v>
      </c>
      <c r="EI166" s="229">
        <v>0.21129999999999999</v>
      </c>
      <c r="EJ166" s="229">
        <v>0.63759999999999994</v>
      </c>
      <c r="EK166" s="231">
        <v>1325.72</v>
      </c>
      <c r="EL166" s="228">
        <v>562.29</v>
      </c>
      <c r="EM166" s="228">
        <v>271.39999999999998</v>
      </c>
      <c r="EN166" s="228">
        <v>0</v>
      </c>
      <c r="EO166" s="231">
        <v>2159.41</v>
      </c>
      <c r="EP166" s="231">
        <v>1883.03</v>
      </c>
      <c r="EQ166" s="228">
        <v>276.38</v>
      </c>
      <c r="ER166" s="229">
        <v>0.14680000000000001</v>
      </c>
      <c r="ES166" s="231">
        <v>2003.89</v>
      </c>
      <c r="ET166" s="228">
        <v>545.13</v>
      </c>
      <c r="EU166" s="231">
        <v>2449.6</v>
      </c>
      <c r="EV166" s="231">
        <v>1034282422</v>
      </c>
      <c r="EW166" s="231">
        <v>4998.6099999999997</v>
      </c>
      <c r="EX166" s="231">
        <v>5025.01</v>
      </c>
      <c r="EY166" s="228">
        <v>-26.4</v>
      </c>
      <c r="EZ166" s="229">
        <v>-5.3E-3</v>
      </c>
      <c r="FA166" s="229">
        <v>0.19450000000000001</v>
      </c>
      <c r="FB166" s="227" t="s">
        <v>556</v>
      </c>
      <c r="FC166">
        <f t="shared" si="3"/>
        <v>0</v>
      </c>
    </row>
    <row r="167" spans="1:159" ht="17.25" thickBot="1" x14ac:dyDescent="0.3">
      <c r="A167" s="226">
        <v>45860</v>
      </c>
      <c r="B167" s="227" t="s">
        <v>197</v>
      </c>
      <c r="C167" s="227" t="s">
        <v>270</v>
      </c>
      <c r="D167" s="228">
        <v>15</v>
      </c>
      <c r="E167" s="228">
        <v>9</v>
      </c>
      <c r="F167" s="231">
        <v>46360</v>
      </c>
      <c r="G167" s="231">
        <v>46605</v>
      </c>
      <c r="H167" s="228">
        <v>-245</v>
      </c>
      <c r="I167" s="229">
        <v>-5.3E-3</v>
      </c>
      <c r="J167" s="231">
        <v>46295</v>
      </c>
      <c r="K167" s="231">
        <v>46730</v>
      </c>
      <c r="L167" s="228">
        <v>-435</v>
      </c>
      <c r="M167" s="229">
        <v>-9.2999999999999992E-3</v>
      </c>
      <c r="N167" s="231">
        <v>46360</v>
      </c>
      <c r="O167" s="231">
        <v>46605</v>
      </c>
      <c r="P167" s="228">
        <v>-245</v>
      </c>
      <c r="Q167" s="229">
        <v>-5.3E-3</v>
      </c>
      <c r="R167" s="231">
        <v>45400</v>
      </c>
      <c r="S167" s="231">
        <v>45710</v>
      </c>
      <c r="T167" s="228">
        <v>-310</v>
      </c>
      <c r="U167" s="229">
        <v>-6.7999999999999996E-3</v>
      </c>
      <c r="V167" s="228">
        <v>0</v>
      </c>
      <c r="W167" s="228">
        <v>0</v>
      </c>
      <c r="X167" s="228">
        <v>0</v>
      </c>
      <c r="Y167" s="229">
        <v>0</v>
      </c>
      <c r="Z167" s="228">
        <v>65</v>
      </c>
      <c r="AA167" s="228">
        <v>-125</v>
      </c>
      <c r="AB167" s="228">
        <v>190</v>
      </c>
      <c r="AC167" s="229">
        <v>1.4E-3</v>
      </c>
      <c r="AD167" s="228">
        <v>65</v>
      </c>
      <c r="AE167" s="228">
        <v>-125</v>
      </c>
      <c r="AF167" s="228">
        <v>190</v>
      </c>
      <c r="AG167" s="229">
        <v>1.4E-3</v>
      </c>
      <c r="AH167" s="228">
        <v>-895</v>
      </c>
      <c r="AI167" s="231">
        <v>-1020</v>
      </c>
      <c r="AJ167" s="228">
        <v>125</v>
      </c>
      <c r="AK167" s="229">
        <v>-1.9300000000000001E-2</v>
      </c>
      <c r="AL167" s="228">
        <v>0</v>
      </c>
      <c r="AM167" s="228">
        <v>0</v>
      </c>
      <c r="AN167" s="228">
        <v>0</v>
      </c>
      <c r="AO167" s="229">
        <v>0</v>
      </c>
      <c r="AP167" s="231">
        <v>46467.34</v>
      </c>
      <c r="AQ167" s="231">
        <v>45567.49</v>
      </c>
      <c r="AR167" s="228">
        <v>0</v>
      </c>
      <c r="AS167" s="228">
        <v>127</v>
      </c>
      <c r="AT167" s="228">
        <v>74</v>
      </c>
      <c r="AU167" s="228">
        <v>53</v>
      </c>
      <c r="AV167" s="229">
        <v>0.72619999999999996</v>
      </c>
      <c r="AW167" s="228">
        <v>96</v>
      </c>
      <c r="AX167" s="228">
        <v>67</v>
      </c>
      <c r="AY167" s="228">
        <v>29</v>
      </c>
      <c r="AZ167" s="229">
        <v>0.42609999999999998</v>
      </c>
      <c r="BA167" s="228">
        <v>31</v>
      </c>
      <c r="BB167" s="228">
        <v>6</v>
      </c>
      <c r="BC167" s="228">
        <v>25</v>
      </c>
      <c r="BD167" s="229">
        <v>4.0225</v>
      </c>
      <c r="BE167" s="228">
        <v>0</v>
      </c>
      <c r="BF167" s="228">
        <v>0</v>
      </c>
      <c r="BG167" s="228">
        <v>0</v>
      </c>
      <c r="BH167" s="229">
        <v>0</v>
      </c>
      <c r="BI167" s="228">
        <v>622</v>
      </c>
      <c r="BJ167" s="228">
        <v>528</v>
      </c>
      <c r="BK167" s="228">
        <v>94</v>
      </c>
      <c r="BL167" s="229">
        <v>0.17860000000000001</v>
      </c>
      <c r="BM167" s="228">
        <v>35</v>
      </c>
      <c r="BN167" s="228">
        <v>47</v>
      </c>
      <c r="BO167" s="228">
        <v>-12</v>
      </c>
      <c r="BP167" s="229">
        <v>-0.25109999999999999</v>
      </c>
      <c r="BQ167" s="228">
        <v>784</v>
      </c>
      <c r="BR167" s="228">
        <v>648</v>
      </c>
      <c r="BS167" s="228">
        <v>136</v>
      </c>
      <c r="BT167" s="229">
        <v>0.21</v>
      </c>
      <c r="BU167" s="230">
        <v>14052</v>
      </c>
      <c r="BV167" s="230">
        <v>10570</v>
      </c>
      <c r="BW167" s="230">
        <v>3482</v>
      </c>
      <c r="BX167" s="229">
        <v>0.32940000000000003</v>
      </c>
      <c r="BY167" s="230">
        <v>1318</v>
      </c>
      <c r="BZ167" s="230">
        <v>1319</v>
      </c>
      <c r="CA167" s="228">
        <v>-1</v>
      </c>
      <c r="CB167" s="229">
        <v>-5.0000000000000001E-4</v>
      </c>
      <c r="CC167" s="230">
        <v>1185</v>
      </c>
      <c r="CD167" s="230">
        <v>1198</v>
      </c>
      <c r="CE167" s="228">
        <v>-14</v>
      </c>
      <c r="CF167" s="229">
        <v>-1.1299999999999999E-2</v>
      </c>
      <c r="CG167" s="228">
        <v>132</v>
      </c>
      <c r="CH167" s="228">
        <v>119</v>
      </c>
      <c r="CI167" s="228">
        <v>13</v>
      </c>
      <c r="CJ167" s="229">
        <v>0.1082</v>
      </c>
      <c r="CK167" s="228">
        <v>0</v>
      </c>
      <c r="CL167" s="228">
        <v>0</v>
      </c>
      <c r="CM167" s="228">
        <v>0</v>
      </c>
      <c r="CN167" s="229">
        <v>0</v>
      </c>
      <c r="CO167" s="228">
        <v>441</v>
      </c>
      <c r="CP167" s="228">
        <v>480</v>
      </c>
      <c r="CQ167" s="228">
        <v>-39</v>
      </c>
      <c r="CR167" s="229">
        <v>-8.2100000000000006E-2</v>
      </c>
      <c r="CS167" s="228">
        <v>116</v>
      </c>
      <c r="CT167" s="228">
        <v>123</v>
      </c>
      <c r="CU167" s="228">
        <v>-7</v>
      </c>
      <c r="CV167" s="229">
        <v>-5.5E-2</v>
      </c>
      <c r="CW167" s="230">
        <v>1875</v>
      </c>
      <c r="CX167" s="230">
        <v>1922</v>
      </c>
      <c r="CY167" s="228">
        <v>-47</v>
      </c>
      <c r="CZ167" s="229">
        <v>-2.4400000000000002E-2</v>
      </c>
      <c r="DA167" s="228">
        <v>31.76</v>
      </c>
      <c r="DB167" s="228">
        <v>31.61</v>
      </c>
      <c r="DC167" s="228">
        <v>0.15</v>
      </c>
      <c r="DD167" s="228">
        <v>0.15</v>
      </c>
      <c r="DE167" s="228">
        <v>29.36</v>
      </c>
      <c r="DF167" s="228">
        <v>29.41</v>
      </c>
      <c r="DG167" s="228">
        <v>2.4</v>
      </c>
      <c r="DH167" s="228">
        <v>-0.05</v>
      </c>
      <c r="DI167" s="228">
        <v>32.03</v>
      </c>
      <c r="DJ167" s="228">
        <v>31.91</v>
      </c>
      <c r="DK167" s="228">
        <v>0.12</v>
      </c>
      <c r="DL167" s="228">
        <v>0.12</v>
      </c>
      <c r="DM167" s="228">
        <v>26.92</v>
      </c>
      <c r="DN167" s="228">
        <v>28.23</v>
      </c>
      <c r="DO167" s="228">
        <v>-1.31</v>
      </c>
      <c r="DP167" s="228">
        <v>-1.31</v>
      </c>
      <c r="DQ167" s="228">
        <v>0.26</v>
      </c>
      <c r="DR167" s="228">
        <v>0.26</v>
      </c>
      <c r="DS167" s="228">
        <v>0</v>
      </c>
      <c r="DT167" s="229">
        <v>0</v>
      </c>
      <c r="DU167" s="231">
        <v>50000</v>
      </c>
      <c r="DV167" s="231">
        <v>48000</v>
      </c>
      <c r="DW167" s="228">
        <v>0.06</v>
      </c>
      <c r="DX167" s="228">
        <v>0.09</v>
      </c>
      <c r="DY167" s="228">
        <v>-0.03</v>
      </c>
      <c r="DZ167" s="229">
        <v>-0.33329999999999999</v>
      </c>
      <c r="EA167" s="229">
        <v>0.1</v>
      </c>
      <c r="EB167" s="230">
        <v>25650</v>
      </c>
      <c r="EC167" s="229">
        <v>-2.07E-2</v>
      </c>
      <c r="ED167" s="229">
        <v>0.1</v>
      </c>
      <c r="EE167" s="228">
        <v>-899.85</v>
      </c>
      <c r="EF167" s="229">
        <v>-1.9400000000000001E-2</v>
      </c>
      <c r="EG167" s="230">
        <v>7820</v>
      </c>
      <c r="EH167" s="230">
        <v>4992</v>
      </c>
      <c r="EI167" s="229">
        <v>0.5665</v>
      </c>
      <c r="EJ167" s="229">
        <v>0.55649999999999999</v>
      </c>
      <c r="EK167" s="228">
        <v>677.56</v>
      </c>
      <c r="EL167" s="228">
        <v>33.57</v>
      </c>
      <c r="EM167" s="228">
        <v>126.81</v>
      </c>
      <c r="EN167" s="228">
        <v>0</v>
      </c>
      <c r="EO167" s="228">
        <v>837.93</v>
      </c>
      <c r="EP167" s="228">
        <v>693.71</v>
      </c>
      <c r="EQ167" s="228">
        <v>144.22</v>
      </c>
      <c r="ER167" s="229">
        <v>0.2079</v>
      </c>
      <c r="ES167" s="228">
        <v>475.43</v>
      </c>
      <c r="ET167" s="228">
        <v>114.88</v>
      </c>
      <c r="EU167" s="231">
        <v>1315.49</v>
      </c>
      <c r="EV167" s="231">
        <v>1274066</v>
      </c>
      <c r="EW167" s="231">
        <v>1905.81</v>
      </c>
      <c r="EX167" s="231">
        <v>1962.22</v>
      </c>
      <c r="EY167" s="228">
        <v>-56.41</v>
      </c>
      <c r="EZ167" s="229">
        <v>-2.87E-2</v>
      </c>
      <c r="FA167" s="229">
        <v>0.3175</v>
      </c>
      <c r="FB167" s="227" t="s">
        <v>568</v>
      </c>
      <c r="FC167">
        <f t="shared" si="3"/>
        <v>0</v>
      </c>
    </row>
    <row r="168" spans="1:159" ht="17.25" thickBot="1" x14ac:dyDescent="0.3">
      <c r="A168" s="226">
        <v>45860</v>
      </c>
      <c r="B168" s="227" t="s">
        <v>168</v>
      </c>
      <c r="C168" s="227" t="s">
        <v>667</v>
      </c>
      <c r="D168" s="228">
        <v>300</v>
      </c>
      <c r="E168" s="228">
        <v>9</v>
      </c>
      <c r="F168" s="231">
        <v>1944.2</v>
      </c>
      <c r="G168" s="231">
        <v>1944.9</v>
      </c>
      <c r="H168" s="228">
        <v>-0.7</v>
      </c>
      <c r="I168" s="229">
        <v>-4.0000000000000002E-4</v>
      </c>
      <c r="J168" s="231">
        <v>1942</v>
      </c>
      <c r="K168" s="231">
        <v>1942</v>
      </c>
      <c r="L168" s="228">
        <v>0</v>
      </c>
      <c r="M168" s="229">
        <v>0</v>
      </c>
      <c r="N168" s="231">
        <v>1944.2</v>
      </c>
      <c r="O168" s="231">
        <v>1944.9</v>
      </c>
      <c r="P168" s="228">
        <v>-0.7</v>
      </c>
      <c r="Q168" s="229">
        <v>-4.0000000000000002E-4</v>
      </c>
      <c r="R168" s="231">
        <v>1949.3</v>
      </c>
      <c r="S168" s="231">
        <v>1952.8</v>
      </c>
      <c r="T168" s="228">
        <v>-3.5</v>
      </c>
      <c r="U168" s="229">
        <v>-1.8E-3</v>
      </c>
      <c r="V168" s="228">
        <v>0</v>
      </c>
      <c r="W168" s="228">
        <v>0</v>
      </c>
      <c r="X168" s="228">
        <v>0</v>
      </c>
      <c r="Y168" s="229">
        <v>0</v>
      </c>
      <c r="Z168" s="228">
        <v>2.2000000000000002</v>
      </c>
      <c r="AA168" s="228">
        <v>2.9</v>
      </c>
      <c r="AB168" s="228">
        <v>-0.7</v>
      </c>
      <c r="AC168" s="229">
        <v>1.1000000000000001E-3</v>
      </c>
      <c r="AD168" s="228">
        <v>2.2000000000000002</v>
      </c>
      <c r="AE168" s="228">
        <v>2.9</v>
      </c>
      <c r="AF168" s="228">
        <v>-0.7</v>
      </c>
      <c r="AG168" s="229">
        <v>1.1000000000000001E-3</v>
      </c>
      <c r="AH168" s="228">
        <v>7.3</v>
      </c>
      <c r="AI168" s="228">
        <v>10.8</v>
      </c>
      <c r="AJ168" s="228">
        <v>-3.5</v>
      </c>
      <c r="AK168" s="229">
        <v>3.8E-3</v>
      </c>
      <c r="AL168" s="228">
        <v>0</v>
      </c>
      <c r="AM168" s="228">
        <v>0</v>
      </c>
      <c r="AN168" s="228">
        <v>0</v>
      </c>
      <c r="AO168" s="229">
        <v>0</v>
      </c>
      <c r="AP168" s="231">
        <v>1952.74</v>
      </c>
      <c r="AQ168" s="231">
        <v>1957.94</v>
      </c>
      <c r="AR168" s="228">
        <v>0</v>
      </c>
      <c r="AS168" s="228">
        <v>213</v>
      </c>
      <c r="AT168" s="228">
        <v>340</v>
      </c>
      <c r="AU168" s="228">
        <v>-127</v>
      </c>
      <c r="AV168" s="229">
        <v>-0.37319999999999998</v>
      </c>
      <c r="AW168" s="228">
        <v>188</v>
      </c>
      <c r="AX168" s="228">
        <v>294</v>
      </c>
      <c r="AY168" s="228">
        <v>-106</v>
      </c>
      <c r="AZ168" s="229">
        <v>-0.36020000000000002</v>
      </c>
      <c r="BA168" s="228">
        <v>24</v>
      </c>
      <c r="BB168" s="228">
        <v>45</v>
      </c>
      <c r="BC168" s="228">
        <v>-21</v>
      </c>
      <c r="BD168" s="229">
        <v>-0.45960000000000001</v>
      </c>
      <c r="BE168" s="228">
        <v>0</v>
      </c>
      <c r="BF168" s="228">
        <v>0</v>
      </c>
      <c r="BG168" s="228">
        <v>0</v>
      </c>
      <c r="BH168" s="229">
        <v>0</v>
      </c>
      <c r="BI168" s="228">
        <v>769</v>
      </c>
      <c r="BJ168" s="230">
        <v>1233</v>
      </c>
      <c r="BK168" s="228">
        <v>-464</v>
      </c>
      <c r="BL168" s="229">
        <v>-0.37640000000000001</v>
      </c>
      <c r="BM168" s="228">
        <v>448</v>
      </c>
      <c r="BN168" s="228">
        <v>591</v>
      </c>
      <c r="BO168" s="228">
        <v>-143</v>
      </c>
      <c r="BP168" s="229">
        <v>-0.24149999999999999</v>
      </c>
      <c r="BQ168" s="230">
        <v>1430</v>
      </c>
      <c r="BR168" s="230">
        <v>2164</v>
      </c>
      <c r="BS168" s="228">
        <v>-734</v>
      </c>
      <c r="BT168" s="229">
        <v>-0.33900000000000002</v>
      </c>
      <c r="BU168" s="230">
        <v>632114</v>
      </c>
      <c r="BV168" s="230">
        <v>1146139</v>
      </c>
      <c r="BW168" s="230">
        <v>-514025</v>
      </c>
      <c r="BX168" s="229">
        <v>-0.44850000000000001</v>
      </c>
      <c r="BY168" s="230">
        <v>1900</v>
      </c>
      <c r="BZ168" s="230">
        <v>1943</v>
      </c>
      <c r="CA168" s="228">
        <v>-44</v>
      </c>
      <c r="CB168" s="229">
        <v>-2.2499999999999999E-2</v>
      </c>
      <c r="CC168" s="230">
        <v>1648</v>
      </c>
      <c r="CD168" s="230">
        <v>1693</v>
      </c>
      <c r="CE168" s="228">
        <v>-45</v>
      </c>
      <c r="CF168" s="229">
        <v>-2.6499999999999999E-2</v>
      </c>
      <c r="CG168" s="228">
        <v>247</v>
      </c>
      <c r="CH168" s="228">
        <v>246</v>
      </c>
      <c r="CI168" s="228">
        <v>1</v>
      </c>
      <c r="CJ168" s="229">
        <v>4.3E-3</v>
      </c>
      <c r="CK168" s="228">
        <v>0</v>
      </c>
      <c r="CL168" s="228">
        <v>0</v>
      </c>
      <c r="CM168" s="228">
        <v>0</v>
      </c>
      <c r="CN168" s="229">
        <v>0</v>
      </c>
      <c r="CO168" s="228">
        <v>981</v>
      </c>
      <c r="CP168" s="230">
        <v>1029</v>
      </c>
      <c r="CQ168" s="228">
        <v>-47</v>
      </c>
      <c r="CR168" s="229">
        <v>-4.5999999999999999E-2</v>
      </c>
      <c r="CS168" s="228">
        <v>514</v>
      </c>
      <c r="CT168" s="228">
        <v>541</v>
      </c>
      <c r="CU168" s="228">
        <v>-27</v>
      </c>
      <c r="CV168" s="229">
        <v>-4.99E-2</v>
      </c>
      <c r="CW168" s="230">
        <v>3395</v>
      </c>
      <c r="CX168" s="230">
        <v>3513</v>
      </c>
      <c r="CY168" s="228">
        <v>-118</v>
      </c>
      <c r="CZ168" s="229">
        <v>-3.3599999999999998E-2</v>
      </c>
      <c r="DA168" s="228">
        <v>35.590000000000003</v>
      </c>
      <c r="DB168" s="228">
        <v>37.74</v>
      </c>
      <c r="DC168" s="228">
        <v>-2.15</v>
      </c>
      <c r="DD168" s="228">
        <v>-2.15</v>
      </c>
      <c r="DE168" s="228">
        <v>37.700000000000003</v>
      </c>
      <c r="DF168" s="228">
        <v>37.79</v>
      </c>
      <c r="DG168" s="228">
        <v>-2.11</v>
      </c>
      <c r="DH168" s="228">
        <v>-0.09</v>
      </c>
      <c r="DI168" s="228">
        <v>34.83</v>
      </c>
      <c r="DJ168" s="228">
        <v>37.22</v>
      </c>
      <c r="DK168" s="228">
        <v>-2.39</v>
      </c>
      <c r="DL168" s="228">
        <v>-2.39</v>
      </c>
      <c r="DM168" s="228">
        <v>36.9</v>
      </c>
      <c r="DN168" s="228">
        <v>38.83</v>
      </c>
      <c r="DO168" s="228">
        <v>-1.93</v>
      </c>
      <c r="DP168" s="228">
        <v>-1.93</v>
      </c>
      <c r="DQ168" s="228">
        <v>0.52</v>
      </c>
      <c r="DR168" s="228">
        <v>0.53</v>
      </c>
      <c r="DS168" s="228">
        <v>-0.01</v>
      </c>
      <c r="DT168" s="229">
        <v>-1.89E-2</v>
      </c>
      <c r="DU168" s="231">
        <v>2000</v>
      </c>
      <c r="DV168" s="231">
        <v>1800</v>
      </c>
      <c r="DW168" s="228">
        <v>0.57999999999999996</v>
      </c>
      <c r="DX168" s="228">
        <v>0.48</v>
      </c>
      <c r="DY168" s="228">
        <v>0.1</v>
      </c>
      <c r="DZ168" s="229">
        <v>0.20830000000000001</v>
      </c>
      <c r="EA168" s="229">
        <v>0.13</v>
      </c>
      <c r="EB168" s="230">
        <v>1264500</v>
      </c>
      <c r="EC168" s="229">
        <v>2.5999999999999999E-3</v>
      </c>
      <c r="ED168" s="229">
        <v>0.13</v>
      </c>
      <c r="EE168" s="228">
        <v>5.2</v>
      </c>
      <c r="EF168" s="229">
        <v>2.7000000000000001E-3</v>
      </c>
      <c r="EG168" s="230">
        <v>188482</v>
      </c>
      <c r="EH168" s="230">
        <v>289152</v>
      </c>
      <c r="EI168" s="229">
        <v>-0.34820000000000001</v>
      </c>
      <c r="EJ168" s="229">
        <v>0.29820000000000002</v>
      </c>
      <c r="EK168" s="228">
        <v>805.62</v>
      </c>
      <c r="EL168" s="228">
        <v>435.72</v>
      </c>
      <c r="EM168" s="228">
        <v>213.83</v>
      </c>
      <c r="EN168" s="228">
        <v>0</v>
      </c>
      <c r="EO168" s="231">
        <v>1455.17</v>
      </c>
      <c r="EP168" s="231">
        <v>2191.6</v>
      </c>
      <c r="EQ168" s="228">
        <v>-736.43</v>
      </c>
      <c r="ER168" s="229">
        <v>-0.33600000000000002</v>
      </c>
      <c r="ES168" s="228">
        <v>975.64</v>
      </c>
      <c r="ET168" s="228">
        <v>472.44</v>
      </c>
      <c r="EU168" s="231">
        <v>1900.16</v>
      </c>
      <c r="EV168" s="231">
        <v>22129978</v>
      </c>
      <c r="EW168" s="231">
        <v>3348.25</v>
      </c>
      <c r="EX168" s="231">
        <v>3463.18</v>
      </c>
      <c r="EY168" s="228">
        <v>-114.93</v>
      </c>
      <c r="EZ168" s="229">
        <v>-3.32E-2</v>
      </c>
      <c r="FA168" s="229">
        <v>0.78900000000000003</v>
      </c>
      <c r="FB168" s="227" t="s">
        <v>568</v>
      </c>
      <c r="FC168">
        <f t="shared" si="3"/>
        <v>0</v>
      </c>
    </row>
    <row r="169" spans="1:159" ht="17.25" thickBot="1" x14ac:dyDescent="0.3">
      <c r="A169" s="226">
        <v>45860</v>
      </c>
      <c r="B169" s="227" t="s">
        <v>616</v>
      </c>
      <c r="C169" s="227" t="s">
        <v>576</v>
      </c>
      <c r="D169" s="228">
        <v>725</v>
      </c>
      <c r="E169" s="228">
        <v>9</v>
      </c>
      <c r="F169" s="231">
        <v>1055.2</v>
      </c>
      <c r="G169" s="231">
        <v>1019.55</v>
      </c>
      <c r="H169" s="228">
        <v>35.65</v>
      </c>
      <c r="I169" s="229">
        <v>3.5000000000000003E-2</v>
      </c>
      <c r="J169" s="231">
        <v>1051.05</v>
      </c>
      <c r="K169" s="231">
        <v>1017.7</v>
      </c>
      <c r="L169" s="228">
        <v>33.35</v>
      </c>
      <c r="M169" s="229">
        <v>3.2800000000000003E-2</v>
      </c>
      <c r="N169" s="231">
        <v>1055.2</v>
      </c>
      <c r="O169" s="231">
        <v>1019.55</v>
      </c>
      <c r="P169" s="228">
        <v>35.65</v>
      </c>
      <c r="Q169" s="229">
        <v>3.5000000000000003E-2</v>
      </c>
      <c r="R169" s="231">
        <v>1061.3</v>
      </c>
      <c r="S169" s="231">
        <v>1024.9000000000001</v>
      </c>
      <c r="T169" s="228">
        <v>36.4</v>
      </c>
      <c r="U169" s="229">
        <v>3.5499999999999997E-2</v>
      </c>
      <c r="V169" s="228">
        <v>0</v>
      </c>
      <c r="W169" s="228">
        <v>0</v>
      </c>
      <c r="X169" s="228">
        <v>0</v>
      </c>
      <c r="Y169" s="229">
        <v>0</v>
      </c>
      <c r="Z169" s="228">
        <v>4.1500000000000004</v>
      </c>
      <c r="AA169" s="228">
        <v>1.85</v>
      </c>
      <c r="AB169" s="228">
        <v>2.2999999999999998</v>
      </c>
      <c r="AC169" s="229">
        <v>3.8999999999999998E-3</v>
      </c>
      <c r="AD169" s="228">
        <v>4.1500000000000004</v>
      </c>
      <c r="AE169" s="228">
        <v>1.85</v>
      </c>
      <c r="AF169" s="228">
        <v>2.2999999999999998</v>
      </c>
      <c r="AG169" s="229">
        <v>3.8999999999999998E-3</v>
      </c>
      <c r="AH169" s="228">
        <v>10.25</v>
      </c>
      <c r="AI169" s="228">
        <v>7.2</v>
      </c>
      <c r="AJ169" s="228">
        <v>3.05</v>
      </c>
      <c r="AK169" s="229">
        <v>9.7999999999999997E-3</v>
      </c>
      <c r="AL169" s="228">
        <v>0</v>
      </c>
      <c r="AM169" s="228">
        <v>0</v>
      </c>
      <c r="AN169" s="228">
        <v>0</v>
      </c>
      <c r="AO169" s="229">
        <v>0</v>
      </c>
      <c r="AP169" s="231">
        <v>1048.32</v>
      </c>
      <c r="AQ169" s="231">
        <v>1054.1500000000001</v>
      </c>
      <c r="AR169" s="228">
        <v>0</v>
      </c>
      <c r="AS169" s="230">
        <v>1697</v>
      </c>
      <c r="AT169" s="228">
        <v>566</v>
      </c>
      <c r="AU169" s="230">
        <v>1131</v>
      </c>
      <c r="AV169" s="229">
        <v>1.9977</v>
      </c>
      <c r="AW169" s="230">
        <v>1539</v>
      </c>
      <c r="AX169" s="228">
        <v>519</v>
      </c>
      <c r="AY169" s="230">
        <v>1020</v>
      </c>
      <c r="AZ169" s="229">
        <v>1.9670000000000001</v>
      </c>
      <c r="BA169" s="228">
        <v>150</v>
      </c>
      <c r="BB169" s="228">
        <v>45</v>
      </c>
      <c r="BC169" s="228">
        <v>105</v>
      </c>
      <c r="BD169" s="229">
        <v>2.3677000000000001</v>
      </c>
      <c r="BE169" s="228">
        <v>0</v>
      </c>
      <c r="BF169" s="228">
        <v>0</v>
      </c>
      <c r="BG169" s="228">
        <v>0</v>
      </c>
      <c r="BH169" s="229">
        <v>0</v>
      </c>
      <c r="BI169" s="230">
        <v>5853</v>
      </c>
      <c r="BJ169" s="230">
        <v>1203</v>
      </c>
      <c r="BK169" s="230">
        <v>4650</v>
      </c>
      <c r="BL169" s="229">
        <v>3.8641999999999999</v>
      </c>
      <c r="BM169" s="230">
        <v>2385</v>
      </c>
      <c r="BN169" s="228">
        <v>666</v>
      </c>
      <c r="BO169" s="230">
        <v>1719</v>
      </c>
      <c r="BP169" s="229">
        <v>2.5815999999999999</v>
      </c>
      <c r="BQ169" s="230">
        <v>9936</v>
      </c>
      <c r="BR169" s="230">
        <v>2436</v>
      </c>
      <c r="BS169" s="230">
        <v>7501</v>
      </c>
      <c r="BT169" s="229">
        <v>3.0796000000000001</v>
      </c>
      <c r="BU169" s="230">
        <v>9516052</v>
      </c>
      <c r="BV169" s="230">
        <v>3316859</v>
      </c>
      <c r="BW169" s="230">
        <v>6199193</v>
      </c>
      <c r="BX169" s="229">
        <v>1.869</v>
      </c>
      <c r="BY169" s="230">
        <v>2709</v>
      </c>
      <c r="BZ169" s="230">
        <v>2882</v>
      </c>
      <c r="CA169" s="228">
        <v>-173</v>
      </c>
      <c r="CB169" s="229">
        <v>-6.0100000000000001E-2</v>
      </c>
      <c r="CC169" s="230">
        <v>2591</v>
      </c>
      <c r="CD169" s="230">
        <v>2786</v>
      </c>
      <c r="CE169" s="228">
        <v>-195</v>
      </c>
      <c r="CF169" s="229">
        <v>-7.0000000000000007E-2</v>
      </c>
      <c r="CG169" s="228">
        <v>107</v>
      </c>
      <c r="CH169" s="228">
        <v>88</v>
      </c>
      <c r="CI169" s="228">
        <v>19</v>
      </c>
      <c r="CJ169" s="229">
        <v>0.21340000000000001</v>
      </c>
      <c r="CK169" s="228">
        <v>0</v>
      </c>
      <c r="CL169" s="228">
        <v>0</v>
      </c>
      <c r="CM169" s="228">
        <v>0</v>
      </c>
      <c r="CN169" s="229">
        <v>0</v>
      </c>
      <c r="CO169" s="230">
        <v>1320</v>
      </c>
      <c r="CP169" s="228">
        <v>867</v>
      </c>
      <c r="CQ169" s="228">
        <v>454</v>
      </c>
      <c r="CR169" s="229">
        <v>0.52310000000000001</v>
      </c>
      <c r="CS169" s="228">
        <v>941</v>
      </c>
      <c r="CT169" s="228">
        <v>733</v>
      </c>
      <c r="CU169" s="228">
        <v>208</v>
      </c>
      <c r="CV169" s="229">
        <v>0.28420000000000001</v>
      </c>
      <c r="CW169" s="230">
        <v>4970</v>
      </c>
      <c r="CX169" s="230">
        <v>4482</v>
      </c>
      <c r="CY169" s="228">
        <v>488</v>
      </c>
      <c r="CZ169" s="229">
        <v>0.109</v>
      </c>
      <c r="DA169" s="228">
        <v>63.89</v>
      </c>
      <c r="DB169" s="228">
        <v>49.53</v>
      </c>
      <c r="DC169" s="228">
        <v>14.36</v>
      </c>
      <c r="DD169" s="228">
        <v>14.36</v>
      </c>
      <c r="DE169" s="228">
        <v>60.87</v>
      </c>
      <c r="DF169" s="228">
        <v>60.85</v>
      </c>
      <c r="DG169" s="228">
        <v>3.02</v>
      </c>
      <c r="DH169" s="228">
        <v>0.02</v>
      </c>
      <c r="DI169" s="228">
        <v>64.040000000000006</v>
      </c>
      <c r="DJ169" s="228">
        <v>48.96</v>
      </c>
      <c r="DK169" s="228">
        <v>15.08</v>
      </c>
      <c r="DL169" s="228">
        <v>15.08</v>
      </c>
      <c r="DM169" s="228">
        <v>63.51</v>
      </c>
      <c r="DN169" s="228">
        <v>50.55</v>
      </c>
      <c r="DO169" s="228">
        <v>12.96</v>
      </c>
      <c r="DP169" s="228">
        <v>12.96</v>
      </c>
      <c r="DQ169" s="228">
        <v>0.71</v>
      </c>
      <c r="DR169" s="228">
        <v>0.84</v>
      </c>
      <c r="DS169" s="228">
        <v>-0.13</v>
      </c>
      <c r="DT169" s="229">
        <v>-0.15479999999999999</v>
      </c>
      <c r="DU169" s="231">
        <v>1040</v>
      </c>
      <c r="DV169" s="231">
        <v>1000</v>
      </c>
      <c r="DW169" s="228">
        <v>0.41</v>
      </c>
      <c r="DX169" s="228">
        <v>0.55000000000000004</v>
      </c>
      <c r="DY169" s="228">
        <v>-0.14000000000000001</v>
      </c>
      <c r="DZ169" s="229">
        <v>-0.2545</v>
      </c>
      <c r="EA169" s="229">
        <v>3.9300000000000002E-2</v>
      </c>
      <c r="EB169" s="230">
        <v>832300</v>
      </c>
      <c r="EC169" s="229">
        <v>5.7999999999999996E-3</v>
      </c>
      <c r="ED169" s="229">
        <v>3.9300000000000002E-2</v>
      </c>
      <c r="EE169" s="228">
        <v>5.83</v>
      </c>
      <c r="EF169" s="229">
        <v>5.5999999999999999E-3</v>
      </c>
      <c r="EG169" s="230">
        <v>3056346</v>
      </c>
      <c r="EH169" s="230">
        <v>1164315</v>
      </c>
      <c r="EI169" s="229">
        <v>1.625</v>
      </c>
      <c r="EJ169" s="229">
        <v>0.32119999999999999</v>
      </c>
      <c r="EK169" s="231">
        <v>6101.56</v>
      </c>
      <c r="EL169" s="231">
        <v>2282.35</v>
      </c>
      <c r="EM169" s="231">
        <v>1687.11</v>
      </c>
      <c r="EN169" s="228">
        <v>0</v>
      </c>
      <c r="EO169" s="231">
        <v>10071.01</v>
      </c>
      <c r="EP169" s="231">
        <v>2378.83</v>
      </c>
      <c r="EQ169" s="231">
        <v>7692.19</v>
      </c>
      <c r="ER169" s="229">
        <v>3.2336</v>
      </c>
      <c r="ES169" s="231">
        <v>1296.1099999999999</v>
      </c>
      <c r="ET169" s="228">
        <v>844.84</v>
      </c>
      <c r="EU169" s="231">
        <v>2709.91</v>
      </c>
      <c r="EV169" s="231">
        <v>127569096</v>
      </c>
      <c r="EW169" s="231">
        <v>4850.8500000000004</v>
      </c>
      <c r="EX169" s="231">
        <v>4248.32</v>
      </c>
      <c r="EY169" s="228">
        <v>602.53</v>
      </c>
      <c r="EZ169" s="229">
        <v>0.14180000000000001</v>
      </c>
      <c r="FA169" s="229">
        <v>0.36919999999999997</v>
      </c>
      <c r="FB169" s="227" t="s">
        <v>556</v>
      </c>
      <c r="FC169">
        <f t="shared" si="3"/>
        <v>0</v>
      </c>
    </row>
    <row r="170" spans="1:159" ht="17.25" thickBot="1" x14ac:dyDescent="0.3">
      <c r="A170" s="226">
        <v>45860</v>
      </c>
      <c r="B170" s="227" t="s">
        <v>175</v>
      </c>
      <c r="C170" s="227" t="s">
        <v>271</v>
      </c>
      <c r="D170" s="228">
        <v>750</v>
      </c>
      <c r="E170" s="228">
        <v>9</v>
      </c>
      <c r="F170" s="231">
        <v>1287.8</v>
      </c>
      <c r="G170" s="231">
        <v>1305.8</v>
      </c>
      <c r="H170" s="228">
        <v>-18</v>
      </c>
      <c r="I170" s="229">
        <v>-1.38E-2</v>
      </c>
      <c r="J170" s="231">
        <v>1287.4000000000001</v>
      </c>
      <c r="K170" s="231">
        <v>1301.7</v>
      </c>
      <c r="L170" s="228">
        <v>-14.3</v>
      </c>
      <c r="M170" s="229">
        <v>-1.0999999999999999E-2</v>
      </c>
      <c r="N170" s="231">
        <v>1287.8</v>
      </c>
      <c r="O170" s="231">
        <v>1305.8</v>
      </c>
      <c r="P170" s="228">
        <v>-18</v>
      </c>
      <c r="Q170" s="229">
        <v>-1.38E-2</v>
      </c>
      <c r="R170" s="228">
        <v>0</v>
      </c>
      <c r="S170" s="228">
        <v>0</v>
      </c>
      <c r="T170" s="228">
        <v>0</v>
      </c>
      <c r="U170" s="229">
        <v>0</v>
      </c>
      <c r="V170" s="228">
        <v>0</v>
      </c>
      <c r="W170" s="228">
        <v>0</v>
      </c>
      <c r="X170" s="228">
        <v>0</v>
      </c>
      <c r="Y170" s="229">
        <v>0</v>
      </c>
      <c r="Z170" s="228">
        <v>0.4</v>
      </c>
      <c r="AA170" s="228">
        <v>4.0999999999999996</v>
      </c>
      <c r="AB170" s="228">
        <v>-3.7</v>
      </c>
      <c r="AC170" s="229">
        <v>2.9999999999999997E-4</v>
      </c>
      <c r="AD170" s="228">
        <v>0.4</v>
      </c>
      <c r="AE170" s="228">
        <v>4.0999999999999996</v>
      </c>
      <c r="AF170" s="228">
        <v>-3.7</v>
      </c>
      <c r="AG170" s="229">
        <v>2.9999999999999997E-4</v>
      </c>
      <c r="AH170" s="228">
        <v>0</v>
      </c>
      <c r="AI170" s="228">
        <v>0</v>
      </c>
      <c r="AJ170" s="228">
        <v>0</v>
      </c>
      <c r="AK170" s="229">
        <v>0</v>
      </c>
      <c r="AL170" s="228">
        <v>0</v>
      </c>
      <c r="AM170" s="228">
        <v>0</v>
      </c>
      <c r="AN170" s="228">
        <v>0</v>
      </c>
      <c r="AO170" s="229">
        <v>0</v>
      </c>
      <c r="AP170" s="231">
        <v>1291.1500000000001</v>
      </c>
      <c r="AQ170" s="228">
        <v>0</v>
      </c>
      <c r="AR170" s="228">
        <v>0</v>
      </c>
      <c r="AS170" s="228">
        <v>116</v>
      </c>
      <c r="AT170" s="228">
        <v>200</v>
      </c>
      <c r="AU170" s="228">
        <v>-84</v>
      </c>
      <c r="AV170" s="229">
        <v>-0.42099999999999999</v>
      </c>
      <c r="AW170" s="228">
        <v>116</v>
      </c>
      <c r="AX170" s="228">
        <v>200</v>
      </c>
      <c r="AY170" s="228">
        <v>-84</v>
      </c>
      <c r="AZ170" s="229">
        <v>-0.42099999999999999</v>
      </c>
      <c r="BA170" s="228">
        <v>0</v>
      </c>
      <c r="BB170" s="228">
        <v>0</v>
      </c>
      <c r="BC170" s="228">
        <v>0</v>
      </c>
      <c r="BD170" s="229">
        <v>0</v>
      </c>
      <c r="BE170" s="228">
        <v>0</v>
      </c>
      <c r="BF170" s="228">
        <v>0</v>
      </c>
      <c r="BG170" s="228">
        <v>0</v>
      </c>
      <c r="BH170" s="229">
        <v>0</v>
      </c>
      <c r="BI170" s="228">
        <v>357</v>
      </c>
      <c r="BJ170" s="228">
        <v>574</v>
      </c>
      <c r="BK170" s="228">
        <v>-217</v>
      </c>
      <c r="BL170" s="229">
        <v>-0.37769999999999998</v>
      </c>
      <c r="BM170" s="228">
        <v>267</v>
      </c>
      <c r="BN170" s="228">
        <v>539</v>
      </c>
      <c r="BO170" s="228">
        <v>-272</v>
      </c>
      <c r="BP170" s="229">
        <v>-0.50449999999999995</v>
      </c>
      <c r="BQ170" s="228">
        <v>740</v>
      </c>
      <c r="BR170" s="230">
        <v>1313</v>
      </c>
      <c r="BS170" s="228">
        <v>-573</v>
      </c>
      <c r="BT170" s="229">
        <v>-0.43630000000000002</v>
      </c>
      <c r="BU170" s="230">
        <v>430232</v>
      </c>
      <c r="BV170" s="230">
        <v>439200</v>
      </c>
      <c r="BW170" s="230">
        <v>-8968</v>
      </c>
      <c r="BX170" s="229">
        <v>-2.0400000000000001E-2</v>
      </c>
      <c r="BY170" s="228">
        <v>726</v>
      </c>
      <c r="BZ170" s="228">
        <v>737</v>
      </c>
      <c r="CA170" s="228">
        <v>-11</v>
      </c>
      <c r="CB170" s="229">
        <v>-1.52E-2</v>
      </c>
      <c r="CC170" s="228">
        <v>726</v>
      </c>
      <c r="CD170" s="228">
        <v>737</v>
      </c>
      <c r="CE170" s="228">
        <v>-11</v>
      </c>
      <c r="CF170" s="229">
        <v>-1.52E-2</v>
      </c>
      <c r="CG170" s="228">
        <v>0</v>
      </c>
      <c r="CH170" s="228">
        <v>0</v>
      </c>
      <c r="CI170" s="228">
        <v>0</v>
      </c>
      <c r="CJ170" s="229">
        <v>0</v>
      </c>
      <c r="CK170" s="228">
        <v>0</v>
      </c>
      <c r="CL170" s="228">
        <v>0</v>
      </c>
      <c r="CM170" s="228">
        <v>0</v>
      </c>
      <c r="CN170" s="229">
        <v>0</v>
      </c>
      <c r="CO170" s="228">
        <v>537</v>
      </c>
      <c r="CP170" s="228">
        <v>544</v>
      </c>
      <c r="CQ170" s="228">
        <v>-6</v>
      </c>
      <c r="CR170" s="229">
        <v>-1.1900000000000001E-2</v>
      </c>
      <c r="CS170" s="228">
        <v>382</v>
      </c>
      <c r="CT170" s="228">
        <v>420</v>
      </c>
      <c r="CU170" s="228">
        <v>-38</v>
      </c>
      <c r="CV170" s="229">
        <v>-9.0200000000000002E-2</v>
      </c>
      <c r="CW170" s="230">
        <v>1645</v>
      </c>
      <c r="CX170" s="230">
        <v>1701</v>
      </c>
      <c r="CY170" s="228">
        <v>-56</v>
      </c>
      <c r="CZ170" s="229">
        <v>-3.27E-2</v>
      </c>
      <c r="DA170" s="228">
        <v>35.67</v>
      </c>
      <c r="DB170" s="228">
        <v>31.35</v>
      </c>
      <c r="DC170" s="228">
        <v>4.32</v>
      </c>
      <c r="DD170" s="228">
        <v>4.32</v>
      </c>
      <c r="DE170" s="228">
        <v>45.77</v>
      </c>
      <c r="DF170" s="228">
        <v>45.84</v>
      </c>
      <c r="DG170" s="228">
        <v>-10.1</v>
      </c>
      <c r="DH170" s="228">
        <v>-7.0000000000000007E-2</v>
      </c>
      <c r="DI170" s="228">
        <v>35.11</v>
      </c>
      <c r="DJ170" s="228">
        <v>32.1</v>
      </c>
      <c r="DK170" s="228">
        <v>3.01</v>
      </c>
      <c r="DL170" s="228">
        <v>3.01</v>
      </c>
      <c r="DM170" s="228">
        <v>36.409999999999997</v>
      </c>
      <c r="DN170" s="228">
        <v>30.56</v>
      </c>
      <c r="DO170" s="228">
        <v>5.85</v>
      </c>
      <c r="DP170" s="228">
        <v>5.85</v>
      </c>
      <c r="DQ170" s="228">
        <v>0.71</v>
      </c>
      <c r="DR170" s="228">
        <v>0.77</v>
      </c>
      <c r="DS170" s="228">
        <v>-0.06</v>
      </c>
      <c r="DT170" s="229">
        <v>-7.7899999999999997E-2</v>
      </c>
      <c r="DU170" s="231">
        <v>1400</v>
      </c>
      <c r="DV170" s="231">
        <v>1200</v>
      </c>
      <c r="DW170" s="228">
        <v>0.75</v>
      </c>
      <c r="DX170" s="228">
        <v>0.94</v>
      </c>
      <c r="DY170" s="228">
        <v>-0.19</v>
      </c>
      <c r="DZ170" s="229">
        <v>-0.2021</v>
      </c>
      <c r="EA170" s="229">
        <v>0</v>
      </c>
      <c r="EB170" s="228">
        <v>0</v>
      </c>
      <c r="EC170" s="229">
        <v>0</v>
      </c>
      <c r="ED170" s="229">
        <v>0</v>
      </c>
      <c r="EE170" s="228">
        <v>0</v>
      </c>
      <c r="EF170" s="229">
        <v>0</v>
      </c>
      <c r="EG170" s="230">
        <v>231100</v>
      </c>
      <c r="EH170" s="230">
        <v>101680</v>
      </c>
      <c r="EI170" s="229">
        <v>1.2727999999999999</v>
      </c>
      <c r="EJ170" s="229">
        <v>0.53720000000000001</v>
      </c>
      <c r="EK170" s="228">
        <v>376.41</v>
      </c>
      <c r="EL170" s="228">
        <v>261.76</v>
      </c>
      <c r="EM170" s="228">
        <v>116.01</v>
      </c>
      <c r="EN170" s="228">
        <v>0</v>
      </c>
      <c r="EO170" s="228">
        <v>754.18</v>
      </c>
      <c r="EP170" s="231">
        <v>1353.52</v>
      </c>
      <c r="EQ170" s="228">
        <v>-599.34</v>
      </c>
      <c r="ER170" s="229">
        <v>-0.44280000000000003</v>
      </c>
      <c r="ES170" s="228">
        <v>552.04</v>
      </c>
      <c r="ET170" s="228">
        <v>359.27</v>
      </c>
      <c r="EU170" s="228">
        <v>725.84</v>
      </c>
      <c r="EV170" s="231">
        <v>24011656</v>
      </c>
      <c r="EW170" s="231">
        <v>1637.15</v>
      </c>
      <c r="EX170" s="231">
        <v>1701.1</v>
      </c>
      <c r="EY170" s="228">
        <v>-63.95</v>
      </c>
      <c r="EZ170" s="229">
        <v>-3.7600000000000001E-2</v>
      </c>
      <c r="FA170" s="229">
        <v>0.53210000000000002</v>
      </c>
      <c r="FB170" s="227" t="s">
        <v>568</v>
      </c>
      <c r="FC170">
        <f t="shared" si="3"/>
        <v>0</v>
      </c>
    </row>
    <row r="171" spans="1:159" ht="17.25" thickBot="1" x14ac:dyDescent="0.3">
      <c r="A171" s="226">
        <v>45860</v>
      </c>
      <c r="B171" s="227" t="s">
        <v>221</v>
      </c>
      <c r="C171" s="227" t="s">
        <v>529</v>
      </c>
      <c r="D171" s="228">
        <v>100</v>
      </c>
      <c r="E171" s="228">
        <v>9</v>
      </c>
      <c r="F171" s="231">
        <v>5728.5</v>
      </c>
      <c r="G171" s="231">
        <v>5779</v>
      </c>
      <c r="H171" s="228">
        <v>-50.5</v>
      </c>
      <c r="I171" s="229">
        <v>-8.6999999999999994E-3</v>
      </c>
      <c r="J171" s="231">
        <v>5713.5</v>
      </c>
      <c r="K171" s="231">
        <v>5779</v>
      </c>
      <c r="L171" s="228">
        <v>-65.5</v>
      </c>
      <c r="M171" s="229">
        <v>-1.1299999999999999E-2</v>
      </c>
      <c r="N171" s="231">
        <v>5728.5</v>
      </c>
      <c r="O171" s="231">
        <v>5779</v>
      </c>
      <c r="P171" s="228">
        <v>-50.5</v>
      </c>
      <c r="Q171" s="229">
        <v>-8.6999999999999994E-3</v>
      </c>
      <c r="R171" s="231">
        <v>5755</v>
      </c>
      <c r="S171" s="231">
        <v>5799</v>
      </c>
      <c r="T171" s="228">
        <v>-44</v>
      </c>
      <c r="U171" s="229">
        <v>-7.6E-3</v>
      </c>
      <c r="V171" s="228">
        <v>0</v>
      </c>
      <c r="W171" s="228">
        <v>0</v>
      </c>
      <c r="X171" s="228">
        <v>0</v>
      </c>
      <c r="Y171" s="229">
        <v>0</v>
      </c>
      <c r="Z171" s="228">
        <v>15</v>
      </c>
      <c r="AA171" s="228">
        <v>0</v>
      </c>
      <c r="AB171" s="228">
        <v>15</v>
      </c>
      <c r="AC171" s="229">
        <v>2.5999999999999999E-3</v>
      </c>
      <c r="AD171" s="228">
        <v>15</v>
      </c>
      <c r="AE171" s="228">
        <v>0</v>
      </c>
      <c r="AF171" s="228">
        <v>15</v>
      </c>
      <c r="AG171" s="229">
        <v>2.5999999999999999E-3</v>
      </c>
      <c r="AH171" s="228">
        <v>41.5</v>
      </c>
      <c r="AI171" s="228">
        <v>20</v>
      </c>
      <c r="AJ171" s="228">
        <v>21.5</v>
      </c>
      <c r="AK171" s="229">
        <v>7.3000000000000001E-3</v>
      </c>
      <c r="AL171" s="228">
        <v>0</v>
      </c>
      <c r="AM171" s="228">
        <v>0</v>
      </c>
      <c r="AN171" s="228">
        <v>0</v>
      </c>
      <c r="AO171" s="229">
        <v>0</v>
      </c>
      <c r="AP171" s="231">
        <v>5791.84</v>
      </c>
      <c r="AQ171" s="231">
        <v>5813.28</v>
      </c>
      <c r="AR171" s="228">
        <v>0</v>
      </c>
      <c r="AS171" s="228">
        <v>406</v>
      </c>
      <c r="AT171" s="228">
        <v>752</v>
      </c>
      <c r="AU171" s="228">
        <v>-346</v>
      </c>
      <c r="AV171" s="229">
        <v>-0.46</v>
      </c>
      <c r="AW171" s="228">
        <v>338</v>
      </c>
      <c r="AX171" s="228">
        <v>667</v>
      </c>
      <c r="AY171" s="228">
        <v>-330</v>
      </c>
      <c r="AZ171" s="229">
        <v>-0.49380000000000002</v>
      </c>
      <c r="BA171" s="228">
        <v>62</v>
      </c>
      <c r="BB171" s="228">
        <v>77</v>
      </c>
      <c r="BC171" s="228">
        <v>-15</v>
      </c>
      <c r="BD171" s="229">
        <v>-0.19259999999999999</v>
      </c>
      <c r="BE171" s="228">
        <v>0</v>
      </c>
      <c r="BF171" s="228">
        <v>0</v>
      </c>
      <c r="BG171" s="228">
        <v>0</v>
      </c>
      <c r="BH171" s="229">
        <v>0</v>
      </c>
      <c r="BI171" s="230">
        <v>1295</v>
      </c>
      <c r="BJ171" s="230">
        <v>2115</v>
      </c>
      <c r="BK171" s="228">
        <v>-820</v>
      </c>
      <c r="BL171" s="229">
        <v>-0.38750000000000001</v>
      </c>
      <c r="BM171" s="228">
        <v>530</v>
      </c>
      <c r="BN171" s="228">
        <v>842</v>
      </c>
      <c r="BO171" s="228">
        <v>-312</v>
      </c>
      <c r="BP171" s="229">
        <v>-0.37080000000000002</v>
      </c>
      <c r="BQ171" s="230">
        <v>2231</v>
      </c>
      <c r="BR171" s="230">
        <v>3709</v>
      </c>
      <c r="BS171" s="230">
        <v>-1478</v>
      </c>
      <c r="BT171" s="229">
        <v>-0.39839999999999998</v>
      </c>
      <c r="BU171" s="230">
        <v>384703</v>
      </c>
      <c r="BV171" s="230">
        <v>715362</v>
      </c>
      <c r="BW171" s="230">
        <v>-330659</v>
      </c>
      <c r="BX171" s="229">
        <v>-0.4622</v>
      </c>
      <c r="BY171" s="230">
        <v>1735</v>
      </c>
      <c r="BZ171" s="230">
        <v>1742</v>
      </c>
      <c r="CA171" s="228">
        <v>-7</v>
      </c>
      <c r="CB171" s="229">
        <v>-3.8999999999999998E-3</v>
      </c>
      <c r="CC171" s="230">
        <v>1611</v>
      </c>
      <c r="CD171" s="230">
        <v>1638</v>
      </c>
      <c r="CE171" s="228">
        <v>-27</v>
      </c>
      <c r="CF171" s="229">
        <v>-1.66E-2</v>
      </c>
      <c r="CG171" s="228">
        <v>112</v>
      </c>
      <c r="CH171" s="228">
        <v>93</v>
      </c>
      <c r="CI171" s="228">
        <v>18</v>
      </c>
      <c r="CJ171" s="229">
        <v>0.1973</v>
      </c>
      <c r="CK171" s="228">
        <v>0</v>
      </c>
      <c r="CL171" s="228">
        <v>0</v>
      </c>
      <c r="CM171" s="228">
        <v>0</v>
      </c>
      <c r="CN171" s="229">
        <v>0</v>
      </c>
      <c r="CO171" s="228">
        <v>735</v>
      </c>
      <c r="CP171" s="228">
        <v>720</v>
      </c>
      <c r="CQ171" s="228">
        <v>15</v>
      </c>
      <c r="CR171" s="229">
        <v>2.07E-2</v>
      </c>
      <c r="CS171" s="228">
        <v>436</v>
      </c>
      <c r="CT171" s="228">
        <v>438</v>
      </c>
      <c r="CU171" s="228">
        <v>-2</v>
      </c>
      <c r="CV171" s="229">
        <v>-3.7000000000000002E-3</v>
      </c>
      <c r="CW171" s="230">
        <v>2906</v>
      </c>
      <c r="CX171" s="230">
        <v>2899</v>
      </c>
      <c r="CY171" s="228">
        <v>7</v>
      </c>
      <c r="CZ171" s="229">
        <v>2.3E-3</v>
      </c>
      <c r="DA171" s="228">
        <v>46.21</v>
      </c>
      <c r="DB171" s="228">
        <v>44.39</v>
      </c>
      <c r="DC171" s="228">
        <v>1.82</v>
      </c>
      <c r="DD171" s="228">
        <v>1.82</v>
      </c>
      <c r="DE171" s="228">
        <v>42.51</v>
      </c>
      <c r="DF171" s="228">
        <v>42.59</v>
      </c>
      <c r="DG171" s="228">
        <v>3.7</v>
      </c>
      <c r="DH171" s="228">
        <v>-0.08</v>
      </c>
      <c r="DI171" s="228">
        <v>46.77</v>
      </c>
      <c r="DJ171" s="228">
        <v>44.35</v>
      </c>
      <c r="DK171" s="228">
        <v>2.42</v>
      </c>
      <c r="DL171" s="228">
        <v>2.42</v>
      </c>
      <c r="DM171" s="228">
        <v>44.82</v>
      </c>
      <c r="DN171" s="228">
        <v>44.5</v>
      </c>
      <c r="DO171" s="228">
        <v>0.32</v>
      </c>
      <c r="DP171" s="228">
        <v>0.32</v>
      </c>
      <c r="DQ171" s="228">
        <v>0.59</v>
      </c>
      <c r="DR171" s="228">
        <v>0.61</v>
      </c>
      <c r="DS171" s="228">
        <v>-0.02</v>
      </c>
      <c r="DT171" s="229">
        <v>-3.2800000000000003E-2</v>
      </c>
      <c r="DU171" s="231">
        <v>6000</v>
      </c>
      <c r="DV171" s="231">
        <v>5800</v>
      </c>
      <c r="DW171" s="228">
        <v>0.41</v>
      </c>
      <c r="DX171" s="228">
        <v>0.4</v>
      </c>
      <c r="DY171" s="228">
        <v>0.01</v>
      </c>
      <c r="DZ171" s="229">
        <v>2.5000000000000001E-2</v>
      </c>
      <c r="EA171" s="229">
        <v>6.4299999999999996E-2</v>
      </c>
      <c r="EB171" s="230">
        <v>162700</v>
      </c>
      <c r="EC171" s="229">
        <v>4.5999999999999999E-3</v>
      </c>
      <c r="ED171" s="229">
        <v>6.4299999999999996E-2</v>
      </c>
      <c r="EE171" s="228">
        <v>21.44</v>
      </c>
      <c r="EF171" s="229">
        <v>3.7000000000000002E-3</v>
      </c>
      <c r="EG171" s="230">
        <v>181068</v>
      </c>
      <c r="EH171" s="230">
        <v>319437</v>
      </c>
      <c r="EI171" s="229">
        <v>-0.43319999999999997</v>
      </c>
      <c r="EJ171" s="229">
        <v>0.47070000000000001</v>
      </c>
      <c r="EK171" s="231">
        <v>1384.18</v>
      </c>
      <c r="EL171" s="228">
        <v>524.59</v>
      </c>
      <c r="EM171" s="228">
        <v>410.94</v>
      </c>
      <c r="EN171" s="228">
        <v>0</v>
      </c>
      <c r="EO171" s="231">
        <v>2319.71</v>
      </c>
      <c r="EP171" s="231">
        <v>3788.2</v>
      </c>
      <c r="EQ171" s="231">
        <v>-1468.49</v>
      </c>
      <c r="ER171" s="229">
        <v>-0.3876</v>
      </c>
      <c r="ES171" s="228">
        <v>776.02</v>
      </c>
      <c r="ET171" s="228">
        <v>426.87</v>
      </c>
      <c r="EU171" s="231">
        <v>1735.52</v>
      </c>
      <c r="EV171" s="231">
        <v>21354101</v>
      </c>
      <c r="EW171" s="231">
        <v>2938.42</v>
      </c>
      <c r="EX171" s="231">
        <v>2944.95</v>
      </c>
      <c r="EY171" s="228">
        <v>-6.53</v>
      </c>
      <c r="EZ171" s="229">
        <v>-2.2000000000000001E-3</v>
      </c>
      <c r="FA171" s="229">
        <v>0.23760000000000001</v>
      </c>
      <c r="FB171" s="227" t="s">
        <v>568</v>
      </c>
      <c r="FC171">
        <f t="shared" si="3"/>
        <v>0</v>
      </c>
    </row>
    <row r="172" spans="1:159" ht="17.25" thickBot="1" x14ac:dyDescent="0.3">
      <c r="A172" s="226">
        <v>45860</v>
      </c>
      <c r="B172" s="227" t="s">
        <v>193</v>
      </c>
      <c r="C172" s="227" t="s">
        <v>272</v>
      </c>
      <c r="D172" s="228">
        <v>1800</v>
      </c>
      <c r="E172" s="228">
        <v>9</v>
      </c>
      <c r="F172" s="228">
        <v>303.55</v>
      </c>
      <c r="G172" s="228">
        <v>304.35000000000002</v>
      </c>
      <c r="H172" s="228">
        <v>-0.8</v>
      </c>
      <c r="I172" s="229">
        <v>-2.5999999999999999E-3</v>
      </c>
      <c r="J172" s="228">
        <v>303.25</v>
      </c>
      <c r="K172" s="228">
        <v>304</v>
      </c>
      <c r="L172" s="228">
        <v>-0.75</v>
      </c>
      <c r="M172" s="229">
        <v>-2.5000000000000001E-3</v>
      </c>
      <c r="N172" s="228">
        <v>303.55</v>
      </c>
      <c r="O172" s="228">
        <v>304.35000000000002</v>
      </c>
      <c r="P172" s="228">
        <v>-0.8</v>
      </c>
      <c r="Q172" s="229">
        <v>-2.5999999999999999E-3</v>
      </c>
      <c r="R172" s="228">
        <v>305.14999999999998</v>
      </c>
      <c r="S172" s="228">
        <v>305.89999999999998</v>
      </c>
      <c r="T172" s="228">
        <v>-0.75</v>
      </c>
      <c r="U172" s="229">
        <v>-2.5000000000000001E-3</v>
      </c>
      <c r="V172" s="228">
        <v>0</v>
      </c>
      <c r="W172" s="228">
        <v>0</v>
      </c>
      <c r="X172" s="228">
        <v>0</v>
      </c>
      <c r="Y172" s="229">
        <v>0</v>
      </c>
      <c r="Z172" s="228">
        <v>0.3</v>
      </c>
      <c r="AA172" s="228">
        <v>0.35</v>
      </c>
      <c r="AB172" s="228">
        <v>-0.05</v>
      </c>
      <c r="AC172" s="229">
        <v>1E-3</v>
      </c>
      <c r="AD172" s="228">
        <v>0.3</v>
      </c>
      <c r="AE172" s="228">
        <v>0.35</v>
      </c>
      <c r="AF172" s="228">
        <v>-0.05</v>
      </c>
      <c r="AG172" s="229">
        <v>1E-3</v>
      </c>
      <c r="AH172" s="228">
        <v>1.9</v>
      </c>
      <c r="AI172" s="228">
        <v>1.9</v>
      </c>
      <c r="AJ172" s="228">
        <v>0</v>
      </c>
      <c r="AK172" s="229">
        <v>6.3E-3</v>
      </c>
      <c r="AL172" s="228">
        <v>0</v>
      </c>
      <c r="AM172" s="228">
        <v>0</v>
      </c>
      <c r="AN172" s="228">
        <v>0</v>
      </c>
      <c r="AO172" s="229">
        <v>0</v>
      </c>
      <c r="AP172" s="228">
        <v>304.01</v>
      </c>
      <c r="AQ172" s="228">
        <v>305.69</v>
      </c>
      <c r="AR172" s="228">
        <v>0</v>
      </c>
      <c r="AS172" s="228">
        <v>99</v>
      </c>
      <c r="AT172" s="228">
        <v>219</v>
      </c>
      <c r="AU172" s="228">
        <v>-120</v>
      </c>
      <c r="AV172" s="229">
        <v>-0.54700000000000004</v>
      </c>
      <c r="AW172" s="228">
        <v>77</v>
      </c>
      <c r="AX172" s="228">
        <v>137</v>
      </c>
      <c r="AY172" s="228">
        <v>-60</v>
      </c>
      <c r="AZ172" s="229">
        <v>-0.44069999999999998</v>
      </c>
      <c r="BA172" s="228">
        <v>22</v>
      </c>
      <c r="BB172" s="228">
        <v>81</v>
      </c>
      <c r="BC172" s="228">
        <v>-59</v>
      </c>
      <c r="BD172" s="229">
        <v>-0.72760000000000002</v>
      </c>
      <c r="BE172" s="228">
        <v>0</v>
      </c>
      <c r="BF172" s="228">
        <v>0</v>
      </c>
      <c r="BG172" s="228">
        <v>0</v>
      </c>
      <c r="BH172" s="229">
        <v>0</v>
      </c>
      <c r="BI172" s="228">
        <v>147</v>
      </c>
      <c r="BJ172" s="228">
        <v>122</v>
      </c>
      <c r="BK172" s="228">
        <v>25</v>
      </c>
      <c r="BL172" s="229">
        <v>0.20619999999999999</v>
      </c>
      <c r="BM172" s="228">
        <v>57</v>
      </c>
      <c r="BN172" s="228">
        <v>70</v>
      </c>
      <c r="BO172" s="228">
        <v>-13</v>
      </c>
      <c r="BP172" s="229">
        <v>-0.18590000000000001</v>
      </c>
      <c r="BQ172" s="228">
        <v>303</v>
      </c>
      <c r="BR172" s="228">
        <v>411</v>
      </c>
      <c r="BS172" s="228">
        <v>-107</v>
      </c>
      <c r="BT172" s="229">
        <v>-0.26140000000000002</v>
      </c>
      <c r="BU172" s="230">
        <v>1584227</v>
      </c>
      <c r="BV172" s="230">
        <v>1205156</v>
      </c>
      <c r="BW172" s="230">
        <v>379071</v>
      </c>
      <c r="BX172" s="229">
        <v>0.3145</v>
      </c>
      <c r="BY172" s="230">
        <v>1197</v>
      </c>
      <c r="BZ172" s="230">
        <v>1200</v>
      </c>
      <c r="CA172" s="228">
        <v>-3</v>
      </c>
      <c r="CB172" s="229">
        <v>-2.5000000000000001E-3</v>
      </c>
      <c r="CC172" s="230">
        <v>1062</v>
      </c>
      <c r="CD172" s="230">
        <v>1076</v>
      </c>
      <c r="CE172" s="228">
        <v>-14</v>
      </c>
      <c r="CF172" s="229">
        <v>-1.35E-2</v>
      </c>
      <c r="CG172" s="228">
        <v>133</v>
      </c>
      <c r="CH172" s="228">
        <v>122</v>
      </c>
      <c r="CI172" s="228">
        <v>12</v>
      </c>
      <c r="CJ172" s="229">
        <v>9.5600000000000004E-2</v>
      </c>
      <c r="CK172" s="228">
        <v>0</v>
      </c>
      <c r="CL172" s="228">
        <v>0</v>
      </c>
      <c r="CM172" s="228">
        <v>0</v>
      </c>
      <c r="CN172" s="229">
        <v>0</v>
      </c>
      <c r="CO172" s="228">
        <v>450</v>
      </c>
      <c r="CP172" s="228">
        <v>464</v>
      </c>
      <c r="CQ172" s="228">
        <v>-14</v>
      </c>
      <c r="CR172" s="229">
        <v>-2.9600000000000001E-2</v>
      </c>
      <c r="CS172" s="228">
        <v>294</v>
      </c>
      <c r="CT172" s="228">
        <v>291</v>
      </c>
      <c r="CU172" s="228">
        <v>2</v>
      </c>
      <c r="CV172" s="229">
        <v>8.3999999999999995E-3</v>
      </c>
      <c r="CW172" s="230">
        <v>1941</v>
      </c>
      <c r="CX172" s="230">
        <v>1955</v>
      </c>
      <c r="CY172" s="228">
        <v>-14</v>
      </c>
      <c r="CZ172" s="229">
        <v>-7.3000000000000001E-3</v>
      </c>
      <c r="DA172" s="228">
        <v>27.74</v>
      </c>
      <c r="DB172" s="228">
        <v>27.09</v>
      </c>
      <c r="DC172" s="228">
        <v>0.65</v>
      </c>
      <c r="DD172" s="228">
        <v>0.65</v>
      </c>
      <c r="DE172" s="228">
        <v>34.5</v>
      </c>
      <c r="DF172" s="228">
        <v>34.590000000000003</v>
      </c>
      <c r="DG172" s="228">
        <v>-6.76</v>
      </c>
      <c r="DH172" s="228">
        <v>-0.09</v>
      </c>
      <c r="DI172" s="228">
        <v>27.46</v>
      </c>
      <c r="DJ172" s="228">
        <v>26.79</v>
      </c>
      <c r="DK172" s="228">
        <v>0.67</v>
      </c>
      <c r="DL172" s="228">
        <v>0.67</v>
      </c>
      <c r="DM172" s="228">
        <v>28.45</v>
      </c>
      <c r="DN172" s="228">
        <v>27.63</v>
      </c>
      <c r="DO172" s="228">
        <v>0.82</v>
      </c>
      <c r="DP172" s="228">
        <v>0.82</v>
      </c>
      <c r="DQ172" s="228">
        <v>0.65</v>
      </c>
      <c r="DR172" s="228">
        <v>0.63</v>
      </c>
      <c r="DS172" s="228">
        <v>0.02</v>
      </c>
      <c r="DT172" s="229">
        <v>3.1699999999999999E-2</v>
      </c>
      <c r="DU172" s="228">
        <v>310</v>
      </c>
      <c r="DV172" s="228">
        <v>310</v>
      </c>
      <c r="DW172" s="228">
        <v>0.39</v>
      </c>
      <c r="DX172" s="228">
        <v>0.56999999999999995</v>
      </c>
      <c r="DY172" s="228">
        <v>-0.18</v>
      </c>
      <c r="DZ172" s="229">
        <v>-0.31580000000000003</v>
      </c>
      <c r="EA172" s="229">
        <v>0.1114</v>
      </c>
      <c r="EB172" s="230">
        <v>4008600</v>
      </c>
      <c r="EC172" s="229">
        <v>5.3E-3</v>
      </c>
      <c r="ED172" s="229">
        <v>0.1114</v>
      </c>
      <c r="EE172" s="228">
        <v>1.68</v>
      </c>
      <c r="EF172" s="229">
        <v>5.4999999999999997E-3</v>
      </c>
      <c r="EG172" s="230">
        <v>1008563</v>
      </c>
      <c r="EH172" s="230">
        <v>666748</v>
      </c>
      <c r="EI172" s="229">
        <v>0.51270000000000004</v>
      </c>
      <c r="EJ172" s="229">
        <v>0.63660000000000005</v>
      </c>
      <c r="EK172" s="228">
        <v>153.31</v>
      </c>
      <c r="EL172" s="228">
        <v>57.26</v>
      </c>
      <c r="EM172" s="228">
        <v>99.28</v>
      </c>
      <c r="EN172" s="228">
        <v>0</v>
      </c>
      <c r="EO172" s="228">
        <v>309.85000000000002</v>
      </c>
      <c r="EP172" s="228">
        <v>417.33</v>
      </c>
      <c r="EQ172" s="228">
        <v>-107.48</v>
      </c>
      <c r="ER172" s="229">
        <v>-0.25750000000000001</v>
      </c>
      <c r="ES172" s="228">
        <v>465.95</v>
      </c>
      <c r="ET172" s="228">
        <v>292.56</v>
      </c>
      <c r="EU172" s="231">
        <v>1197.76</v>
      </c>
      <c r="EV172" s="231">
        <v>150000017</v>
      </c>
      <c r="EW172" s="231">
        <v>1956.27</v>
      </c>
      <c r="EX172" s="231">
        <v>1974.9</v>
      </c>
      <c r="EY172" s="228">
        <v>-18.63</v>
      </c>
      <c r="EZ172" s="229">
        <v>-9.4000000000000004E-3</v>
      </c>
      <c r="FA172" s="229">
        <v>0.42630000000000001</v>
      </c>
      <c r="FB172" s="227" t="s">
        <v>568</v>
      </c>
      <c r="FC172">
        <f t="shared" si="3"/>
        <v>0</v>
      </c>
    </row>
    <row r="173" spans="1:159" ht="17.25" thickBot="1" x14ac:dyDescent="0.3">
      <c r="A173" s="226">
        <v>45860</v>
      </c>
      <c r="B173" s="227" t="s">
        <v>175</v>
      </c>
      <c r="C173" s="227" t="s">
        <v>273</v>
      </c>
      <c r="D173" s="228">
        <v>1300</v>
      </c>
      <c r="E173" s="228">
        <v>9</v>
      </c>
      <c r="F173" s="228">
        <v>414.95</v>
      </c>
      <c r="G173" s="228">
        <v>420.35</v>
      </c>
      <c r="H173" s="228">
        <v>-5.4</v>
      </c>
      <c r="I173" s="229">
        <v>-1.2800000000000001E-2</v>
      </c>
      <c r="J173" s="228">
        <v>414.7</v>
      </c>
      <c r="K173" s="228">
        <v>419.8</v>
      </c>
      <c r="L173" s="228">
        <v>-5.0999999999999996</v>
      </c>
      <c r="M173" s="229">
        <v>-1.21E-2</v>
      </c>
      <c r="N173" s="228">
        <v>414.95</v>
      </c>
      <c r="O173" s="228">
        <v>420.35</v>
      </c>
      <c r="P173" s="228">
        <v>-5.4</v>
      </c>
      <c r="Q173" s="229">
        <v>-1.2800000000000001E-2</v>
      </c>
      <c r="R173" s="228">
        <v>416.3</v>
      </c>
      <c r="S173" s="228">
        <v>422</v>
      </c>
      <c r="T173" s="228">
        <v>-5.7</v>
      </c>
      <c r="U173" s="229">
        <v>-1.35E-2</v>
      </c>
      <c r="V173" s="228">
        <v>0</v>
      </c>
      <c r="W173" s="228">
        <v>0</v>
      </c>
      <c r="X173" s="228">
        <v>0</v>
      </c>
      <c r="Y173" s="229">
        <v>0</v>
      </c>
      <c r="Z173" s="228">
        <v>0.25</v>
      </c>
      <c r="AA173" s="228">
        <v>0.55000000000000004</v>
      </c>
      <c r="AB173" s="228">
        <v>-0.3</v>
      </c>
      <c r="AC173" s="229">
        <v>5.9999999999999995E-4</v>
      </c>
      <c r="AD173" s="228">
        <v>0.25</v>
      </c>
      <c r="AE173" s="228">
        <v>0.55000000000000004</v>
      </c>
      <c r="AF173" s="228">
        <v>-0.3</v>
      </c>
      <c r="AG173" s="229">
        <v>5.9999999999999995E-4</v>
      </c>
      <c r="AH173" s="228">
        <v>1.6</v>
      </c>
      <c r="AI173" s="228">
        <v>2.2000000000000002</v>
      </c>
      <c r="AJ173" s="228">
        <v>-0.6</v>
      </c>
      <c r="AK173" s="229">
        <v>3.8999999999999998E-3</v>
      </c>
      <c r="AL173" s="228">
        <v>0</v>
      </c>
      <c r="AM173" s="228">
        <v>0</v>
      </c>
      <c r="AN173" s="228">
        <v>0</v>
      </c>
      <c r="AO173" s="229">
        <v>0</v>
      </c>
      <c r="AP173" s="228">
        <v>419.33</v>
      </c>
      <c r="AQ173" s="228">
        <v>420.38</v>
      </c>
      <c r="AR173" s="228">
        <v>0</v>
      </c>
      <c r="AS173" s="228">
        <v>329</v>
      </c>
      <c r="AT173" s="228">
        <v>272</v>
      </c>
      <c r="AU173" s="228">
        <v>57</v>
      </c>
      <c r="AV173" s="229">
        <v>0.2082</v>
      </c>
      <c r="AW173" s="228">
        <v>245</v>
      </c>
      <c r="AX173" s="228">
        <v>218</v>
      </c>
      <c r="AY173" s="228">
        <v>26</v>
      </c>
      <c r="AZ173" s="229">
        <v>0.1206</v>
      </c>
      <c r="BA173" s="228">
        <v>81</v>
      </c>
      <c r="BB173" s="228">
        <v>50</v>
      </c>
      <c r="BC173" s="228">
        <v>30</v>
      </c>
      <c r="BD173" s="229">
        <v>0.60240000000000005</v>
      </c>
      <c r="BE173" s="228">
        <v>0</v>
      </c>
      <c r="BF173" s="228">
        <v>0</v>
      </c>
      <c r="BG173" s="228">
        <v>0</v>
      </c>
      <c r="BH173" s="229">
        <v>0</v>
      </c>
      <c r="BI173" s="228">
        <v>859</v>
      </c>
      <c r="BJ173" s="228">
        <v>639</v>
      </c>
      <c r="BK173" s="228">
        <v>220</v>
      </c>
      <c r="BL173" s="229">
        <v>0.34399999999999997</v>
      </c>
      <c r="BM173" s="228">
        <v>525</v>
      </c>
      <c r="BN173" s="228">
        <v>317</v>
      </c>
      <c r="BO173" s="228">
        <v>208</v>
      </c>
      <c r="BP173" s="229">
        <v>0.65480000000000005</v>
      </c>
      <c r="BQ173" s="230">
        <v>1713</v>
      </c>
      <c r="BR173" s="230">
        <v>1229</v>
      </c>
      <c r="BS173" s="228">
        <v>484</v>
      </c>
      <c r="BT173" s="229">
        <v>0.39419999999999999</v>
      </c>
      <c r="BU173" s="230">
        <v>3618763</v>
      </c>
      <c r="BV173" s="230">
        <v>4174378</v>
      </c>
      <c r="BW173" s="230">
        <v>-555615</v>
      </c>
      <c r="BX173" s="229">
        <v>-0.1331</v>
      </c>
      <c r="BY173" s="230">
        <v>2285</v>
      </c>
      <c r="BZ173" s="230">
        <v>2274</v>
      </c>
      <c r="CA173" s="228">
        <v>11</v>
      </c>
      <c r="CB173" s="229">
        <v>4.8999999999999998E-3</v>
      </c>
      <c r="CC173" s="230">
        <v>2021</v>
      </c>
      <c r="CD173" s="230">
        <v>2055</v>
      </c>
      <c r="CE173" s="228">
        <v>-34</v>
      </c>
      <c r="CF173" s="229">
        <v>-1.6400000000000001E-2</v>
      </c>
      <c r="CG173" s="228">
        <v>234</v>
      </c>
      <c r="CH173" s="228">
        <v>190</v>
      </c>
      <c r="CI173" s="228">
        <v>44</v>
      </c>
      <c r="CJ173" s="229">
        <v>0.2296</v>
      </c>
      <c r="CK173" s="228">
        <v>0</v>
      </c>
      <c r="CL173" s="228">
        <v>0</v>
      </c>
      <c r="CM173" s="228">
        <v>0</v>
      </c>
      <c r="CN173" s="229">
        <v>0</v>
      </c>
      <c r="CO173" s="230">
        <v>1034</v>
      </c>
      <c r="CP173" s="230">
        <v>1051</v>
      </c>
      <c r="CQ173" s="228">
        <v>-16</v>
      </c>
      <c r="CR173" s="229">
        <v>-1.5699999999999999E-2</v>
      </c>
      <c r="CS173" s="228">
        <v>689</v>
      </c>
      <c r="CT173" s="228">
        <v>715</v>
      </c>
      <c r="CU173" s="228">
        <v>-25</v>
      </c>
      <c r="CV173" s="229">
        <v>-3.5299999999999998E-2</v>
      </c>
      <c r="CW173" s="230">
        <v>4009</v>
      </c>
      <c r="CX173" s="230">
        <v>4040</v>
      </c>
      <c r="CY173" s="228">
        <v>-30</v>
      </c>
      <c r="CZ173" s="229">
        <v>-7.4999999999999997E-3</v>
      </c>
      <c r="DA173" s="228">
        <v>30.89</v>
      </c>
      <c r="DB173" s="228">
        <v>30.33</v>
      </c>
      <c r="DC173" s="228">
        <v>0.56000000000000005</v>
      </c>
      <c r="DD173" s="228">
        <v>0.56000000000000005</v>
      </c>
      <c r="DE173" s="228">
        <v>49.48</v>
      </c>
      <c r="DF173" s="228">
        <v>49.57</v>
      </c>
      <c r="DG173" s="228">
        <v>-18.59</v>
      </c>
      <c r="DH173" s="228">
        <v>-0.09</v>
      </c>
      <c r="DI173" s="228">
        <v>31.61</v>
      </c>
      <c r="DJ173" s="228">
        <v>30.52</v>
      </c>
      <c r="DK173" s="228">
        <v>1.0900000000000001</v>
      </c>
      <c r="DL173" s="228">
        <v>1.0900000000000001</v>
      </c>
      <c r="DM173" s="228">
        <v>29.72</v>
      </c>
      <c r="DN173" s="228">
        <v>29.94</v>
      </c>
      <c r="DO173" s="228">
        <v>-0.22</v>
      </c>
      <c r="DP173" s="228">
        <v>-0.22</v>
      </c>
      <c r="DQ173" s="228">
        <v>0.67</v>
      </c>
      <c r="DR173" s="228">
        <v>0.68</v>
      </c>
      <c r="DS173" s="228">
        <v>-0.01</v>
      </c>
      <c r="DT173" s="229">
        <v>-1.47E-2</v>
      </c>
      <c r="DU173" s="228">
        <v>430</v>
      </c>
      <c r="DV173" s="228">
        <v>420</v>
      </c>
      <c r="DW173" s="228">
        <v>0.61</v>
      </c>
      <c r="DX173" s="228">
        <v>0.5</v>
      </c>
      <c r="DY173" s="228">
        <v>0.11</v>
      </c>
      <c r="DZ173" s="229">
        <v>0.22</v>
      </c>
      <c r="EA173" s="229">
        <v>0.1023</v>
      </c>
      <c r="EB173" s="230">
        <v>4579900</v>
      </c>
      <c r="EC173" s="229">
        <v>3.3E-3</v>
      </c>
      <c r="ED173" s="229">
        <v>0.1023</v>
      </c>
      <c r="EE173" s="228">
        <v>1.05</v>
      </c>
      <c r="EF173" s="229">
        <v>2.5000000000000001E-3</v>
      </c>
      <c r="EG173" s="230">
        <v>2083994</v>
      </c>
      <c r="EH173" s="230">
        <v>2408802</v>
      </c>
      <c r="EI173" s="229">
        <v>-0.1348</v>
      </c>
      <c r="EJ173" s="229">
        <v>0.57589999999999997</v>
      </c>
      <c r="EK173" s="228">
        <v>909.48</v>
      </c>
      <c r="EL173" s="228">
        <v>532.25</v>
      </c>
      <c r="EM173" s="228">
        <v>332.63</v>
      </c>
      <c r="EN173" s="228">
        <v>0</v>
      </c>
      <c r="EO173" s="231">
        <v>1774.35</v>
      </c>
      <c r="EP173" s="231">
        <v>1274.5999999999999</v>
      </c>
      <c r="EQ173" s="228">
        <v>499.75</v>
      </c>
      <c r="ER173" s="229">
        <v>0.3921</v>
      </c>
      <c r="ES173" s="231">
        <v>1096.1300000000001</v>
      </c>
      <c r="ET173" s="228">
        <v>683.92</v>
      </c>
      <c r="EU173" s="231">
        <v>2286.21</v>
      </c>
      <c r="EV173" s="231">
        <v>290447407</v>
      </c>
      <c r="EW173" s="231">
        <v>4066.26</v>
      </c>
      <c r="EX173" s="231">
        <v>4128.9799999999996</v>
      </c>
      <c r="EY173" s="228">
        <v>-62.72</v>
      </c>
      <c r="EZ173" s="229">
        <v>-1.52E-2</v>
      </c>
      <c r="FA173" s="229">
        <v>0.3327</v>
      </c>
      <c r="FB173" s="227" t="s">
        <v>567</v>
      </c>
      <c r="FC173">
        <f t="shared" si="3"/>
        <v>0</v>
      </c>
    </row>
    <row r="174" spans="1:159" ht="17.25" thickBot="1" x14ac:dyDescent="0.3">
      <c r="A174" s="226">
        <v>45860</v>
      </c>
      <c r="B174" s="227" t="s">
        <v>184</v>
      </c>
      <c r="C174" s="227" t="s">
        <v>682</v>
      </c>
      <c r="D174" s="228">
        <v>700</v>
      </c>
      <c r="E174" s="228">
        <v>9</v>
      </c>
      <c r="F174" s="228">
        <v>789.5</v>
      </c>
      <c r="G174" s="228">
        <v>810.15</v>
      </c>
      <c r="H174" s="228">
        <v>-20.65</v>
      </c>
      <c r="I174" s="229">
        <v>-2.5499999999999998E-2</v>
      </c>
      <c r="J174" s="228">
        <v>788.9</v>
      </c>
      <c r="K174" s="228">
        <v>806.95</v>
      </c>
      <c r="L174" s="228">
        <v>-18.05</v>
      </c>
      <c r="M174" s="229">
        <v>-2.24E-2</v>
      </c>
      <c r="N174" s="228">
        <v>789.5</v>
      </c>
      <c r="O174" s="228">
        <v>810.15</v>
      </c>
      <c r="P174" s="228">
        <v>-20.65</v>
      </c>
      <c r="Q174" s="229">
        <v>-2.5499999999999998E-2</v>
      </c>
      <c r="R174" s="228">
        <v>794.1</v>
      </c>
      <c r="S174" s="228">
        <v>813.75</v>
      </c>
      <c r="T174" s="228">
        <v>-19.649999999999999</v>
      </c>
      <c r="U174" s="229">
        <v>-2.41E-2</v>
      </c>
      <c r="V174" s="228">
        <v>0</v>
      </c>
      <c r="W174" s="228">
        <v>0</v>
      </c>
      <c r="X174" s="228">
        <v>0</v>
      </c>
      <c r="Y174" s="229">
        <v>0</v>
      </c>
      <c r="Z174" s="228">
        <v>0.6</v>
      </c>
      <c r="AA174" s="228">
        <v>3.2</v>
      </c>
      <c r="AB174" s="228">
        <v>-2.6</v>
      </c>
      <c r="AC174" s="229">
        <v>8.0000000000000004E-4</v>
      </c>
      <c r="AD174" s="228">
        <v>0.6</v>
      </c>
      <c r="AE174" s="228">
        <v>3.2</v>
      </c>
      <c r="AF174" s="228">
        <v>-2.6</v>
      </c>
      <c r="AG174" s="229">
        <v>8.0000000000000004E-4</v>
      </c>
      <c r="AH174" s="228">
        <v>5.2</v>
      </c>
      <c r="AI174" s="228">
        <v>6.8</v>
      </c>
      <c r="AJ174" s="228">
        <v>-1.6</v>
      </c>
      <c r="AK174" s="229">
        <v>6.6E-3</v>
      </c>
      <c r="AL174" s="228">
        <v>0</v>
      </c>
      <c r="AM174" s="228">
        <v>0</v>
      </c>
      <c r="AN174" s="228">
        <v>0</v>
      </c>
      <c r="AO174" s="229">
        <v>0</v>
      </c>
      <c r="AP174" s="228">
        <v>799.46</v>
      </c>
      <c r="AQ174" s="228">
        <v>803.53</v>
      </c>
      <c r="AR174" s="228">
        <v>0</v>
      </c>
      <c r="AS174" s="228">
        <v>102</v>
      </c>
      <c r="AT174" s="228">
        <v>120</v>
      </c>
      <c r="AU174" s="228">
        <v>-19</v>
      </c>
      <c r="AV174" s="229">
        <v>-0.1542</v>
      </c>
      <c r="AW174" s="228">
        <v>79</v>
      </c>
      <c r="AX174" s="228">
        <v>89</v>
      </c>
      <c r="AY174" s="228">
        <v>-10</v>
      </c>
      <c r="AZ174" s="229">
        <v>-0.10979999999999999</v>
      </c>
      <c r="BA174" s="228">
        <v>22</v>
      </c>
      <c r="BB174" s="228">
        <v>31</v>
      </c>
      <c r="BC174" s="228">
        <v>-9</v>
      </c>
      <c r="BD174" s="229">
        <v>-0.28029999999999999</v>
      </c>
      <c r="BE174" s="228">
        <v>0</v>
      </c>
      <c r="BF174" s="228">
        <v>0</v>
      </c>
      <c r="BG174" s="228">
        <v>0</v>
      </c>
      <c r="BH174" s="229">
        <v>0</v>
      </c>
      <c r="BI174" s="228">
        <v>150</v>
      </c>
      <c r="BJ174" s="228">
        <v>135</v>
      </c>
      <c r="BK174" s="228">
        <v>15</v>
      </c>
      <c r="BL174" s="229">
        <v>0.1137</v>
      </c>
      <c r="BM174" s="228">
        <v>58</v>
      </c>
      <c r="BN174" s="228">
        <v>49</v>
      </c>
      <c r="BO174" s="228">
        <v>9</v>
      </c>
      <c r="BP174" s="229">
        <v>0.191</v>
      </c>
      <c r="BQ174" s="228">
        <v>310</v>
      </c>
      <c r="BR174" s="228">
        <v>304</v>
      </c>
      <c r="BS174" s="228">
        <v>6</v>
      </c>
      <c r="BT174" s="229">
        <v>2.0400000000000001E-2</v>
      </c>
      <c r="BU174" s="230">
        <v>1083011</v>
      </c>
      <c r="BV174" s="230">
        <v>1039864</v>
      </c>
      <c r="BW174" s="230">
        <v>43147</v>
      </c>
      <c r="BX174" s="229">
        <v>4.1500000000000002E-2</v>
      </c>
      <c r="BY174" s="228">
        <v>497</v>
      </c>
      <c r="BZ174" s="228">
        <v>479</v>
      </c>
      <c r="CA174" s="228">
        <v>18</v>
      </c>
      <c r="CB174" s="229">
        <v>3.8600000000000002E-2</v>
      </c>
      <c r="CC174" s="228">
        <v>442</v>
      </c>
      <c r="CD174" s="228">
        <v>432</v>
      </c>
      <c r="CE174" s="228">
        <v>10</v>
      </c>
      <c r="CF174" s="229">
        <v>2.3699999999999999E-2</v>
      </c>
      <c r="CG174" s="228">
        <v>53</v>
      </c>
      <c r="CH174" s="228">
        <v>45</v>
      </c>
      <c r="CI174" s="228">
        <v>8</v>
      </c>
      <c r="CJ174" s="229">
        <v>0.18809999999999999</v>
      </c>
      <c r="CK174" s="228">
        <v>0</v>
      </c>
      <c r="CL174" s="228">
        <v>0</v>
      </c>
      <c r="CM174" s="228">
        <v>0</v>
      </c>
      <c r="CN174" s="229">
        <v>0</v>
      </c>
      <c r="CO174" s="228">
        <v>154</v>
      </c>
      <c r="CP174" s="228">
        <v>149</v>
      </c>
      <c r="CQ174" s="228">
        <v>4</v>
      </c>
      <c r="CR174" s="229">
        <v>2.9600000000000001E-2</v>
      </c>
      <c r="CS174" s="228">
        <v>75</v>
      </c>
      <c r="CT174" s="228">
        <v>83</v>
      </c>
      <c r="CU174" s="228">
        <v>-8</v>
      </c>
      <c r="CV174" s="229">
        <v>-9.8799999999999999E-2</v>
      </c>
      <c r="CW174" s="228">
        <v>726</v>
      </c>
      <c r="CX174" s="228">
        <v>711</v>
      </c>
      <c r="CY174" s="228">
        <v>15</v>
      </c>
      <c r="CZ174" s="229">
        <v>2.07E-2</v>
      </c>
      <c r="DA174" s="228">
        <v>38.31</v>
      </c>
      <c r="DB174" s="228">
        <v>39.56</v>
      </c>
      <c r="DC174" s="228">
        <v>-1.25</v>
      </c>
      <c r="DD174" s="228">
        <v>-1.25</v>
      </c>
      <c r="DE174" s="228">
        <v>65.58</v>
      </c>
      <c r="DF174" s="228">
        <v>65.67</v>
      </c>
      <c r="DG174" s="228">
        <v>-27.27</v>
      </c>
      <c r="DH174" s="228">
        <v>-0.09</v>
      </c>
      <c r="DI174" s="228">
        <v>38.880000000000003</v>
      </c>
      <c r="DJ174" s="228">
        <v>39.479999999999997</v>
      </c>
      <c r="DK174" s="228">
        <v>-0.6</v>
      </c>
      <c r="DL174" s="228">
        <v>-0.6</v>
      </c>
      <c r="DM174" s="228">
        <v>36.86</v>
      </c>
      <c r="DN174" s="228">
        <v>39.79</v>
      </c>
      <c r="DO174" s="228">
        <v>-2.93</v>
      </c>
      <c r="DP174" s="228">
        <v>-2.93</v>
      </c>
      <c r="DQ174" s="228">
        <v>0.48</v>
      </c>
      <c r="DR174" s="228">
        <v>0.55000000000000004</v>
      </c>
      <c r="DS174" s="228">
        <v>-7.0000000000000007E-2</v>
      </c>
      <c r="DT174" s="229">
        <v>-0.1273</v>
      </c>
      <c r="DU174" s="228">
        <v>840</v>
      </c>
      <c r="DV174" s="228">
        <v>780</v>
      </c>
      <c r="DW174" s="228">
        <v>0.39</v>
      </c>
      <c r="DX174" s="228">
        <v>0.36</v>
      </c>
      <c r="DY174" s="228">
        <v>0.03</v>
      </c>
      <c r="DZ174" s="229">
        <v>8.3299999999999999E-2</v>
      </c>
      <c r="EA174" s="229">
        <v>0.1067</v>
      </c>
      <c r="EB174" s="230">
        <v>565600</v>
      </c>
      <c r="EC174" s="229">
        <v>5.7999999999999996E-3</v>
      </c>
      <c r="ED174" s="229">
        <v>0.1067</v>
      </c>
      <c r="EE174" s="228">
        <v>4.07</v>
      </c>
      <c r="EF174" s="229">
        <v>5.1000000000000004E-3</v>
      </c>
      <c r="EG174" s="230">
        <v>492146</v>
      </c>
      <c r="EH174" s="230">
        <v>436897</v>
      </c>
      <c r="EI174" s="229">
        <v>0.1265</v>
      </c>
      <c r="EJ174" s="229">
        <v>0.45440000000000003</v>
      </c>
      <c r="EK174" s="228">
        <v>160.13999999999999</v>
      </c>
      <c r="EL174" s="228">
        <v>57.08</v>
      </c>
      <c r="EM174" s="228">
        <v>102.92</v>
      </c>
      <c r="EN174" s="228">
        <v>0</v>
      </c>
      <c r="EO174" s="228">
        <v>320.14</v>
      </c>
      <c r="EP174" s="228">
        <v>317.56</v>
      </c>
      <c r="EQ174" s="228">
        <v>2.58</v>
      </c>
      <c r="ER174" s="229">
        <v>8.0999999999999996E-3</v>
      </c>
      <c r="ES174" s="228">
        <v>160.41999999999999</v>
      </c>
      <c r="ET174" s="228">
        <v>71.77</v>
      </c>
      <c r="EU174" s="228">
        <v>497.6</v>
      </c>
      <c r="EV174" s="231">
        <v>28664814</v>
      </c>
      <c r="EW174" s="228">
        <v>729.79</v>
      </c>
      <c r="EX174" s="228">
        <v>726.61</v>
      </c>
      <c r="EY174" s="228">
        <v>3.18</v>
      </c>
      <c r="EZ174" s="229">
        <v>4.4000000000000003E-3</v>
      </c>
      <c r="FA174" s="229">
        <v>0.32069999999999999</v>
      </c>
      <c r="FB174" s="227" t="s">
        <v>567</v>
      </c>
      <c r="FC174">
        <f t="shared" si="3"/>
        <v>0</v>
      </c>
    </row>
    <row r="175" spans="1:159" ht="17.25" thickBot="1" x14ac:dyDescent="0.3">
      <c r="A175" s="226">
        <v>45860</v>
      </c>
      <c r="B175" s="227" t="s">
        <v>206</v>
      </c>
      <c r="C175" s="227" t="s">
        <v>646</v>
      </c>
      <c r="D175" s="228">
        <v>350</v>
      </c>
      <c r="E175" s="228">
        <v>9</v>
      </c>
      <c r="F175" s="231">
        <v>1476.1</v>
      </c>
      <c r="G175" s="231">
        <v>1498.5</v>
      </c>
      <c r="H175" s="228">
        <v>-22.4</v>
      </c>
      <c r="I175" s="229">
        <v>-1.49E-2</v>
      </c>
      <c r="J175" s="231">
        <v>1473.6</v>
      </c>
      <c r="K175" s="231">
        <v>1493.7</v>
      </c>
      <c r="L175" s="228">
        <v>-20.100000000000001</v>
      </c>
      <c r="M175" s="229">
        <v>-1.35E-2</v>
      </c>
      <c r="N175" s="231">
        <v>1476.1</v>
      </c>
      <c r="O175" s="231">
        <v>1498.5</v>
      </c>
      <c r="P175" s="228">
        <v>-22.4</v>
      </c>
      <c r="Q175" s="229">
        <v>-1.49E-2</v>
      </c>
      <c r="R175" s="231">
        <v>1483.2</v>
      </c>
      <c r="S175" s="231">
        <v>1504.3</v>
      </c>
      <c r="T175" s="228">
        <v>-21.1</v>
      </c>
      <c r="U175" s="229">
        <v>-1.4E-2</v>
      </c>
      <c r="V175" s="228">
        <v>0</v>
      </c>
      <c r="W175" s="228">
        <v>0</v>
      </c>
      <c r="X175" s="228">
        <v>0</v>
      </c>
      <c r="Y175" s="229">
        <v>0</v>
      </c>
      <c r="Z175" s="228">
        <v>2.5</v>
      </c>
      <c r="AA175" s="228">
        <v>4.8</v>
      </c>
      <c r="AB175" s="228">
        <v>-2.2999999999999998</v>
      </c>
      <c r="AC175" s="229">
        <v>1.6999999999999999E-3</v>
      </c>
      <c r="AD175" s="228">
        <v>2.5</v>
      </c>
      <c r="AE175" s="228">
        <v>4.8</v>
      </c>
      <c r="AF175" s="228">
        <v>-2.2999999999999998</v>
      </c>
      <c r="AG175" s="229">
        <v>1.6999999999999999E-3</v>
      </c>
      <c r="AH175" s="228">
        <v>9.6</v>
      </c>
      <c r="AI175" s="228">
        <v>10.6</v>
      </c>
      <c r="AJ175" s="228">
        <v>-1</v>
      </c>
      <c r="AK175" s="229">
        <v>6.4999999999999997E-3</v>
      </c>
      <c r="AL175" s="228">
        <v>0</v>
      </c>
      <c r="AM175" s="228">
        <v>0</v>
      </c>
      <c r="AN175" s="228">
        <v>0</v>
      </c>
      <c r="AO175" s="229">
        <v>0</v>
      </c>
      <c r="AP175" s="231">
        <v>1476.47</v>
      </c>
      <c r="AQ175" s="231">
        <v>1482.12</v>
      </c>
      <c r="AR175" s="228">
        <v>0</v>
      </c>
      <c r="AS175" s="228">
        <v>57</v>
      </c>
      <c r="AT175" s="228">
        <v>65</v>
      </c>
      <c r="AU175" s="228">
        <v>-8</v>
      </c>
      <c r="AV175" s="229">
        <v>-0.1232</v>
      </c>
      <c r="AW175" s="228">
        <v>48</v>
      </c>
      <c r="AX175" s="228">
        <v>62</v>
      </c>
      <c r="AY175" s="228">
        <v>-14</v>
      </c>
      <c r="AZ175" s="229">
        <v>-0.2319</v>
      </c>
      <c r="BA175" s="228">
        <v>9</v>
      </c>
      <c r="BB175" s="228">
        <v>3</v>
      </c>
      <c r="BC175" s="228">
        <v>6</v>
      </c>
      <c r="BD175" s="229">
        <v>2.2364000000000002</v>
      </c>
      <c r="BE175" s="228">
        <v>0</v>
      </c>
      <c r="BF175" s="228">
        <v>0</v>
      </c>
      <c r="BG175" s="228">
        <v>0</v>
      </c>
      <c r="BH175" s="229">
        <v>0</v>
      </c>
      <c r="BI175" s="228">
        <v>83</v>
      </c>
      <c r="BJ175" s="228">
        <v>100</v>
      </c>
      <c r="BK175" s="228">
        <v>-17</v>
      </c>
      <c r="BL175" s="229">
        <v>-0.1671</v>
      </c>
      <c r="BM175" s="228">
        <v>40</v>
      </c>
      <c r="BN175" s="228">
        <v>25</v>
      </c>
      <c r="BO175" s="228">
        <v>14</v>
      </c>
      <c r="BP175" s="229">
        <v>0.57169999999999999</v>
      </c>
      <c r="BQ175" s="228">
        <v>180</v>
      </c>
      <c r="BR175" s="228">
        <v>190</v>
      </c>
      <c r="BS175" s="228">
        <v>-10</v>
      </c>
      <c r="BT175" s="229">
        <v>-5.4100000000000002E-2</v>
      </c>
      <c r="BU175" s="230">
        <v>1007307</v>
      </c>
      <c r="BV175" s="230">
        <v>474314</v>
      </c>
      <c r="BW175" s="230">
        <v>532993</v>
      </c>
      <c r="BX175" s="229">
        <v>1.1236999999999999</v>
      </c>
      <c r="BY175" s="228">
        <v>674</v>
      </c>
      <c r="BZ175" s="228">
        <v>664</v>
      </c>
      <c r="CA175" s="228">
        <v>10</v>
      </c>
      <c r="CB175" s="229">
        <v>1.54E-2</v>
      </c>
      <c r="CC175" s="228">
        <v>645</v>
      </c>
      <c r="CD175" s="228">
        <v>637</v>
      </c>
      <c r="CE175" s="228">
        <v>8</v>
      </c>
      <c r="CF175" s="229">
        <v>1.24E-2</v>
      </c>
      <c r="CG175" s="228">
        <v>27</v>
      </c>
      <c r="CH175" s="228">
        <v>25</v>
      </c>
      <c r="CI175" s="228">
        <v>2</v>
      </c>
      <c r="CJ175" s="229">
        <v>9.0200000000000002E-2</v>
      </c>
      <c r="CK175" s="228">
        <v>0</v>
      </c>
      <c r="CL175" s="228">
        <v>0</v>
      </c>
      <c r="CM175" s="228">
        <v>0</v>
      </c>
      <c r="CN175" s="229">
        <v>0</v>
      </c>
      <c r="CO175" s="228">
        <v>189</v>
      </c>
      <c r="CP175" s="228">
        <v>197</v>
      </c>
      <c r="CQ175" s="228">
        <v>-8</v>
      </c>
      <c r="CR175" s="229">
        <v>-3.9399999999999998E-2</v>
      </c>
      <c r="CS175" s="228">
        <v>115</v>
      </c>
      <c r="CT175" s="228">
        <v>116</v>
      </c>
      <c r="CU175" s="228">
        <v>-1</v>
      </c>
      <c r="CV175" s="229">
        <v>-1.03E-2</v>
      </c>
      <c r="CW175" s="228">
        <v>978</v>
      </c>
      <c r="CX175" s="228">
        <v>976</v>
      </c>
      <c r="CY175" s="228">
        <v>1</v>
      </c>
      <c r="CZ175" s="229">
        <v>1.2999999999999999E-3</v>
      </c>
      <c r="DA175" s="228">
        <v>43.05</v>
      </c>
      <c r="DB175" s="228">
        <v>40.229999999999997</v>
      </c>
      <c r="DC175" s="228">
        <v>2.82</v>
      </c>
      <c r="DD175" s="228">
        <v>2.82</v>
      </c>
      <c r="DE175" s="228">
        <v>47.97</v>
      </c>
      <c r="DF175" s="228">
        <v>48.05</v>
      </c>
      <c r="DG175" s="228">
        <v>-4.92</v>
      </c>
      <c r="DH175" s="228">
        <v>-0.08</v>
      </c>
      <c r="DI175" s="228">
        <v>43.12</v>
      </c>
      <c r="DJ175" s="228">
        <v>40.67</v>
      </c>
      <c r="DK175" s="228">
        <v>2.4500000000000002</v>
      </c>
      <c r="DL175" s="228">
        <v>2.4500000000000002</v>
      </c>
      <c r="DM175" s="228">
        <v>42.92</v>
      </c>
      <c r="DN175" s="228">
        <v>38.51</v>
      </c>
      <c r="DO175" s="228">
        <v>4.41</v>
      </c>
      <c r="DP175" s="228">
        <v>4.41</v>
      </c>
      <c r="DQ175" s="228">
        <v>0.61</v>
      </c>
      <c r="DR175" s="228">
        <v>0.59</v>
      </c>
      <c r="DS175" s="228">
        <v>0.02</v>
      </c>
      <c r="DT175" s="229">
        <v>3.39E-2</v>
      </c>
      <c r="DU175" s="231">
        <v>1600</v>
      </c>
      <c r="DV175" s="231">
        <v>1500</v>
      </c>
      <c r="DW175" s="228">
        <v>0.48</v>
      </c>
      <c r="DX175" s="228">
        <v>0.25</v>
      </c>
      <c r="DY175" s="228">
        <v>0.23</v>
      </c>
      <c r="DZ175" s="229">
        <v>0.92</v>
      </c>
      <c r="EA175" s="229">
        <v>4.0800000000000003E-2</v>
      </c>
      <c r="EB175" s="230">
        <v>170800</v>
      </c>
      <c r="EC175" s="229">
        <v>4.7999999999999996E-3</v>
      </c>
      <c r="ED175" s="229">
        <v>4.0800000000000003E-2</v>
      </c>
      <c r="EE175" s="228">
        <v>5.65</v>
      </c>
      <c r="EF175" s="229">
        <v>3.8E-3</v>
      </c>
      <c r="EG175" s="230">
        <v>782662</v>
      </c>
      <c r="EH175" s="230">
        <v>338813</v>
      </c>
      <c r="EI175" s="229">
        <v>1.31</v>
      </c>
      <c r="EJ175" s="229">
        <v>0.77700000000000002</v>
      </c>
      <c r="EK175" s="228">
        <v>89.55</v>
      </c>
      <c r="EL175" s="228">
        <v>38.33</v>
      </c>
      <c r="EM175" s="228">
        <v>57.03</v>
      </c>
      <c r="EN175" s="228">
        <v>0</v>
      </c>
      <c r="EO175" s="228">
        <v>184.91</v>
      </c>
      <c r="EP175" s="228">
        <v>197.87</v>
      </c>
      <c r="EQ175" s="228">
        <v>-12.95</v>
      </c>
      <c r="ER175" s="229">
        <v>-6.5500000000000003E-2</v>
      </c>
      <c r="ES175" s="228">
        <v>206.76</v>
      </c>
      <c r="ET175" s="228">
        <v>114.31</v>
      </c>
      <c r="EU175" s="228">
        <v>674.2</v>
      </c>
      <c r="EV175" s="231">
        <v>37710874</v>
      </c>
      <c r="EW175" s="228">
        <v>995.27</v>
      </c>
      <c r="EX175" s="231">
        <v>1004.8</v>
      </c>
      <c r="EY175" s="228">
        <v>-9.5299999999999994</v>
      </c>
      <c r="EZ175" s="229">
        <v>-9.4999999999999998E-3</v>
      </c>
      <c r="FA175" s="229">
        <v>0.17560000000000001</v>
      </c>
      <c r="FB175" s="227" t="s">
        <v>567</v>
      </c>
      <c r="FC175">
        <f t="shared" si="3"/>
        <v>0</v>
      </c>
    </row>
    <row r="176" spans="1:159" ht="17.25" thickBot="1" x14ac:dyDescent="0.3">
      <c r="A176" s="226">
        <v>45860</v>
      </c>
      <c r="B176" s="227" t="s">
        <v>168</v>
      </c>
      <c r="C176" s="227" t="s">
        <v>274</v>
      </c>
      <c r="D176" s="228">
        <v>250</v>
      </c>
      <c r="E176" s="228">
        <v>9</v>
      </c>
      <c r="F176" s="231">
        <v>2920.9</v>
      </c>
      <c r="G176" s="231">
        <v>2952.7</v>
      </c>
      <c r="H176" s="228">
        <v>-31.8</v>
      </c>
      <c r="I176" s="229">
        <v>-1.0800000000000001E-2</v>
      </c>
      <c r="J176" s="231">
        <v>2934.3</v>
      </c>
      <c r="K176" s="231">
        <v>2965.1</v>
      </c>
      <c r="L176" s="228">
        <v>-30.8</v>
      </c>
      <c r="M176" s="229">
        <v>-1.04E-2</v>
      </c>
      <c r="N176" s="231">
        <v>2920.9</v>
      </c>
      <c r="O176" s="231">
        <v>2952.7</v>
      </c>
      <c r="P176" s="228">
        <v>-31.8</v>
      </c>
      <c r="Q176" s="229">
        <v>-1.0800000000000001E-2</v>
      </c>
      <c r="R176" s="231">
        <v>2936.4</v>
      </c>
      <c r="S176" s="231">
        <v>2968.1</v>
      </c>
      <c r="T176" s="228">
        <v>-31.7</v>
      </c>
      <c r="U176" s="229">
        <v>-1.0699999999999999E-2</v>
      </c>
      <c r="V176" s="228">
        <v>0</v>
      </c>
      <c r="W176" s="228">
        <v>0</v>
      </c>
      <c r="X176" s="228">
        <v>0</v>
      </c>
      <c r="Y176" s="229">
        <v>0</v>
      </c>
      <c r="Z176" s="228">
        <v>-13.4</v>
      </c>
      <c r="AA176" s="228">
        <v>-12.4</v>
      </c>
      <c r="AB176" s="228">
        <v>-1</v>
      </c>
      <c r="AC176" s="229">
        <v>-4.5999999999999999E-3</v>
      </c>
      <c r="AD176" s="228">
        <v>-13.4</v>
      </c>
      <c r="AE176" s="228">
        <v>-12.4</v>
      </c>
      <c r="AF176" s="228">
        <v>-1</v>
      </c>
      <c r="AG176" s="229">
        <v>-4.5999999999999999E-3</v>
      </c>
      <c r="AH176" s="228">
        <v>2.1</v>
      </c>
      <c r="AI176" s="228">
        <v>3</v>
      </c>
      <c r="AJ176" s="228">
        <v>-0.9</v>
      </c>
      <c r="AK176" s="229">
        <v>6.9999999999999999E-4</v>
      </c>
      <c r="AL176" s="228">
        <v>0</v>
      </c>
      <c r="AM176" s="228">
        <v>0</v>
      </c>
      <c r="AN176" s="228">
        <v>0</v>
      </c>
      <c r="AO176" s="229">
        <v>0</v>
      </c>
      <c r="AP176" s="231">
        <v>2930.11</v>
      </c>
      <c r="AQ176" s="231">
        <v>2945.57</v>
      </c>
      <c r="AR176" s="228">
        <v>0</v>
      </c>
      <c r="AS176" s="228">
        <v>72</v>
      </c>
      <c r="AT176" s="228">
        <v>67</v>
      </c>
      <c r="AU176" s="228">
        <v>6</v>
      </c>
      <c r="AV176" s="229">
        <v>8.3000000000000004E-2</v>
      </c>
      <c r="AW176" s="228">
        <v>56</v>
      </c>
      <c r="AX176" s="228">
        <v>57</v>
      </c>
      <c r="AY176" s="228">
        <v>-1</v>
      </c>
      <c r="AZ176" s="229">
        <v>-1.4200000000000001E-2</v>
      </c>
      <c r="BA176" s="228">
        <v>15</v>
      </c>
      <c r="BB176" s="228">
        <v>10</v>
      </c>
      <c r="BC176" s="228">
        <v>5</v>
      </c>
      <c r="BD176" s="229">
        <v>0.48920000000000002</v>
      </c>
      <c r="BE176" s="228">
        <v>0</v>
      </c>
      <c r="BF176" s="228">
        <v>0</v>
      </c>
      <c r="BG176" s="228">
        <v>0</v>
      </c>
      <c r="BH176" s="229">
        <v>0</v>
      </c>
      <c r="BI176" s="228">
        <v>180</v>
      </c>
      <c r="BJ176" s="228">
        <v>114</v>
      </c>
      <c r="BK176" s="228">
        <v>66</v>
      </c>
      <c r="BL176" s="229">
        <v>0.57850000000000001</v>
      </c>
      <c r="BM176" s="228">
        <v>64</v>
      </c>
      <c r="BN176" s="228">
        <v>30</v>
      </c>
      <c r="BO176" s="228">
        <v>34</v>
      </c>
      <c r="BP176" s="229">
        <v>1.1214</v>
      </c>
      <c r="BQ176" s="228">
        <v>316</v>
      </c>
      <c r="BR176" s="228">
        <v>211</v>
      </c>
      <c r="BS176" s="228">
        <v>105</v>
      </c>
      <c r="BT176" s="229">
        <v>0.49880000000000002</v>
      </c>
      <c r="BU176" s="230">
        <v>178889</v>
      </c>
      <c r="BV176" s="230">
        <v>216328</v>
      </c>
      <c r="BW176" s="230">
        <v>-37439</v>
      </c>
      <c r="BX176" s="229">
        <v>-0.1731</v>
      </c>
      <c r="BY176" s="230">
        <v>1005</v>
      </c>
      <c r="BZ176" s="228">
        <v>987</v>
      </c>
      <c r="CA176" s="228">
        <v>19</v>
      </c>
      <c r="CB176" s="229">
        <v>1.8800000000000001E-2</v>
      </c>
      <c r="CC176" s="228">
        <v>962</v>
      </c>
      <c r="CD176" s="228">
        <v>954</v>
      </c>
      <c r="CE176" s="228">
        <v>8</v>
      </c>
      <c r="CF176" s="229">
        <v>7.9000000000000008E-3</v>
      </c>
      <c r="CG176" s="228">
        <v>41</v>
      </c>
      <c r="CH176" s="228">
        <v>30</v>
      </c>
      <c r="CI176" s="228">
        <v>10</v>
      </c>
      <c r="CJ176" s="229">
        <v>0.34050000000000002</v>
      </c>
      <c r="CK176" s="228">
        <v>0</v>
      </c>
      <c r="CL176" s="228">
        <v>0</v>
      </c>
      <c r="CM176" s="228">
        <v>0</v>
      </c>
      <c r="CN176" s="229">
        <v>0</v>
      </c>
      <c r="CO176" s="228">
        <v>337</v>
      </c>
      <c r="CP176" s="228">
        <v>296</v>
      </c>
      <c r="CQ176" s="228">
        <v>41</v>
      </c>
      <c r="CR176" s="229">
        <v>0.1376</v>
      </c>
      <c r="CS176" s="228">
        <v>162</v>
      </c>
      <c r="CT176" s="228">
        <v>157</v>
      </c>
      <c r="CU176" s="228">
        <v>6</v>
      </c>
      <c r="CV176" s="229">
        <v>3.5400000000000001E-2</v>
      </c>
      <c r="CW176" s="230">
        <v>1504</v>
      </c>
      <c r="CX176" s="230">
        <v>1439</v>
      </c>
      <c r="CY176" s="228">
        <v>65</v>
      </c>
      <c r="CZ176" s="229">
        <v>4.5100000000000001E-2</v>
      </c>
      <c r="DA176" s="228">
        <v>22.79</v>
      </c>
      <c r="DB176" s="228">
        <v>21.06</v>
      </c>
      <c r="DC176" s="228">
        <v>1.73</v>
      </c>
      <c r="DD176" s="228">
        <v>1.73</v>
      </c>
      <c r="DE176" s="228">
        <v>23.31</v>
      </c>
      <c r="DF176" s="228">
        <v>23.32</v>
      </c>
      <c r="DG176" s="228">
        <v>-0.52</v>
      </c>
      <c r="DH176" s="228">
        <v>-0.01</v>
      </c>
      <c r="DI176" s="228">
        <v>23.7</v>
      </c>
      <c r="DJ176" s="228">
        <v>21.44</v>
      </c>
      <c r="DK176" s="228">
        <v>2.2599999999999998</v>
      </c>
      <c r="DL176" s="228">
        <v>2.2599999999999998</v>
      </c>
      <c r="DM176" s="228">
        <v>20.23</v>
      </c>
      <c r="DN176" s="228">
        <v>19.63</v>
      </c>
      <c r="DO176" s="228">
        <v>0.6</v>
      </c>
      <c r="DP176" s="228">
        <v>0.6</v>
      </c>
      <c r="DQ176" s="228">
        <v>0.48</v>
      </c>
      <c r="DR176" s="228">
        <v>0.53</v>
      </c>
      <c r="DS176" s="228">
        <v>-0.05</v>
      </c>
      <c r="DT176" s="229">
        <v>-9.4299999999999995E-2</v>
      </c>
      <c r="DU176" s="231">
        <v>3100</v>
      </c>
      <c r="DV176" s="231">
        <v>3000</v>
      </c>
      <c r="DW176" s="228">
        <v>0.35</v>
      </c>
      <c r="DX176" s="228">
        <v>0.26</v>
      </c>
      <c r="DY176" s="228">
        <v>0.09</v>
      </c>
      <c r="DZ176" s="229">
        <v>0.34620000000000001</v>
      </c>
      <c r="EA176" s="229">
        <v>4.0599999999999997E-2</v>
      </c>
      <c r="EB176" s="230">
        <v>104250</v>
      </c>
      <c r="EC176" s="229">
        <v>5.3E-3</v>
      </c>
      <c r="ED176" s="229">
        <v>4.0599999999999997E-2</v>
      </c>
      <c r="EE176" s="228">
        <v>15.46</v>
      </c>
      <c r="EF176" s="229">
        <v>5.3E-3</v>
      </c>
      <c r="EG176" s="230">
        <v>103380</v>
      </c>
      <c r="EH176" s="230">
        <v>149102</v>
      </c>
      <c r="EI176" s="229">
        <v>-0.30659999999999998</v>
      </c>
      <c r="EJ176" s="229">
        <v>0.57789999999999997</v>
      </c>
      <c r="EK176" s="228">
        <v>188.21</v>
      </c>
      <c r="EL176" s="228">
        <v>63.76</v>
      </c>
      <c r="EM176" s="228">
        <v>72.760000000000005</v>
      </c>
      <c r="EN176" s="228">
        <v>0</v>
      </c>
      <c r="EO176" s="228">
        <v>324.73</v>
      </c>
      <c r="EP176" s="228">
        <v>217.57</v>
      </c>
      <c r="EQ176" s="228">
        <v>107.16</v>
      </c>
      <c r="ER176" s="229">
        <v>0.49249999999999999</v>
      </c>
      <c r="ES176" s="228">
        <v>357.84</v>
      </c>
      <c r="ET176" s="228">
        <v>163.24</v>
      </c>
      <c r="EU176" s="231">
        <v>1005.32</v>
      </c>
      <c r="EV176" s="231">
        <v>31030515</v>
      </c>
      <c r="EW176" s="231">
        <v>1526.4</v>
      </c>
      <c r="EX176" s="231">
        <v>1471.41</v>
      </c>
      <c r="EY176" s="228">
        <v>54.99</v>
      </c>
      <c r="EZ176" s="229">
        <v>3.7400000000000003E-2</v>
      </c>
      <c r="FA176" s="229">
        <v>0.16589999999999999</v>
      </c>
      <c r="FB176" s="227" t="s">
        <v>567</v>
      </c>
      <c r="FC176">
        <f t="shared" si="3"/>
        <v>0</v>
      </c>
    </row>
    <row r="177" spans="1:159" ht="17.25" thickBot="1" x14ac:dyDescent="0.3">
      <c r="A177" s="226">
        <v>45860</v>
      </c>
      <c r="B177" s="227" t="s">
        <v>498</v>
      </c>
      <c r="C177" s="227" t="s">
        <v>483</v>
      </c>
      <c r="D177" s="228">
        <v>175</v>
      </c>
      <c r="E177" s="228">
        <v>9</v>
      </c>
      <c r="F177" s="231">
        <v>4080</v>
      </c>
      <c r="G177" s="231">
        <v>4179.8999999999996</v>
      </c>
      <c r="H177" s="228">
        <v>-99.9</v>
      </c>
      <c r="I177" s="229">
        <v>-2.3900000000000001E-2</v>
      </c>
      <c r="J177" s="231">
        <v>4080</v>
      </c>
      <c r="K177" s="231">
        <v>4173.1000000000004</v>
      </c>
      <c r="L177" s="228">
        <v>-93.1</v>
      </c>
      <c r="M177" s="229">
        <v>-2.23E-2</v>
      </c>
      <c r="N177" s="231">
        <v>4080</v>
      </c>
      <c r="O177" s="231">
        <v>4179.8999999999996</v>
      </c>
      <c r="P177" s="228">
        <v>-99.9</v>
      </c>
      <c r="Q177" s="229">
        <v>-2.3900000000000001E-2</v>
      </c>
      <c r="R177" s="231">
        <v>4090.5</v>
      </c>
      <c r="S177" s="231">
        <v>4190.1000000000004</v>
      </c>
      <c r="T177" s="228">
        <v>-99.6</v>
      </c>
      <c r="U177" s="229">
        <v>-2.3800000000000002E-2</v>
      </c>
      <c r="V177" s="228">
        <v>0</v>
      </c>
      <c r="W177" s="228">
        <v>0</v>
      </c>
      <c r="X177" s="228">
        <v>0</v>
      </c>
      <c r="Y177" s="229">
        <v>0</v>
      </c>
      <c r="Z177" s="228">
        <v>0</v>
      </c>
      <c r="AA177" s="228">
        <v>6.8</v>
      </c>
      <c r="AB177" s="228">
        <v>-6.8</v>
      </c>
      <c r="AC177" s="229">
        <v>0</v>
      </c>
      <c r="AD177" s="228">
        <v>0</v>
      </c>
      <c r="AE177" s="228">
        <v>6.8</v>
      </c>
      <c r="AF177" s="228">
        <v>-6.8</v>
      </c>
      <c r="AG177" s="229">
        <v>0</v>
      </c>
      <c r="AH177" s="228">
        <v>10.5</v>
      </c>
      <c r="AI177" s="228">
        <v>17</v>
      </c>
      <c r="AJ177" s="228">
        <v>-6.5</v>
      </c>
      <c r="AK177" s="229">
        <v>2.5999999999999999E-3</v>
      </c>
      <c r="AL177" s="228">
        <v>0</v>
      </c>
      <c r="AM177" s="228">
        <v>0</v>
      </c>
      <c r="AN177" s="228">
        <v>0</v>
      </c>
      <c r="AO177" s="229">
        <v>0</v>
      </c>
      <c r="AP177" s="231">
        <v>4103.37</v>
      </c>
      <c r="AQ177" s="231">
        <v>4113.87</v>
      </c>
      <c r="AR177" s="228">
        <v>0</v>
      </c>
      <c r="AS177" s="228">
        <v>83</v>
      </c>
      <c r="AT177" s="228">
        <v>57</v>
      </c>
      <c r="AU177" s="228">
        <v>26</v>
      </c>
      <c r="AV177" s="229">
        <v>0.4536</v>
      </c>
      <c r="AW177" s="228">
        <v>69</v>
      </c>
      <c r="AX177" s="228">
        <v>49</v>
      </c>
      <c r="AY177" s="228">
        <v>19</v>
      </c>
      <c r="AZ177" s="229">
        <v>0.3916</v>
      </c>
      <c r="BA177" s="228">
        <v>14</v>
      </c>
      <c r="BB177" s="228">
        <v>7</v>
      </c>
      <c r="BC177" s="228">
        <v>7</v>
      </c>
      <c r="BD177" s="229">
        <v>0.90200000000000002</v>
      </c>
      <c r="BE177" s="228">
        <v>0</v>
      </c>
      <c r="BF177" s="228">
        <v>0</v>
      </c>
      <c r="BG177" s="228">
        <v>0</v>
      </c>
      <c r="BH177" s="229">
        <v>0</v>
      </c>
      <c r="BI177" s="228">
        <v>271</v>
      </c>
      <c r="BJ177" s="228">
        <v>205</v>
      </c>
      <c r="BK177" s="228">
        <v>66</v>
      </c>
      <c r="BL177" s="229">
        <v>0.3206</v>
      </c>
      <c r="BM177" s="228">
        <v>90</v>
      </c>
      <c r="BN177" s="228">
        <v>48</v>
      </c>
      <c r="BO177" s="228">
        <v>42</v>
      </c>
      <c r="BP177" s="229">
        <v>0.86599999999999999</v>
      </c>
      <c r="BQ177" s="228">
        <v>444</v>
      </c>
      <c r="BR177" s="228">
        <v>311</v>
      </c>
      <c r="BS177" s="228">
        <v>134</v>
      </c>
      <c r="BT177" s="229">
        <v>0.43009999999999998</v>
      </c>
      <c r="BU177" s="230">
        <v>159596</v>
      </c>
      <c r="BV177" s="230">
        <v>64462</v>
      </c>
      <c r="BW177" s="230">
        <v>95134</v>
      </c>
      <c r="BX177" s="229">
        <v>1.4758</v>
      </c>
      <c r="BY177" s="228">
        <v>613</v>
      </c>
      <c r="BZ177" s="228">
        <v>605</v>
      </c>
      <c r="CA177" s="228">
        <v>7</v>
      </c>
      <c r="CB177" s="229">
        <v>1.1900000000000001E-2</v>
      </c>
      <c r="CC177" s="228">
        <v>592</v>
      </c>
      <c r="CD177" s="228">
        <v>591</v>
      </c>
      <c r="CE177" s="228">
        <v>2</v>
      </c>
      <c r="CF177" s="229">
        <v>2.8999999999999998E-3</v>
      </c>
      <c r="CG177" s="228">
        <v>19</v>
      </c>
      <c r="CH177" s="228">
        <v>14</v>
      </c>
      <c r="CI177" s="228">
        <v>5</v>
      </c>
      <c r="CJ177" s="229">
        <v>0.38269999999999998</v>
      </c>
      <c r="CK177" s="228">
        <v>0</v>
      </c>
      <c r="CL177" s="228">
        <v>0</v>
      </c>
      <c r="CM177" s="228">
        <v>0</v>
      </c>
      <c r="CN177" s="229">
        <v>0</v>
      </c>
      <c r="CO177" s="228">
        <v>225</v>
      </c>
      <c r="CP177" s="228">
        <v>215</v>
      </c>
      <c r="CQ177" s="228">
        <v>10</v>
      </c>
      <c r="CR177" s="229">
        <v>4.4499999999999998E-2</v>
      </c>
      <c r="CS177" s="228">
        <v>119</v>
      </c>
      <c r="CT177" s="228">
        <v>119</v>
      </c>
      <c r="CU177" s="228">
        <v>0</v>
      </c>
      <c r="CV177" s="229">
        <v>-5.9999999999999995E-4</v>
      </c>
      <c r="CW177" s="228">
        <v>956</v>
      </c>
      <c r="CX177" s="228">
        <v>940</v>
      </c>
      <c r="CY177" s="228">
        <v>17</v>
      </c>
      <c r="CZ177" s="229">
        <v>1.78E-2</v>
      </c>
      <c r="DA177" s="228">
        <v>27.6</v>
      </c>
      <c r="DB177" s="228">
        <v>26.1</v>
      </c>
      <c r="DC177" s="228">
        <v>1.5</v>
      </c>
      <c r="DD177" s="228">
        <v>1.5</v>
      </c>
      <c r="DE177" s="228">
        <v>31.63</v>
      </c>
      <c r="DF177" s="228">
        <v>31.56</v>
      </c>
      <c r="DG177" s="228">
        <v>-4.03</v>
      </c>
      <c r="DH177" s="228">
        <v>7.0000000000000007E-2</v>
      </c>
      <c r="DI177" s="228">
        <v>27.79</v>
      </c>
      <c r="DJ177" s="228">
        <v>25.88</v>
      </c>
      <c r="DK177" s="228">
        <v>1.91</v>
      </c>
      <c r="DL177" s="228">
        <v>1.91</v>
      </c>
      <c r="DM177" s="228">
        <v>27.04</v>
      </c>
      <c r="DN177" s="228">
        <v>27.04</v>
      </c>
      <c r="DO177" s="228">
        <v>0</v>
      </c>
      <c r="DP177" s="228">
        <v>0</v>
      </c>
      <c r="DQ177" s="228">
        <v>0.53</v>
      </c>
      <c r="DR177" s="228">
        <v>0.55000000000000004</v>
      </c>
      <c r="DS177" s="228">
        <v>-0.02</v>
      </c>
      <c r="DT177" s="229">
        <v>-3.6400000000000002E-2</v>
      </c>
      <c r="DU177" s="231">
        <v>4500</v>
      </c>
      <c r="DV177" s="231">
        <v>4100</v>
      </c>
      <c r="DW177" s="228">
        <v>0.33</v>
      </c>
      <c r="DX177" s="228">
        <v>0.24</v>
      </c>
      <c r="DY177" s="228">
        <v>0.09</v>
      </c>
      <c r="DZ177" s="229">
        <v>0.375</v>
      </c>
      <c r="EA177" s="229">
        <v>3.1600000000000003E-2</v>
      </c>
      <c r="EB177" s="230">
        <v>34300</v>
      </c>
      <c r="EC177" s="229">
        <v>2.5999999999999999E-3</v>
      </c>
      <c r="ED177" s="229">
        <v>3.1600000000000003E-2</v>
      </c>
      <c r="EE177" s="228">
        <v>10.5</v>
      </c>
      <c r="EF177" s="229">
        <v>2.5999999999999999E-3</v>
      </c>
      <c r="EG177" s="230">
        <v>88681</v>
      </c>
      <c r="EH177" s="230">
        <v>35935</v>
      </c>
      <c r="EI177" s="229">
        <v>1.4678</v>
      </c>
      <c r="EJ177" s="229">
        <v>0.55569999999999997</v>
      </c>
      <c r="EK177" s="228">
        <v>285.31</v>
      </c>
      <c r="EL177" s="228">
        <v>90.28</v>
      </c>
      <c r="EM177" s="228">
        <v>83.34</v>
      </c>
      <c r="EN177" s="228">
        <v>0</v>
      </c>
      <c r="EO177" s="228">
        <v>458.93</v>
      </c>
      <c r="EP177" s="228">
        <v>322.60000000000002</v>
      </c>
      <c r="EQ177" s="228">
        <v>136.33000000000001</v>
      </c>
      <c r="ER177" s="229">
        <v>0.42259999999999998</v>
      </c>
      <c r="ES177" s="228">
        <v>239.29</v>
      </c>
      <c r="ET177" s="228">
        <v>115.73</v>
      </c>
      <c r="EU177" s="228">
        <v>612.74</v>
      </c>
      <c r="EV177" s="231">
        <v>16356551</v>
      </c>
      <c r="EW177" s="228">
        <v>967.75</v>
      </c>
      <c r="EX177" s="228">
        <v>966.62</v>
      </c>
      <c r="EY177" s="228">
        <v>1.1299999999999999</v>
      </c>
      <c r="EZ177" s="229">
        <v>1.1999999999999999E-3</v>
      </c>
      <c r="FA177" s="229">
        <v>0.14330000000000001</v>
      </c>
      <c r="FB177" s="227" t="s">
        <v>567</v>
      </c>
      <c r="FC177">
        <f t="shared" si="3"/>
        <v>0</v>
      </c>
    </row>
    <row r="178" spans="1:159" ht="17.25" thickBot="1" x14ac:dyDescent="0.3">
      <c r="A178" s="226">
        <v>45860</v>
      </c>
      <c r="B178" s="227" t="s">
        <v>172</v>
      </c>
      <c r="C178" s="227" t="s">
        <v>275</v>
      </c>
      <c r="D178" s="228">
        <v>8000</v>
      </c>
      <c r="E178" s="228">
        <v>9</v>
      </c>
      <c r="F178" s="228">
        <v>109.47</v>
      </c>
      <c r="G178" s="228">
        <v>112.73</v>
      </c>
      <c r="H178" s="228">
        <v>-3.26</v>
      </c>
      <c r="I178" s="229">
        <v>-2.8899999999999999E-2</v>
      </c>
      <c r="J178" s="228">
        <v>109.33</v>
      </c>
      <c r="K178" s="228">
        <v>112.6</v>
      </c>
      <c r="L178" s="228">
        <v>-3.27</v>
      </c>
      <c r="M178" s="229">
        <v>-2.9000000000000001E-2</v>
      </c>
      <c r="N178" s="228">
        <v>109.47</v>
      </c>
      <c r="O178" s="228">
        <v>112.73</v>
      </c>
      <c r="P178" s="228">
        <v>-3.26</v>
      </c>
      <c r="Q178" s="229">
        <v>-2.8899999999999999E-2</v>
      </c>
      <c r="R178" s="228">
        <v>110.01</v>
      </c>
      <c r="S178" s="228">
        <v>113.35</v>
      </c>
      <c r="T178" s="228">
        <v>-3.34</v>
      </c>
      <c r="U178" s="229">
        <v>-2.9499999999999998E-2</v>
      </c>
      <c r="V178" s="228">
        <v>0</v>
      </c>
      <c r="W178" s="228">
        <v>0</v>
      </c>
      <c r="X178" s="228">
        <v>0</v>
      </c>
      <c r="Y178" s="229">
        <v>0</v>
      </c>
      <c r="Z178" s="228">
        <v>0.14000000000000001</v>
      </c>
      <c r="AA178" s="228">
        <v>0.13</v>
      </c>
      <c r="AB178" s="228">
        <v>0.01</v>
      </c>
      <c r="AC178" s="229">
        <v>1.2999999999999999E-3</v>
      </c>
      <c r="AD178" s="228">
        <v>0.14000000000000001</v>
      </c>
      <c r="AE178" s="228">
        <v>0.13</v>
      </c>
      <c r="AF178" s="228">
        <v>0.01</v>
      </c>
      <c r="AG178" s="229">
        <v>1.2999999999999999E-3</v>
      </c>
      <c r="AH178" s="228">
        <v>0.68</v>
      </c>
      <c r="AI178" s="228">
        <v>0.75</v>
      </c>
      <c r="AJ178" s="228">
        <v>-7.0000000000000007E-2</v>
      </c>
      <c r="AK178" s="229">
        <v>6.1999999999999998E-3</v>
      </c>
      <c r="AL178" s="228">
        <v>0</v>
      </c>
      <c r="AM178" s="228">
        <v>0</v>
      </c>
      <c r="AN178" s="228">
        <v>0</v>
      </c>
      <c r="AO178" s="229">
        <v>0</v>
      </c>
      <c r="AP178" s="228">
        <v>110.71</v>
      </c>
      <c r="AQ178" s="228">
        <v>111.29</v>
      </c>
      <c r="AR178" s="228">
        <v>0</v>
      </c>
      <c r="AS178" s="228">
        <v>672</v>
      </c>
      <c r="AT178" s="228">
        <v>469</v>
      </c>
      <c r="AU178" s="228">
        <v>203</v>
      </c>
      <c r="AV178" s="229">
        <v>0.43230000000000002</v>
      </c>
      <c r="AW178" s="228">
        <v>480</v>
      </c>
      <c r="AX178" s="228">
        <v>375</v>
      </c>
      <c r="AY178" s="228">
        <v>106</v>
      </c>
      <c r="AZ178" s="229">
        <v>0.28179999999999999</v>
      </c>
      <c r="BA178" s="228">
        <v>172</v>
      </c>
      <c r="BB178" s="228">
        <v>82</v>
      </c>
      <c r="BC178" s="228">
        <v>90</v>
      </c>
      <c r="BD178" s="229">
        <v>1.0871999999999999</v>
      </c>
      <c r="BE178" s="228">
        <v>0</v>
      </c>
      <c r="BF178" s="228">
        <v>0</v>
      </c>
      <c r="BG178" s="228">
        <v>0</v>
      </c>
      <c r="BH178" s="229">
        <v>0</v>
      </c>
      <c r="BI178" s="230">
        <v>1480</v>
      </c>
      <c r="BJ178" s="230">
        <v>1194</v>
      </c>
      <c r="BK178" s="228">
        <v>286</v>
      </c>
      <c r="BL178" s="229">
        <v>0.23910000000000001</v>
      </c>
      <c r="BM178" s="228">
        <v>800</v>
      </c>
      <c r="BN178" s="228">
        <v>618</v>
      </c>
      <c r="BO178" s="228">
        <v>182</v>
      </c>
      <c r="BP178" s="229">
        <v>0.29409999999999997</v>
      </c>
      <c r="BQ178" s="230">
        <v>2952</v>
      </c>
      <c r="BR178" s="230">
        <v>2282</v>
      </c>
      <c r="BS178" s="228">
        <v>670</v>
      </c>
      <c r="BT178" s="229">
        <v>0.29370000000000002</v>
      </c>
      <c r="BU178" s="230">
        <v>18470395</v>
      </c>
      <c r="BV178" s="230">
        <v>11906395</v>
      </c>
      <c r="BW178" s="230">
        <v>6564000</v>
      </c>
      <c r="BX178" s="229">
        <v>0.55130000000000001</v>
      </c>
      <c r="BY178" s="230">
        <v>2607</v>
      </c>
      <c r="BZ178" s="230">
        <v>2526</v>
      </c>
      <c r="CA178" s="228">
        <v>81</v>
      </c>
      <c r="CB178" s="229">
        <v>3.2199999999999999E-2</v>
      </c>
      <c r="CC178" s="230">
        <v>2121</v>
      </c>
      <c r="CD178" s="230">
        <v>2156</v>
      </c>
      <c r="CE178" s="228">
        <v>-35</v>
      </c>
      <c r="CF178" s="229">
        <v>-1.6199999999999999E-2</v>
      </c>
      <c r="CG178" s="228">
        <v>445</v>
      </c>
      <c r="CH178" s="228">
        <v>340</v>
      </c>
      <c r="CI178" s="228">
        <v>104</v>
      </c>
      <c r="CJ178" s="229">
        <v>0.307</v>
      </c>
      <c r="CK178" s="228">
        <v>0</v>
      </c>
      <c r="CL178" s="228">
        <v>0</v>
      </c>
      <c r="CM178" s="228">
        <v>0</v>
      </c>
      <c r="CN178" s="229">
        <v>0</v>
      </c>
      <c r="CO178" s="230">
        <v>1466</v>
      </c>
      <c r="CP178" s="230">
        <v>1295</v>
      </c>
      <c r="CQ178" s="228">
        <v>171</v>
      </c>
      <c r="CR178" s="229">
        <v>0.1321</v>
      </c>
      <c r="CS178" s="230">
        <v>1078</v>
      </c>
      <c r="CT178" s="230">
        <v>1028</v>
      </c>
      <c r="CU178" s="228">
        <v>50</v>
      </c>
      <c r="CV178" s="229">
        <v>4.8500000000000001E-2</v>
      </c>
      <c r="CW178" s="230">
        <v>5151</v>
      </c>
      <c r="CX178" s="230">
        <v>4849</v>
      </c>
      <c r="CY178" s="228">
        <v>302</v>
      </c>
      <c r="CZ178" s="229">
        <v>6.2300000000000001E-2</v>
      </c>
      <c r="DA178" s="228">
        <v>33.21</v>
      </c>
      <c r="DB178" s="228">
        <v>31.35</v>
      </c>
      <c r="DC178" s="228">
        <v>1.86</v>
      </c>
      <c r="DD178" s="228">
        <v>1.86</v>
      </c>
      <c r="DE178" s="228">
        <v>39.97</v>
      </c>
      <c r="DF178" s="228">
        <v>39.869999999999997</v>
      </c>
      <c r="DG178" s="228">
        <v>-6.76</v>
      </c>
      <c r="DH178" s="228">
        <v>0.1</v>
      </c>
      <c r="DI178" s="228">
        <v>34</v>
      </c>
      <c r="DJ178" s="228">
        <v>31.13</v>
      </c>
      <c r="DK178" s="228">
        <v>2.87</v>
      </c>
      <c r="DL178" s="228">
        <v>2.87</v>
      </c>
      <c r="DM178" s="228">
        <v>31.75</v>
      </c>
      <c r="DN178" s="228">
        <v>31.78</v>
      </c>
      <c r="DO178" s="228">
        <v>-0.03</v>
      </c>
      <c r="DP178" s="228">
        <v>-0.03</v>
      </c>
      <c r="DQ178" s="228">
        <v>0.74</v>
      </c>
      <c r="DR178" s="228">
        <v>0.79</v>
      </c>
      <c r="DS178" s="228">
        <v>-0.05</v>
      </c>
      <c r="DT178" s="229">
        <v>-6.3299999999999995E-2</v>
      </c>
      <c r="DU178" s="228">
        <v>115</v>
      </c>
      <c r="DV178" s="228">
        <v>110</v>
      </c>
      <c r="DW178" s="228">
        <v>0.54</v>
      </c>
      <c r="DX178" s="228">
        <v>0.52</v>
      </c>
      <c r="DY178" s="228">
        <v>0.02</v>
      </c>
      <c r="DZ178" s="229">
        <v>3.85E-2</v>
      </c>
      <c r="EA178" s="229">
        <v>0.1706</v>
      </c>
      <c r="EB178" s="230">
        <v>31088000</v>
      </c>
      <c r="EC178" s="229">
        <v>4.8999999999999998E-3</v>
      </c>
      <c r="ED178" s="229">
        <v>0.1706</v>
      </c>
      <c r="EE178" s="228">
        <v>0.57999999999999996</v>
      </c>
      <c r="EF178" s="229">
        <v>5.1999999999999998E-3</v>
      </c>
      <c r="EG178" s="230">
        <v>7673201</v>
      </c>
      <c r="EH178" s="230">
        <v>4008228</v>
      </c>
      <c r="EI178" s="229">
        <v>0.91439999999999999</v>
      </c>
      <c r="EJ178" s="229">
        <v>0.41539999999999999</v>
      </c>
      <c r="EK178" s="231">
        <v>1566.04</v>
      </c>
      <c r="EL178" s="228">
        <v>818.16</v>
      </c>
      <c r="EM178" s="228">
        <v>680.42</v>
      </c>
      <c r="EN178" s="228">
        <v>0</v>
      </c>
      <c r="EO178" s="231">
        <v>3064.62</v>
      </c>
      <c r="EP178" s="231">
        <v>2398.59</v>
      </c>
      <c r="EQ178" s="228">
        <v>666.03</v>
      </c>
      <c r="ER178" s="229">
        <v>0.2777</v>
      </c>
      <c r="ES178" s="231">
        <v>1531.52</v>
      </c>
      <c r="ET178" s="231">
        <v>1055.95</v>
      </c>
      <c r="EU178" s="231">
        <v>2610.12</v>
      </c>
      <c r="EV178" s="231">
        <v>687763516</v>
      </c>
      <c r="EW178" s="231">
        <v>5197.58</v>
      </c>
      <c r="EX178" s="231">
        <v>4969.88</v>
      </c>
      <c r="EY178" s="228">
        <v>227.7</v>
      </c>
      <c r="EZ178" s="229">
        <v>4.58E-2</v>
      </c>
      <c r="FA178" s="229">
        <v>0.68420000000000003</v>
      </c>
      <c r="FB178" s="227" t="s">
        <v>567</v>
      </c>
      <c r="FC178">
        <f t="shared" si="3"/>
        <v>0</v>
      </c>
    </row>
    <row r="179" spans="1:159" ht="17.25" thickBot="1" x14ac:dyDescent="0.3">
      <c r="A179" s="226">
        <v>45860</v>
      </c>
      <c r="B179" s="227" t="s">
        <v>175</v>
      </c>
      <c r="C179" s="227" t="s">
        <v>672</v>
      </c>
      <c r="D179" s="228">
        <v>650</v>
      </c>
      <c r="E179" s="228">
        <v>9</v>
      </c>
      <c r="F179" s="231">
        <v>1087.8</v>
      </c>
      <c r="G179" s="231">
        <v>1089.5</v>
      </c>
      <c r="H179" s="228">
        <v>-1.7</v>
      </c>
      <c r="I179" s="229">
        <v>-1.6000000000000001E-3</v>
      </c>
      <c r="J179" s="231">
        <v>1086.5999999999999</v>
      </c>
      <c r="K179" s="231">
        <v>1084.2</v>
      </c>
      <c r="L179" s="228">
        <v>2.4</v>
      </c>
      <c r="M179" s="229">
        <v>2.2000000000000001E-3</v>
      </c>
      <c r="N179" s="231">
        <v>1087.8</v>
      </c>
      <c r="O179" s="231">
        <v>1089.5</v>
      </c>
      <c r="P179" s="228">
        <v>-1.7</v>
      </c>
      <c r="Q179" s="229">
        <v>-1.6000000000000001E-3</v>
      </c>
      <c r="R179" s="231">
        <v>1088.2</v>
      </c>
      <c r="S179" s="231">
        <v>1087.9000000000001</v>
      </c>
      <c r="T179" s="228">
        <v>0.3</v>
      </c>
      <c r="U179" s="229">
        <v>2.9999999999999997E-4</v>
      </c>
      <c r="V179" s="228">
        <v>0</v>
      </c>
      <c r="W179" s="228">
        <v>0</v>
      </c>
      <c r="X179" s="228">
        <v>0</v>
      </c>
      <c r="Y179" s="229">
        <v>0</v>
      </c>
      <c r="Z179" s="228">
        <v>1.2</v>
      </c>
      <c r="AA179" s="228">
        <v>5.3</v>
      </c>
      <c r="AB179" s="228">
        <v>-4.0999999999999996</v>
      </c>
      <c r="AC179" s="229">
        <v>1.1000000000000001E-3</v>
      </c>
      <c r="AD179" s="228">
        <v>1.2</v>
      </c>
      <c r="AE179" s="228">
        <v>5.3</v>
      </c>
      <c r="AF179" s="228">
        <v>-4.0999999999999996</v>
      </c>
      <c r="AG179" s="229">
        <v>1.1000000000000001E-3</v>
      </c>
      <c r="AH179" s="228">
        <v>1.6</v>
      </c>
      <c r="AI179" s="228">
        <v>3.7</v>
      </c>
      <c r="AJ179" s="228">
        <v>-2.1</v>
      </c>
      <c r="AK179" s="229">
        <v>1.5E-3</v>
      </c>
      <c r="AL179" s="228">
        <v>0</v>
      </c>
      <c r="AM179" s="228">
        <v>0</v>
      </c>
      <c r="AN179" s="228">
        <v>0</v>
      </c>
      <c r="AO179" s="229">
        <v>0</v>
      </c>
      <c r="AP179" s="231">
        <v>1100.99</v>
      </c>
      <c r="AQ179" s="231">
        <v>1101.4000000000001</v>
      </c>
      <c r="AR179" s="228">
        <v>0</v>
      </c>
      <c r="AS179" s="228">
        <v>565</v>
      </c>
      <c r="AT179" s="228">
        <v>320</v>
      </c>
      <c r="AU179" s="228">
        <v>245</v>
      </c>
      <c r="AV179" s="229">
        <v>0.76419999999999999</v>
      </c>
      <c r="AW179" s="228">
        <v>492</v>
      </c>
      <c r="AX179" s="228">
        <v>287</v>
      </c>
      <c r="AY179" s="228">
        <v>205</v>
      </c>
      <c r="AZ179" s="229">
        <v>0.71630000000000005</v>
      </c>
      <c r="BA179" s="228">
        <v>71</v>
      </c>
      <c r="BB179" s="228">
        <v>33</v>
      </c>
      <c r="BC179" s="228">
        <v>38</v>
      </c>
      <c r="BD179" s="229">
        <v>1.1555</v>
      </c>
      <c r="BE179" s="228">
        <v>0</v>
      </c>
      <c r="BF179" s="228">
        <v>0</v>
      </c>
      <c r="BG179" s="228">
        <v>0</v>
      </c>
      <c r="BH179" s="229">
        <v>0</v>
      </c>
      <c r="BI179" s="230">
        <v>1620</v>
      </c>
      <c r="BJ179" s="228">
        <v>536</v>
      </c>
      <c r="BK179" s="230">
        <v>1085</v>
      </c>
      <c r="BL179" s="229">
        <v>2.0251000000000001</v>
      </c>
      <c r="BM179" s="228">
        <v>579</v>
      </c>
      <c r="BN179" s="228">
        <v>357</v>
      </c>
      <c r="BO179" s="228">
        <v>222</v>
      </c>
      <c r="BP179" s="229">
        <v>0.62260000000000004</v>
      </c>
      <c r="BQ179" s="230">
        <v>2764</v>
      </c>
      <c r="BR179" s="230">
        <v>1213</v>
      </c>
      <c r="BS179" s="230">
        <v>1551</v>
      </c>
      <c r="BT179" s="229">
        <v>1.2795000000000001</v>
      </c>
      <c r="BU179" s="230">
        <v>3837415</v>
      </c>
      <c r="BV179" s="230">
        <v>1277963</v>
      </c>
      <c r="BW179" s="230">
        <v>2559452</v>
      </c>
      <c r="BX179" s="229">
        <v>2.0028000000000001</v>
      </c>
      <c r="BY179" s="230">
        <v>1085</v>
      </c>
      <c r="BZ179" s="230">
        <v>1118</v>
      </c>
      <c r="CA179" s="228">
        <v>-33</v>
      </c>
      <c r="CB179" s="229">
        <v>-2.93E-2</v>
      </c>
      <c r="CC179" s="230">
        <v>1022</v>
      </c>
      <c r="CD179" s="230">
        <v>1082</v>
      </c>
      <c r="CE179" s="228">
        <v>-60</v>
      </c>
      <c r="CF179" s="229">
        <v>-5.5300000000000002E-2</v>
      </c>
      <c r="CG179" s="228">
        <v>59</v>
      </c>
      <c r="CH179" s="228">
        <v>34</v>
      </c>
      <c r="CI179" s="228">
        <v>25</v>
      </c>
      <c r="CJ179" s="229">
        <v>0.75580000000000003</v>
      </c>
      <c r="CK179" s="228">
        <v>0</v>
      </c>
      <c r="CL179" s="228">
        <v>0</v>
      </c>
      <c r="CM179" s="228">
        <v>0</v>
      </c>
      <c r="CN179" s="229">
        <v>0</v>
      </c>
      <c r="CO179" s="228">
        <v>368</v>
      </c>
      <c r="CP179" s="228">
        <v>283</v>
      </c>
      <c r="CQ179" s="228">
        <v>85</v>
      </c>
      <c r="CR179" s="229">
        <v>0.30009999999999998</v>
      </c>
      <c r="CS179" s="228">
        <v>200</v>
      </c>
      <c r="CT179" s="228">
        <v>198</v>
      </c>
      <c r="CU179" s="228">
        <v>2</v>
      </c>
      <c r="CV179" s="229">
        <v>8.8999999999999999E-3</v>
      </c>
      <c r="CW179" s="230">
        <v>1652</v>
      </c>
      <c r="CX179" s="230">
        <v>1598</v>
      </c>
      <c r="CY179" s="228">
        <v>54</v>
      </c>
      <c r="CZ179" s="229">
        <v>3.3700000000000001E-2</v>
      </c>
      <c r="DA179" s="228">
        <v>34.270000000000003</v>
      </c>
      <c r="DB179" s="228">
        <v>41.72</v>
      </c>
      <c r="DC179" s="228">
        <v>-7.45</v>
      </c>
      <c r="DD179" s="228">
        <v>-7.45</v>
      </c>
      <c r="DE179" s="228">
        <v>46.3</v>
      </c>
      <c r="DF179" s="228">
        <v>46.41</v>
      </c>
      <c r="DG179" s="228">
        <v>-12.03</v>
      </c>
      <c r="DH179" s="228">
        <v>-0.11</v>
      </c>
      <c r="DI179" s="228">
        <v>34.119999999999997</v>
      </c>
      <c r="DJ179" s="228">
        <v>40.81</v>
      </c>
      <c r="DK179" s="228">
        <v>-6.69</v>
      </c>
      <c r="DL179" s="228">
        <v>-6.69</v>
      </c>
      <c r="DM179" s="228">
        <v>34.68</v>
      </c>
      <c r="DN179" s="228">
        <v>43.09</v>
      </c>
      <c r="DO179" s="228">
        <v>-8.41</v>
      </c>
      <c r="DP179" s="228">
        <v>-8.41</v>
      </c>
      <c r="DQ179" s="228">
        <v>0.54</v>
      </c>
      <c r="DR179" s="228">
        <v>0.7</v>
      </c>
      <c r="DS179" s="228">
        <v>-0.16</v>
      </c>
      <c r="DT179" s="229">
        <v>-0.2286</v>
      </c>
      <c r="DU179" s="231">
        <v>1100</v>
      </c>
      <c r="DV179" s="231">
        <v>1000</v>
      </c>
      <c r="DW179" s="228">
        <v>0.36</v>
      </c>
      <c r="DX179" s="228">
        <v>0.67</v>
      </c>
      <c r="DY179" s="228">
        <v>-0.31</v>
      </c>
      <c r="DZ179" s="229">
        <v>-0.4627</v>
      </c>
      <c r="EA179" s="229">
        <v>5.4399999999999997E-2</v>
      </c>
      <c r="EB179" s="230">
        <v>308750</v>
      </c>
      <c r="EC179" s="229">
        <v>4.0000000000000002E-4</v>
      </c>
      <c r="ED179" s="229">
        <v>5.4399999999999997E-2</v>
      </c>
      <c r="EE179" s="228">
        <v>0.41</v>
      </c>
      <c r="EF179" s="229">
        <v>4.0000000000000002E-4</v>
      </c>
      <c r="EG179" s="230">
        <v>1539737</v>
      </c>
      <c r="EH179" s="230">
        <v>444950</v>
      </c>
      <c r="EI179" s="229">
        <v>2.4605000000000001</v>
      </c>
      <c r="EJ179" s="229">
        <v>0.4012</v>
      </c>
      <c r="EK179" s="231">
        <v>1703.64</v>
      </c>
      <c r="EL179" s="228">
        <v>575.22</v>
      </c>
      <c r="EM179" s="228">
        <v>571.83000000000004</v>
      </c>
      <c r="EN179" s="228">
        <v>0</v>
      </c>
      <c r="EO179" s="231">
        <v>2850.69</v>
      </c>
      <c r="EP179" s="231">
        <v>1226.76</v>
      </c>
      <c r="EQ179" s="231">
        <v>1623.93</v>
      </c>
      <c r="ER179" s="229">
        <v>1.3238000000000001</v>
      </c>
      <c r="ES179" s="228">
        <v>386.84</v>
      </c>
      <c r="ET179" s="228">
        <v>192.71</v>
      </c>
      <c r="EU179" s="231">
        <v>1084.81</v>
      </c>
      <c r="EV179" s="231">
        <v>37374767</v>
      </c>
      <c r="EW179" s="231">
        <v>1664.36</v>
      </c>
      <c r="EX179" s="231">
        <v>1607.68</v>
      </c>
      <c r="EY179" s="228">
        <v>56.68</v>
      </c>
      <c r="EZ179" s="229">
        <v>3.5299999999999998E-2</v>
      </c>
      <c r="FA179" s="229">
        <v>0.40629999999999999</v>
      </c>
      <c r="FB179" s="227" t="s">
        <v>568</v>
      </c>
      <c r="FC179">
        <f t="shared" si="3"/>
        <v>0</v>
      </c>
    </row>
    <row r="180" spans="1:159" ht="17.25" thickBot="1" x14ac:dyDescent="0.3">
      <c r="A180" s="226">
        <v>45860</v>
      </c>
      <c r="B180" s="227" t="s">
        <v>616</v>
      </c>
      <c r="C180" s="227" t="s">
        <v>574</v>
      </c>
      <c r="D180" s="228">
        <v>350</v>
      </c>
      <c r="E180" s="228">
        <v>9</v>
      </c>
      <c r="F180" s="231">
        <v>1826.6</v>
      </c>
      <c r="G180" s="231">
        <v>1808.8</v>
      </c>
      <c r="H180" s="228">
        <v>17.8</v>
      </c>
      <c r="I180" s="229">
        <v>9.7999999999999997E-3</v>
      </c>
      <c r="J180" s="231">
        <v>1820.8</v>
      </c>
      <c r="K180" s="231">
        <v>1801.9</v>
      </c>
      <c r="L180" s="228">
        <v>18.899999999999999</v>
      </c>
      <c r="M180" s="229">
        <v>1.0500000000000001E-2</v>
      </c>
      <c r="N180" s="231">
        <v>1826.6</v>
      </c>
      <c r="O180" s="231">
        <v>1808.8</v>
      </c>
      <c r="P180" s="228">
        <v>17.8</v>
      </c>
      <c r="Q180" s="229">
        <v>9.7999999999999997E-3</v>
      </c>
      <c r="R180" s="231">
        <v>1835.5</v>
      </c>
      <c r="S180" s="231">
        <v>1816.8</v>
      </c>
      <c r="T180" s="228">
        <v>18.7</v>
      </c>
      <c r="U180" s="229">
        <v>1.03E-2</v>
      </c>
      <c r="V180" s="228">
        <v>0</v>
      </c>
      <c r="W180" s="228">
        <v>0</v>
      </c>
      <c r="X180" s="228">
        <v>0</v>
      </c>
      <c r="Y180" s="229">
        <v>0</v>
      </c>
      <c r="Z180" s="228">
        <v>5.8</v>
      </c>
      <c r="AA180" s="228">
        <v>6.9</v>
      </c>
      <c r="AB180" s="228">
        <v>-1.1000000000000001</v>
      </c>
      <c r="AC180" s="229">
        <v>3.2000000000000002E-3</v>
      </c>
      <c r="AD180" s="228">
        <v>5.8</v>
      </c>
      <c r="AE180" s="228">
        <v>6.9</v>
      </c>
      <c r="AF180" s="228">
        <v>-1.1000000000000001</v>
      </c>
      <c r="AG180" s="229">
        <v>3.2000000000000002E-3</v>
      </c>
      <c r="AH180" s="228">
        <v>14.7</v>
      </c>
      <c r="AI180" s="228">
        <v>14.9</v>
      </c>
      <c r="AJ180" s="228">
        <v>-0.2</v>
      </c>
      <c r="AK180" s="229">
        <v>8.0999999999999996E-3</v>
      </c>
      <c r="AL180" s="228">
        <v>0</v>
      </c>
      <c r="AM180" s="228">
        <v>0</v>
      </c>
      <c r="AN180" s="228">
        <v>0</v>
      </c>
      <c r="AO180" s="229">
        <v>0</v>
      </c>
      <c r="AP180" s="231">
        <v>1821.89</v>
      </c>
      <c r="AQ180" s="231">
        <v>1832.13</v>
      </c>
      <c r="AR180" s="228">
        <v>0</v>
      </c>
      <c r="AS180" s="228">
        <v>191</v>
      </c>
      <c r="AT180" s="228">
        <v>245</v>
      </c>
      <c r="AU180" s="228">
        <v>-55</v>
      </c>
      <c r="AV180" s="229">
        <v>-0.2225</v>
      </c>
      <c r="AW180" s="228">
        <v>160</v>
      </c>
      <c r="AX180" s="228">
        <v>215</v>
      </c>
      <c r="AY180" s="228">
        <v>-55</v>
      </c>
      <c r="AZ180" s="229">
        <v>-0.25679999999999997</v>
      </c>
      <c r="BA180" s="228">
        <v>30</v>
      </c>
      <c r="BB180" s="228">
        <v>29</v>
      </c>
      <c r="BC180" s="228">
        <v>0</v>
      </c>
      <c r="BD180" s="229">
        <v>1.54E-2</v>
      </c>
      <c r="BE180" s="228">
        <v>0</v>
      </c>
      <c r="BF180" s="228">
        <v>0</v>
      </c>
      <c r="BG180" s="228">
        <v>0</v>
      </c>
      <c r="BH180" s="229">
        <v>0</v>
      </c>
      <c r="BI180" s="228">
        <v>436</v>
      </c>
      <c r="BJ180" s="228">
        <v>380</v>
      </c>
      <c r="BK180" s="228">
        <v>55</v>
      </c>
      <c r="BL180" s="229">
        <v>0.14599999999999999</v>
      </c>
      <c r="BM180" s="228">
        <v>168</v>
      </c>
      <c r="BN180" s="228">
        <v>166</v>
      </c>
      <c r="BO180" s="228">
        <v>2</v>
      </c>
      <c r="BP180" s="229">
        <v>1.24E-2</v>
      </c>
      <c r="BQ180" s="228">
        <v>794</v>
      </c>
      <c r="BR180" s="228">
        <v>791</v>
      </c>
      <c r="BS180" s="228">
        <v>3</v>
      </c>
      <c r="BT180" s="229">
        <v>3.8E-3</v>
      </c>
      <c r="BU180" s="230">
        <v>1006709</v>
      </c>
      <c r="BV180" s="230">
        <v>2413133</v>
      </c>
      <c r="BW180" s="230">
        <v>-1406424</v>
      </c>
      <c r="BX180" s="229">
        <v>-0.58279999999999998</v>
      </c>
      <c r="BY180" s="230">
        <v>1431</v>
      </c>
      <c r="BZ180" s="230">
        <v>1424</v>
      </c>
      <c r="CA180" s="228">
        <v>7</v>
      </c>
      <c r="CB180" s="229">
        <v>5.0000000000000001E-3</v>
      </c>
      <c r="CC180" s="230">
        <v>1390</v>
      </c>
      <c r="CD180" s="230">
        <v>1390</v>
      </c>
      <c r="CE180" s="228">
        <v>0</v>
      </c>
      <c r="CF180" s="229">
        <v>0</v>
      </c>
      <c r="CG180" s="228">
        <v>40</v>
      </c>
      <c r="CH180" s="228">
        <v>33</v>
      </c>
      <c r="CI180" s="228">
        <v>7</v>
      </c>
      <c r="CJ180" s="229">
        <v>0.20699999999999999</v>
      </c>
      <c r="CK180" s="228">
        <v>0</v>
      </c>
      <c r="CL180" s="228">
        <v>0</v>
      </c>
      <c r="CM180" s="228">
        <v>0</v>
      </c>
      <c r="CN180" s="229">
        <v>0</v>
      </c>
      <c r="CO180" s="228">
        <v>313</v>
      </c>
      <c r="CP180" s="228">
        <v>325</v>
      </c>
      <c r="CQ180" s="228">
        <v>-12</v>
      </c>
      <c r="CR180" s="229">
        <v>-3.6799999999999999E-2</v>
      </c>
      <c r="CS180" s="228">
        <v>207</v>
      </c>
      <c r="CT180" s="228">
        <v>213</v>
      </c>
      <c r="CU180" s="228">
        <v>-7</v>
      </c>
      <c r="CV180" s="229">
        <v>-3.1199999999999999E-2</v>
      </c>
      <c r="CW180" s="230">
        <v>1951</v>
      </c>
      <c r="CX180" s="230">
        <v>1962</v>
      </c>
      <c r="CY180" s="228">
        <v>-12</v>
      </c>
      <c r="CZ180" s="229">
        <v>-5.8999999999999999E-3</v>
      </c>
      <c r="DA180" s="228">
        <v>35.28</v>
      </c>
      <c r="DB180" s="228">
        <v>35.21</v>
      </c>
      <c r="DC180" s="228">
        <v>7.0000000000000007E-2</v>
      </c>
      <c r="DD180" s="228">
        <v>7.0000000000000007E-2</v>
      </c>
      <c r="DE180" s="228">
        <v>51.82</v>
      </c>
      <c r="DF180" s="228">
        <v>51.93</v>
      </c>
      <c r="DG180" s="228">
        <v>-16.54</v>
      </c>
      <c r="DH180" s="228">
        <v>-0.11</v>
      </c>
      <c r="DI180" s="228">
        <v>35.32</v>
      </c>
      <c r="DJ180" s="228">
        <v>35.270000000000003</v>
      </c>
      <c r="DK180" s="228">
        <v>0.05</v>
      </c>
      <c r="DL180" s="228">
        <v>0.05</v>
      </c>
      <c r="DM180" s="228">
        <v>35.200000000000003</v>
      </c>
      <c r="DN180" s="228">
        <v>35.07</v>
      </c>
      <c r="DO180" s="228">
        <v>0.13</v>
      </c>
      <c r="DP180" s="228">
        <v>0.13</v>
      </c>
      <c r="DQ180" s="228">
        <v>0.66</v>
      </c>
      <c r="DR180" s="228">
        <v>0.66</v>
      </c>
      <c r="DS180" s="228">
        <v>0</v>
      </c>
      <c r="DT180" s="229">
        <v>0</v>
      </c>
      <c r="DU180" s="231">
        <v>1900</v>
      </c>
      <c r="DV180" s="231">
        <v>1700</v>
      </c>
      <c r="DW180" s="228">
        <v>0.38</v>
      </c>
      <c r="DX180" s="228">
        <v>0.44</v>
      </c>
      <c r="DY180" s="228">
        <v>-0.06</v>
      </c>
      <c r="DZ180" s="229">
        <v>-0.13639999999999999</v>
      </c>
      <c r="EA180" s="229">
        <v>2.76E-2</v>
      </c>
      <c r="EB180" s="230">
        <v>179200</v>
      </c>
      <c r="EC180" s="229">
        <v>4.8999999999999998E-3</v>
      </c>
      <c r="ED180" s="229">
        <v>2.76E-2</v>
      </c>
      <c r="EE180" s="228">
        <v>10.24</v>
      </c>
      <c r="EF180" s="229">
        <v>5.5999999999999999E-3</v>
      </c>
      <c r="EG180" s="230">
        <v>617394</v>
      </c>
      <c r="EH180" s="230">
        <v>1660994</v>
      </c>
      <c r="EI180" s="229">
        <v>-0.62829999999999997</v>
      </c>
      <c r="EJ180" s="229">
        <v>0.61329999999999996</v>
      </c>
      <c r="EK180" s="228">
        <v>449.91</v>
      </c>
      <c r="EL180" s="228">
        <v>163.16</v>
      </c>
      <c r="EM180" s="228">
        <v>190.26</v>
      </c>
      <c r="EN180" s="228">
        <v>0</v>
      </c>
      <c r="EO180" s="228">
        <v>803.33</v>
      </c>
      <c r="EP180" s="228">
        <v>786.25</v>
      </c>
      <c r="EQ180" s="228">
        <v>17.079999999999998</v>
      </c>
      <c r="ER180" s="229">
        <v>2.1700000000000001E-2</v>
      </c>
      <c r="ES180" s="228">
        <v>326.60000000000002</v>
      </c>
      <c r="ET180" s="228">
        <v>201.56</v>
      </c>
      <c r="EU180" s="231">
        <v>1431.62</v>
      </c>
      <c r="EV180" s="231">
        <v>91593795</v>
      </c>
      <c r="EW180" s="231">
        <v>1959.79</v>
      </c>
      <c r="EX180" s="231">
        <v>1956.18</v>
      </c>
      <c r="EY180" s="228">
        <v>3.61</v>
      </c>
      <c r="EZ180" s="229">
        <v>1.8E-3</v>
      </c>
      <c r="FA180" s="229">
        <v>0.1166</v>
      </c>
      <c r="FB180" s="227" t="s">
        <v>555</v>
      </c>
      <c r="FC180">
        <f t="shared" si="3"/>
        <v>0</v>
      </c>
    </row>
    <row r="181" spans="1:159" ht="17.25" thickBot="1" x14ac:dyDescent="0.3">
      <c r="A181" s="226">
        <v>45860</v>
      </c>
      <c r="B181" s="227" t="s">
        <v>184</v>
      </c>
      <c r="C181" s="227" t="s">
        <v>519</v>
      </c>
      <c r="D181" s="228">
        <v>125</v>
      </c>
      <c r="E181" s="228">
        <v>9</v>
      </c>
      <c r="F181" s="231">
        <v>6968.5</v>
      </c>
      <c r="G181" s="231">
        <v>7056.5</v>
      </c>
      <c r="H181" s="228">
        <v>-88</v>
      </c>
      <c r="I181" s="229">
        <v>-1.2500000000000001E-2</v>
      </c>
      <c r="J181" s="231">
        <v>6960.5</v>
      </c>
      <c r="K181" s="231">
        <v>7042</v>
      </c>
      <c r="L181" s="228">
        <v>-81.5</v>
      </c>
      <c r="M181" s="229">
        <v>-1.1599999999999999E-2</v>
      </c>
      <c r="N181" s="231">
        <v>6968.5</v>
      </c>
      <c r="O181" s="231">
        <v>7056.5</v>
      </c>
      <c r="P181" s="228">
        <v>-88</v>
      </c>
      <c r="Q181" s="229">
        <v>-1.2500000000000001E-2</v>
      </c>
      <c r="R181" s="231">
        <v>7004.5</v>
      </c>
      <c r="S181" s="231">
        <v>7091.5</v>
      </c>
      <c r="T181" s="228">
        <v>-87</v>
      </c>
      <c r="U181" s="229">
        <v>-1.23E-2</v>
      </c>
      <c r="V181" s="228">
        <v>0</v>
      </c>
      <c r="W181" s="228">
        <v>0</v>
      </c>
      <c r="X181" s="228">
        <v>0</v>
      </c>
      <c r="Y181" s="229">
        <v>0</v>
      </c>
      <c r="Z181" s="228">
        <v>8</v>
      </c>
      <c r="AA181" s="228">
        <v>14.5</v>
      </c>
      <c r="AB181" s="228">
        <v>-6.5</v>
      </c>
      <c r="AC181" s="229">
        <v>1.1000000000000001E-3</v>
      </c>
      <c r="AD181" s="228">
        <v>8</v>
      </c>
      <c r="AE181" s="228">
        <v>14.5</v>
      </c>
      <c r="AF181" s="228">
        <v>-6.5</v>
      </c>
      <c r="AG181" s="229">
        <v>1.1000000000000001E-3</v>
      </c>
      <c r="AH181" s="228">
        <v>44</v>
      </c>
      <c r="AI181" s="228">
        <v>49.5</v>
      </c>
      <c r="AJ181" s="228">
        <v>-5.5</v>
      </c>
      <c r="AK181" s="229">
        <v>6.3E-3</v>
      </c>
      <c r="AL181" s="228">
        <v>0</v>
      </c>
      <c r="AM181" s="228">
        <v>0</v>
      </c>
      <c r="AN181" s="228">
        <v>0</v>
      </c>
      <c r="AO181" s="229">
        <v>0</v>
      </c>
      <c r="AP181" s="231">
        <v>6998.79</v>
      </c>
      <c r="AQ181" s="231">
        <v>7030.39</v>
      </c>
      <c r="AR181" s="228">
        <v>0</v>
      </c>
      <c r="AS181" s="228">
        <v>299</v>
      </c>
      <c r="AT181" s="228">
        <v>703</v>
      </c>
      <c r="AU181" s="228">
        <v>-404</v>
      </c>
      <c r="AV181" s="229">
        <v>-0.57430000000000003</v>
      </c>
      <c r="AW181" s="228">
        <v>263</v>
      </c>
      <c r="AX181" s="228">
        <v>626</v>
      </c>
      <c r="AY181" s="228">
        <v>-364</v>
      </c>
      <c r="AZ181" s="229">
        <v>-0.5806</v>
      </c>
      <c r="BA181" s="228">
        <v>34</v>
      </c>
      <c r="BB181" s="228">
        <v>66</v>
      </c>
      <c r="BC181" s="228">
        <v>-32</v>
      </c>
      <c r="BD181" s="229">
        <v>-0.48470000000000002</v>
      </c>
      <c r="BE181" s="228">
        <v>0</v>
      </c>
      <c r="BF181" s="228">
        <v>0</v>
      </c>
      <c r="BG181" s="228">
        <v>0</v>
      </c>
      <c r="BH181" s="229">
        <v>0</v>
      </c>
      <c r="BI181" s="230">
        <v>1723</v>
      </c>
      <c r="BJ181" s="230">
        <v>4153</v>
      </c>
      <c r="BK181" s="230">
        <v>-2429</v>
      </c>
      <c r="BL181" s="229">
        <v>-0.58499999999999996</v>
      </c>
      <c r="BM181" s="228">
        <v>994</v>
      </c>
      <c r="BN181" s="230">
        <v>2235</v>
      </c>
      <c r="BO181" s="230">
        <v>-1242</v>
      </c>
      <c r="BP181" s="229">
        <v>-0.5554</v>
      </c>
      <c r="BQ181" s="230">
        <v>3016</v>
      </c>
      <c r="BR181" s="230">
        <v>7091</v>
      </c>
      <c r="BS181" s="230">
        <v>-4075</v>
      </c>
      <c r="BT181" s="229">
        <v>-0.5746</v>
      </c>
      <c r="BU181" s="230">
        <v>275467</v>
      </c>
      <c r="BV181" s="230">
        <v>387061</v>
      </c>
      <c r="BW181" s="230">
        <v>-111594</v>
      </c>
      <c r="BX181" s="229">
        <v>-0.2883</v>
      </c>
      <c r="BY181" s="230">
        <v>1662</v>
      </c>
      <c r="BZ181" s="230">
        <v>1688</v>
      </c>
      <c r="CA181" s="228">
        <v>-26</v>
      </c>
      <c r="CB181" s="229">
        <v>-1.52E-2</v>
      </c>
      <c r="CC181" s="230">
        <v>1475</v>
      </c>
      <c r="CD181" s="230">
        <v>1511</v>
      </c>
      <c r="CE181" s="228">
        <v>-36</v>
      </c>
      <c r="CF181" s="229">
        <v>-2.41E-2</v>
      </c>
      <c r="CG181" s="228">
        <v>168</v>
      </c>
      <c r="CH181" s="228">
        <v>157</v>
      </c>
      <c r="CI181" s="228">
        <v>11</v>
      </c>
      <c r="CJ181" s="229">
        <v>6.7000000000000004E-2</v>
      </c>
      <c r="CK181" s="228">
        <v>0</v>
      </c>
      <c r="CL181" s="228">
        <v>0</v>
      </c>
      <c r="CM181" s="228">
        <v>0</v>
      </c>
      <c r="CN181" s="229">
        <v>0</v>
      </c>
      <c r="CO181" s="230">
        <v>1353</v>
      </c>
      <c r="CP181" s="230">
        <v>1431</v>
      </c>
      <c r="CQ181" s="228">
        <v>-77</v>
      </c>
      <c r="CR181" s="229">
        <v>-5.4100000000000002E-2</v>
      </c>
      <c r="CS181" s="228">
        <v>793</v>
      </c>
      <c r="CT181" s="228">
        <v>879</v>
      </c>
      <c r="CU181" s="228">
        <v>-86</v>
      </c>
      <c r="CV181" s="229">
        <v>-9.7799999999999998E-2</v>
      </c>
      <c r="CW181" s="230">
        <v>3808</v>
      </c>
      <c r="CX181" s="230">
        <v>3997</v>
      </c>
      <c r="CY181" s="228">
        <v>-189</v>
      </c>
      <c r="CZ181" s="229">
        <v>-4.7300000000000002E-2</v>
      </c>
      <c r="DA181" s="228">
        <v>29.51</v>
      </c>
      <c r="DB181" s="228">
        <v>30.13</v>
      </c>
      <c r="DC181" s="228">
        <v>-0.62</v>
      </c>
      <c r="DD181" s="228">
        <v>-0.62</v>
      </c>
      <c r="DE181" s="228">
        <v>45.46</v>
      </c>
      <c r="DF181" s="228">
        <v>45.55</v>
      </c>
      <c r="DG181" s="228">
        <v>-15.95</v>
      </c>
      <c r="DH181" s="228">
        <v>-0.09</v>
      </c>
      <c r="DI181" s="228">
        <v>29.46</v>
      </c>
      <c r="DJ181" s="228">
        <v>29.61</v>
      </c>
      <c r="DK181" s="228">
        <v>-0.15</v>
      </c>
      <c r="DL181" s="228">
        <v>-0.15</v>
      </c>
      <c r="DM181" s="228">
        <v>29.6</v>
      </c>
      <c r="DN181" s="228">
        <v>31.08</v>
      </c>
      <c r="DO181" s="228">
        <v>-1.48</v>
      </c>
      <c r="DP181" s="228">
        <v>-1.48</v>
      </c>
      <c r="DQ181" s="228">
        <v>0.59</v>
      </c>
      <c r="DR181" s="228">
        <v>0.61</v>
      </c>
      <c r="DS181" s="228">
        <v>-0.02</v>
      </c>
      <c r="DT181" s="229">
        <v>-3.2800000000000003E-2</v>
      </c>
      <c r="DU181" s="231">
        <v>7000</v>
      </c>
      <c r="DV181" s="231">
        <v>6500</v>
      </c>
      <c r="DW181" s="228">
        <v>0.57999999999999996</v>
      </c>
      <c r="DX181" s="228">
        <v>0.54</v>
      </c>
      <c r="DY181" s="228">
        <v>0.04</v>
      </c>
      <c r="DZ181" s="229">
        <v>7.4099999999999999E-2</v>
      </c>
      <c r="EA181" s="229">
        <v>0.1011</v>
      </c>
      <c r="EB181" s="230">
        <v>225875</v>
      </c>
      <c r="EC181" s="229">
        <v>5.1999999999999998E-3</v>
      </c>
      <c r="ED181" s="229">
        <v>0.1011</v>
      </c>
      <c r="EE181" s="228">
        <v>31.6</v>
      </c>
      <c r="EF181" s="229">
        <v>4.4999999999999997E-3</v>
      </c>
      <c r="EG181" s="230">
        <v>140277</v>
      </c>
      <c r="EH181" s="230">
        <v>108710</v>
      </c>
      <c r="EI181" s="229">
        <v>0.29039999999999999</v>
      </c>
      <c r="EJ181" s="229">
        <v>0.50919999999999999</v>
      </c>
      <c r="EK181" s="231">
        <v>1803.96</v>
      </c>
      <c r="EL181" s="228">
        <v>976.99</v>
      </c>
      <c r="EM181" s="228">
        <v>300.68</v>
      </c>
      <c r="EN181" s="228">
        <v>0</v>
      </c>
      <c r="EO181" s="231">
        <v>3081.64</v>
      </c>
      <c r="EP181" s="231">
        <v>7238.4</v>
      </c>
      <c r="EQ181" s="231">
        <v>-4156.76</v>
      </c>
      <c r="ER181" s="229">
        <v>-0.57430000000000003</v>
      </c>
      <c r="ES181" s="231">
        <v>1372.44</v>
      </c>
      <c r="ET181" s="228">
        <v>747.02</v>
      </c>
      <c r="EU181" s="231">
        <v>1662.84</v>
      </c>
      <c r="EV181" s="231">
        <v>11118199</v>
      </c>
      <c r="EW181" s="231">
        <v>3782.31</v>
      </c>
      <c r="EX181" s="231">
        <v>3993.38</v>
      </c>
      <c r="EY181" s="228">
        <v>-211.07</v>
      </c>
      <c r="EZ181" s="229">
        <v>-5.2900000000000003E-2</v>
      </c>
      <c r="FA181" s="229">
        <v>0.49149999999999999</v>
      </c>
      <c r="FB181" s="227" t="s">
        <v>568</v>
      </c>
      <c r="FC181">
        <f t="shared" si="3"/>
        <v>0</v>
      </c>
    </row>
    <row r="182" spans="1:159" ht="17.25" thickBot="1" x14ac:dyDescent="0.3">
      <c r="A182" s="226">
        <v>45860</v>
      </c>
      <c r="B182" s="227" t="s">
        <v>175</v>
      </c>
      <c r="C182" s="227" t="s">
        <v>597</v>
      </c>
      <c r="D182" s="228">
        <v>1700</v>
      </c>
      <c r="E182" s="228">
        <v>9</v>
      </c>
      <c r="F182" s="228">
        <v>453.05</v>
      </c>
      <c r="G182" s="228">
        <v>461</v>
      </c>
      <c r="H182" s="228">
        <v>-7.95</v>
      </c>
      <c r="I182" s="229">
        <v>-1.72E-2</v>
      </c>
      <c r="J182" s="228">
        <v>452.4</v>
      </c>
      <c r="K182" s="228">
        <v>458.85</v>
      </c>
      <c r="L182" s="228">
        <v>-6.45</v>
      </c>
      <c r="M182" s="229">
        <v>-1.41E-2</v>
      </c>
      <c r="N182" s="228">
        <v>453.05</v>
      </c>
      <c r="O182" s="228">
        <v>461</v>
      </c>
      <c r="P182" s="228">
        <v>-7.95</v>
      </c>
      <c r="Q182" s="229">
        <v>-1.72E-2</v>
      </c>
      <c r="R182" s="228">
        <v>453.3</v>
      </c>
      <c r="S182" s="228">
        <v>461.65</v>
      </c>
      <c r="T182" s="228">
        <v>-8.35</v>
      </c>
      <c r="U182" s="229">
        <v>-1.8100000000000002E-2</v>
      </c>
      <c r="V182" s="228">
        <v>0</v>
      </c>
      <c r="W182" s="228">
        <v>0</v>
      </c>
      <c r="X182" s="228">
        <v>0</v>
      </c>
      <c r="Y182" s="229">
        <v>0</v>
      </c>
      <c r="Z182" s="228">
        <v>0.65</v>
      </c>
      <c r="AA182" s="228">
        <v>2.15</v>
      </c>
      <c r="AB182" s="228">
        <v>-1.5</v>
      </c>
      <c r="AC182" s="229">
        <v>1.4E-3</v>
      </c>
      <c r="AD182" s="228">
        <v>0.65</v>
      </c>
      <c r="AE182" s="228">
        <v>2.15</v>
      </c>
      <c r="AF182" s="228">
        <v>-1.5</v>
      </c>
      <c r="AG182" s="229">
        <v>1.4E-3</v>
      </c>
      <c r="AH182" s="228">
        <v>0.9</v>
      </c>
      <c r="AI182" s="228">
        <v>2.8</v>
      </c>
      <c r="AJ182" s="228">
        <v>-1.9</v>
      </c>
      <c r="AK182" s="229">
        <v>2E-3</v>
      </c>
      <c r="AL182" s="228">
        <v>0</v>
      </c>
      <c r="AM182" s="228">
        <v>0</v>
      </c>
      <c r="AN182" s="228">
        <v>0</v>
      </c>
      <c r="AO182" s="229">
        <v>0</v>
      </c>
      <c r="AP182" s="228">
        <v>457.23</v>
      </c>
      <c r="AQ182" s="228">
        <v>459.01</v>
      </c>
      <c r="AR182" s="228">
        <v>0</v>
      </c>
      <c r="AS182" s="228">
        <v>101</v>
      </c>
      <c r="AT182" s="228">
        <v>202</v>
      </c>
      <c r="AU182" s="228">
        <v>-101</v>
      </c>
      <c r="AV182" s="229">
        <v>-0.49869999999999998</v>
      </c>
      <c r="AW182" s="228">
        <v>87</v>
      </c>
      <c r="AX182" s="228">
        <v>182</v>
      </c>
      <c r="AY182" s="228">
        <v>-95</v>
      </c>
      <c r="AZ182" s="229">
        <v>-0.52370000000000005</v>
      </c>
      <c r="BA182" s="228">
        <v>15</v>
      </c>
      <c r="BB182" s="228">
        <v>20</v>
      </c>
      <c r="BC182" s="228">
        <v>-6</v>
      </c>
      <c r="BD182" s="229">
        <v>-0.27550000000000002</v>
      </c>
      <c r="BE182" s="228">
        <v>0</v>
      </c>
      <c r="BF182" s="228">
        <v>0</v>
      </c>
      <c r="BG182" s="228">
        <v>0</v>
      </c>
      <c r="BH182" s="229">
        <v>0</v>
      </c>
      <c r="BI182" s="228">
        <v>156</v>
      </c>
      <c r="BJ182" s="228">
        <v>528</v>
      </c>
      <c r="BK182" s="228">
        <v>-372</v>
      </c>
      <c r="BL182" s="229">
        <v>-0.7046</v>
      </c>
      <c r="BM182" s="228">
        <v>51</v>
      </c>
      <c r="BN182" s="228">
        <v>123</v>
      </c>
      <c r="BO182" s="228">
        <v>-71</v>
      </c>
      <c r="BP182" s="229">
        <v>-0.58079999999999998</v>
      </c>
      <c r="BQ182" s="228">
        <v>309</v>
      </c>
      <c r="BR182" s="228">
        <v>852</v>
      </c>
      <c r="BS182" s="228">
        <v>-544</v>
      </c>
      <c r="BT182" s="229">
        <v>-0.63790000000000002</v>
      </c>
      <c r="BU182" s="230">
        <v>879348</v>
      </c>
      <c r="BV182" s="230">
        <v>2791558</v>
      </c>
      <c r="BW182" s="230">
        <v>-1912210</v>
      </c>
      <c r="BX182" s="229">
        <v>-0.68500000000000005</v>
      </c>
      <c r="BY182" s="228">
        <v>658</v>
      </c>
      <c r="BZ182" s="228">
        <v>664</v>
      </c>
      <c r="CA182" s="228">
        <v>-6</v>
      </c>
      <c r="CB182" s="229">
        <v>-9.2999999999999992E-3</v>
      </c>
      <c r="CC182" s="228">
        <v>607</v>
      </c>
      <c r="CD182" s="228">
        <v>619</v>
      </c>
      <c r="CE182" s="228">
        <v>-12</v>
      </c>
      <c r="CF182" s="229">
        <v>-1.9800000000000002E-2</v>
      </c>
      <c r="CG182" s="228">
        <v>51</v>
      </c>
      <c r="CH182" s="228">
        <v>45</v>
      </c>
      <c r="CI182" s="228">
        <v>6</v>
      </c>
      <c r="CJ182" s="229">
        <v>0.13439999999999999</v>
      </c>
      <c r="CK182" s="228">
        <v>0</v>
      </c>
      <c r="CL182" s="228">
        <v>0</v>
      </c>
      <c r="CM182" s="228">
        <v>0</v>
      </c>
      <c r="CN182" s="229">
        <v>0</v>
      </c>
      <c r="CO182" s="228">
        <v>266</v>
      </c>
      <c r="CP182" s="228">
        <v>272</v>
      </c>
      <c r="CQ182" s="228">
        <v>-7</v>
      </c>
      <c r="CR182" s="229">
        <v>-2.46E-2</v>
      </c>
      <c r="CS182" s="228">
        <v>157</v>
      </c>
      <c r="CT182" s="228">
        <v>154</v>
      </c>
      <c r="CU182" s="228">
        <v>2</v>
      </c>
      <c r="CV182" s="229">
        <v>1.4999999999999999E-2</v>
      </c>
      <c r="CW182" s="230">
        <v>1080</v>
      </c>
      <c r="CX182" s="230">
        <v>1091</v>
      </c>
      <c r="CY182" s="228">
        <v>-11</v>
      </c>
      <c r="CZ182" s="229">
        <v>-9.7000000000000003E-3</v>
      </c>
      <c r="DA182" s="228">
        <v>43.4</v>
      </c>
      <c r="DB182" s="228">
        <v>42.65</v>
      </c>
      <c r="DC182" s="228">
        <v>0.75</v>
      </c>
      <c r="DD182" s="228">
        <v>0.75</v>
      </c>
      <c r="DE182" s="228">
        <v>44.83</v>
      </c>
      <c r="DF182" s="228">
        <v>44.88</v>
      </c>
      <c r="DG182" s="228">
        <v>-1.43</v>
      </c>
      <c r="DH182" s="228">
        <v>-0.05</v>
      </c>
      <c r="DI182" s="228">
        <v>43.95</v>
      </c>
      <c r="DJ182" s="228">
        <v>42.71</v>
      </c>
      <c r="DK182" s="228">
        <v>1.24</v>
      </c>
      <c r="DL182" s="228">
        <v>1.24</v>
      </c>
      <c r="DM182" s="228">
        <v>41.73</v>
      </c>
      <c r="DN182" s="228">
        <v>42.36</v>
      </c>
      <c r="DO182" s="228">
        <v>-0.63</v>
      </c>
      <c r="DP182" s="228">
        <v>-0.63</v>
      </c>
      <c r="DQ182" s="228">
        <v>0.59</v>
      </c>
      <c r="DR182" s="228">
        <v>0.56999999999999995</v>
      </c>
      <c r="DS182" s="228">
        <v>0.02</v>
      </c>
      <c r="DT182" s="229">
        <v>3.5099999999999999E-2</v>
      </c>
      <c r="DU182" s="228">
        <v>460</v>
      </c>
      <c r="DV182" s="228">
        <v>440</v>
      </c>
      <c r="DW182" s="228">
        <v>0.33</v>
      </c>
      <c r="DX182" s="228">
        <v>0.23</v>
      </c>
      <c r="DY182" s="228">
        <v>0.1</v>
      </c>
      <c r="DZ182" s="229">
        <v>0.43480000000000002</v>
      </c>
      <c r="EA182" s="229">
        <v>7.8100000000000003E-2</v>
      </c>
      <c r="EB182" s="230">
        <v>999600</v>
      </c>
      <c r="EC182" s="229">
        <v>5.9999999999999995E-4</v>
      </c>
      <c r="ED182" s="229">
        <v>7.8100000000000003E-2</v>
      </c>
      <c r="EE182" s="228">
        <v>1.78</v>
      </c>
      <c r="EF182" s="229">
        <v>3.8999999999999998E-3</v>
      </c>
      <c r="EG182" s="230">
        <v>319254</v>
      </c>
      <c r="EH182" s="230">
        <v>911199</v>
      </c>
      <c r="EI182" s="229">
        <v>-0.64959999999999996</v>
      </c>
      <c r="EJ182" s="229">
        <v>0.36309999999999998</v>
      </c>
      <c r="EK182" s="228">
        <v>165.65</v>
      </c>
      <c r="EL182" s="228">
        <v>51.6</v>
      </c>
      <c r="EM182" s="228">
        <v>102.35</v>
      </c>
      <c r="EN182" s="228">
        <v>0</v>
      </c>
      <c r="EO182" s="228">
        <v>319.60000000000002</v>
      </c>
      <c r="EP182" s="228">
        <v>889.13</v>
      </c>
      <c r="EQ182" s="228">
        <v>-569.53</v>
      </c>
      <c r="ER182" s="229">
        <v>-0.64049999999999996</v>
      </c>
      <c r="ES182" s="228">
        <v>273.14999999999998</v>
      </c>
      <c r="ET182" s="228">
        <v>149</v>
      </c>
      <c r="EU182" s="228">
        <v>658.07</v>
      </c>
      <c r="EV182" s="231">
        <v>57287573</v>
      </c>
      <c r="EW182" s="231">
        <v>1080.22</v>
      </c>
      <c r="EX182" s="231">
        <v>1103.0999999999999</v>
      </c>
      <c r="EY182" s="228">
        <v>-22.88</v>
      </c>
      <c r="EZ182" s="229">
        <v>-2.07E-2</v>
      </c>
      <c r="FA182" s="229">
        <v>0.4163</v>
      </c>
      <c r="FB182" s="227" t="s">
        <v>568</v>
      </c>
      <c r="FC182">
        <f t="shared" si="3"/>
        <v>0</v>
      </c>
    </row>
    <row r="183" spans="1:159" ht="17.25" thickBot="1" x14ac:dyDescent="0.3">
      <c r="A183" s="226">
        <v>45860</v>
      </c>
      <c r="B183" s="227" t="s">
        <v>161</v>
      </c>
      <c r="C183" s="227" t="s">
        <v>276</v>
      </c>
      <c r="D183" s="228">
        <v>1900</v>
      </c>
      <c r="E183" s="228">
        <v>9</v>
      </c>
      <c r="F183" s="228">
        <v>297.8</v>
      </c>
      <c r="G183" s="228">
        <v>297.14999999999998</v>
      </c>
      <c r="H183" s="228">
        <v>0.65</v>
      </c>
      <c r="I183" s="229">
        <v>2.2000000000000001E-3</v>
      </c>
      <c r="J183" s="228">
        <v>297.8</v>
      </c>
      <c r="K183" s="228">
        <v>297</v>
      </c>
      <c r="L183" s="228">
        <v>0.8</v>
      </c>
      <c r="M183" s="229">
        <v>2.7000000000000001E-3</v>
      </c>
      <c r="N183" s="228">
        <v>297.8</v>
      </c>
      <c r="O183" s="228">
        <v>297.14999999999998</v>
      </c>
      <c r="P183" s="228">
        <v>0.65</v>
      </c>
      <c r="Q183" s="229">
        <v>2.2000000000000001E-3</v>
      </c>
      <c r="R183" s="228">
        <v>298</v>
      </c>
      <c r="S183" s="228">
        <v>296.95</v>
      </c>
      <c r="T183" s="228">
        <v>1.05</v>
      </c>
      <c r="U183" s="229">
        <v>3.5000000000000001E-3</v>
      </c>
      <c r="V183" s="228">
        <v>0</v>
      </c>
      <c r="W183" s="228">
        <v>0</v>
      </c>
      <c r="X183" s="228">
        <v>0</v>
      </c>
      <c r="Y183" s="229">
        <v>0</v>
      </c>
      <c r="Z183" s="228">
        <v>0</v>
      </c>
      <c r="AA183" s="228">
        <v>0.15</v>
      </c>
      <c r="AB183" s="228">
        <v>-0.15</v>
      </c>
      <c r="AC183" s="229">
        <v>0</v>
      </c>
      <c r="AD183" s="228">
        <v>0</v>
      </c>
      <c r="AE183" s="228">
        <v>0.15</v>
      </c>
      <c r="AF183" s="228">
        <v>-0.15</v>
      </c>
      <c r="AG183" s="229">
        <v>0</v>
      </c>
      <c r="AH183" s="228">
        <v>0.2</v>
      </c>
      <c r="AI183" s="228">
        <v>-0.05</v>
      </c>
      <c r="AJ183" s="228">
        <v>0.25</v>
      </c>
      <c r="AK183" s="229">
        <v>6.9999999999999999E-4</v>
      </c>
      <c r="AL183" s="228">
        <v>0</v>
      </c>
      <c r="AM183" s="228">
        <v>0</v>
      </c>
      <c r="AN183" s="228">
        <v>0</v>
      </c>
      <c r="AO183" s="229">
        <v>0</v>
      </c>
      <c r="AP183" s="228">
        <v>297.07</v>
      </c>
      <c r="AQ183" s="228">
        <v>297.06</v>
      </c>
      <c r="AR183" s="228">
        <v>0</v>
      </c>
      <c r="AS183" s="228">
        <v>198</v>
      </c>
      <c r="AT183" s="228">
        <v>210</v>
      </c>
      <c r="AU183" s="228">
        <v>-12</v>
      </c>
      <c r="AV183" s="229">
        <v>-5.9200000000000003E-2</v>
      </c>
      <c r="AW183" s="228">
        <v>173</v>
      </c>
      <c r="AX183" s="228">
        <v>169</v>
      </c>
      <c r="AY183" s="228">
        <v>4</v>
      </c>
      <c r="AZ183" s="229">
        <v>2.1000000000000001E-2</v>
      </c>
      <c r="BA183" s="228">
        <v>24</v>
      </c>
      <c r="BB183" s="228">
        <v>39</v>
      </c>
      <c r="BC183" s="228">
        <v>-16</v>
      </c>
      <c r="BD183" s="229">
        <v>-0.39539999999999997</v>
      </c>
      <c r="BE183" s="228">
        <v>0</v>
      </c>
      <c r="BF183" s="228">
        <v>0</v>
      </c>
      <c r="BG183" s="228">
        <v>0</v>
      </c>
      <c r="BH183" s="229">
        <v>0</v>
      </c>
      <c r="BI183" s="228">
        <v>405</v>
      </c>
      <c r="BJ183" s="228">
        <v>466</v>
      </c>
      <c r="BK183" s="228">
        <v>-60</v>
      </c>
      <c r="BL183" s="229">
        <v>-0.12959999999999999</v>
      </c>
      <c r="BM183" s="228">
        <v>276</v>
      </c>
      <c r="BN183" s="228">
        <v>207</v>
      </c>
      <c r="BO183" s="228">
        <v>69</v>
      </c>
      <c r="BP183" s="229">
        <v>0.33169999999999999</v>
      </c>
      <c r="BQ183" s="228">
        <v>879</v>
      </c>
      <c r="BR183" s="228">
        <v>883</v>
      </c>
      <c r="BS183" s="228">
        <v>-4</v>
      </c>
      <c r="BT183" s="229">
        <v>-4.7000000000000002E-3</v>
      </c>
      <c r="BU183" s="230">
        <v>9047909</v>
      </c>
      <c r="BV183" s="230">
        <v>5377404</v>
      </c>
      <c r="BW183" s="230">
        <v>3670505</v>
      </c>
      <c r="BX183" s="229">
        <v>0.68259999999999998</v>
      </c>
      <c r="BY183" s="230">
        <v>2388</v>
      </c>
      <c r="BZ183" s="230">
        <v>2443</v>
      </c>
      <c r="CA183" s="228">
        <v>-55</v>
      </c>
      <c r="CB183" s="229">
        <v>-2.24E-2</v>
      </c>
      <c r="CC183" s="230">
        <v>1513</v>
      </c>
      <c r="CD183" s="230">
        <v>1569</v>
      </c>
      <c r="CE183" s="228">
        <v>-56</v>
      </c>
      <c r="CF183" s="229">
        <v>-3.5499999999999997E-2</v>
      </c>
      <c r="CG183" s="228">
        <v>868</v>
      </c>
      <c r="CH183" s="228">
        <v>867</v>
      </c>
      <c r="CI183" s="228">
        <v>1</v>
      </c>
      <c r="CJ183" s="229">
        <v>8.9999999999999998E-4</v>
      </c>
      <c r="CK183" s="228">
        <v>0</v>
      </c>
      <c r="CL183" s="228">
        <v>0</v>
      </c>
      <c r="CM183" s="228">
        <v>0</v>
      </c>
      <c r="CN183" s="229">
        <v>0</v>
      </c>
      <c r="CO183" s="228">
        <v>797</v>
      </c>
      <c r="CP183" s="228">
        <v>841</v>
      </c>
      <c r="CQ183" s="228">
        <v>-44</v>
      </c>
      <c r="CR183" s="229">
        <v>-5.21E-2</v>
      </c>
      <c r="CS183" s="228">
        <v>453</v>
      </c>
      <c r="CT183" s="228">
        <v>449</v>
      </c>
      <c r="CU183" s="228">
        <v>4</v>
      </c>
      <c r="CV183" s="229">
        <v>8.6E-3</v>
      </c>
      <c r="CW183" s="230">
        <v>3639</v>
      </c>
      <c r="CX183" s="230">
        <v>3733</v>
      </c>
      <c r="CY183" s="228">
        <v>-95</v>
      </c>
      <c r="CZ183" s="229">
        <v>-2.5399999999999999E-2</v>
      </c>
      <c r="DA183" s="228">
        <v>23.4</v>
      </c>
      <c r="DB183" s="228">
        <v>24.34</v>
      </c>
      <c r="DC183" s="228">
        <v>-0.94</v>
      </c>
      <c r="DD183" s="228">
        <v>-0.94</v>
      </c>
      <c r="DE183" s="228">
        <v>31.76</v>
      </c>
      <c r="DF183" s="228">
        <v>31.84</v>
      </c>
      <c r="DG183" s="228">
        <v>-8.36</v>
      </c>
      <c r="DH183" s="228">
        <v>-0.08</v>
      </c>
      <c r="DI183" s="228">
        <v>23.2</v>
      </c>
      <c r="DJ183" s="228">
        <v>24.21</v>
      </c>
      <c r="DK183" s="228">
        <v>-1.01</v>
      </c>
      <c r="DL183" s="228">
        <v>-1.01</v>
      </c>
      <c r="DM183" s="228">
        <v>23.71</v>
      </c>
      <c r="DN183" s="228">
        <v>24.64</v>
      </c>
      <c r="DO183" s="228">
        <v>-0.93</v>
      </c>
      <c r="DP183" s="228">
        <v>-0.93</v>
      </c>
      <c r="DQ183" s="228">
        <v>0.56999999999999995</v>
      </c>
      <c r="DR183" s="228">
        <v>0.53</v>
      </c>
      <c r="DS183" s="228">
        <v>0.04</v>
      </c>
      <c r="DT183" s="229">
        <v>7.5499999999999998E-2</v>
      </c>
      <c r="DU183" s="228">
        <v>300</v>
      </c>
      <c r="DV183" s="228">
        <v>300</v>
      </c>
      <c r="DW183" s="228">
        <v>0.68</v>
      </c>
      <c r="DX183" s="228">
        <v>0.44</v>
      </c>
      <c r="DY183" s="228">
        <v>0.24</v>
      </c>
      <c r="DZ183" s="229">
        <v>0.54549999999999998</v>
      </c>
      <c r="EA183" s="229">
        <v>0.36349999999999999</v>
      </c>
      <c r="EB183" s="230">
        <v>29121300</v>
      </c>
      <c r="EC183" s="229">
        <v>6.9999999999999999E-4</v>
      </c>
      <c r="ED183" s="229">
        <v>0.36349999999999999</v>
      </c>
      <c r="EE183" s="228">
        <v>-0.01</v>
      </c>
      <c r="EF183" s="229">
        <v>0</v>
      </c>
      <c r="EG183" s="230">
        <v>6440027</v>
      </c>
      <c r="EH183" s="230">
        <v>3608399</v>
      </c>
      <c r="EI183" s="229">
        <v>0.78469999999999995</v>
      </c>
      <c r="EJ183" s="229">
        <v>0.71179999999999999</v>
      </c>
      <c r="EK183" s="228">
        <v>416.44</v>
      </c>
      <c r="EL183" s="228">
        <v>276.37</v>
      </c>
      <c r="EM183" s="228">
        <v>197.33</v>
      </c>
      <c r="EN183" s="228">
        <v>0</v>
      </c>
      <c r="EO183" s="228">
        <v>890.14</v>
      </c>
      <c r="EP183" s="228">
        <v>891.37</v>
      </c>
      <c r="EQ183" s="228">
        <v>-1.24</v>
      </c>
      <c r="ER183" s="229">
        <v>-1.4E-3</v>
      </c>
      <c r="ES183" s="228">
        <v>822.8</v>
      </c>
      <c r="ET183" s="228">
        <v>444.48</v>
      </c>
      <c r="EU183" s="231">
        <v>2388.89</v>
      </c>
      <c r="EV183" s="231">
        <v>905143907</v>
      </c>
      <c r="EW183" s="231">
        <v>3656.17</v>
      </c>
      <c r="EX183" s="231">
        <v>3745.15</v>
      </c>
      <c r="EY183" s="228">
        <v>-88.98</v>
      </c>
      <c r="EZ183" s="229">
        <v>-2.3800000000000002E-2</v>
      </c>
      <c r="FA183" s="229">
        <v>0.13500000000000001</v>
      </c>
      <c r="FB183" s="227" t="s">
        <v>556</v>
      </c>
      <c r="FC183">
        <f t="shared" si="3"/>
        <v>0</v>
      </c>
    </row>
    <row r="184" spans="1:159" ht="17.25" thickBot="1" x14ac:dyDescent="0.3">
      <c r="A184" s="226">
        <v>45860</v>
      </c>
      <c r="B184" s="227" t="s">
        <v>170</v>
      </c>
      <c r="C184" s="227" t="s">
        <v>680</v>
      </c>
      <c r="D184" s="228">
        <v>2500</v>
      </c>
      <c r="E184" s="228">
        <v>9</v>
      </c>
      <c r="F184" s="228">
        <v>205.39</v>
      </c>
      <c r="G184" s="228">
        <v>211.84</v>
      </c>
      <c r="H184" s="228">
        <v>-6.45</v>
      </c>
      <c r="I184" s="229">
        <v>-3.04E-2</v>
      </c>
      <c r="J184" s="228">
        <v>205.3</v>
      </c>
      <c r="K184" s="228">
        <v>211.7</v>
      </c>
      <c r="L184" s="228">
        <v>-6.4</v>
      </c>
      <c r="M184" s="229">
        <v>-3.0200000000000001E-2</v>
      </c>
      <c r="N184" s="228">
        <v>205.39</v>
      </c>
      <c r="O184" s="228">
        <v>211.84</v>
      </c>
      <c r="P184" s="228">
        <v>-6.45</v>
      </c>
      <c r="Q184" s="229">
        <v>-3.04E-2</v>
      </c>
      <c r="R184" s="228">
        <v>206.58</v>
      </c>
      <c r="S184" s="228">
        <v>212.93</v>
      </c>
      <c r="T184" s="228">
        <v>-6.35</v>
      </c>
      <c r="U184" s="229">
        <v>-2.98E-2</v>
      </c>
      <c r="V184" s="228">
        <v>0</v>
      </c>
      <c r="W184" s="228">
        <v>0</v>
      </c>
      <c r="X184" s="228">
        <v>0</v>
      </c>
      <c r="Y184" s="229">
        <v>0</v>
      </c>
      <c r="Z184" s="228">
        <v>0.09</v>
      </c>
      <c r="AA184" s="228">
        <v>0.14000000000000001</v>
      </c>
      <c r="AB184" s="228">
        <v>-0.05</v>
      </c>
      <c r="AC184" s="229">
        <v>4.0000000000000002E-4</v>
      </c>
      <c r="AD184" s="228">
        <v>0.09</v>
      </c>
      <c r="AE184" s="228">
        <v>0.14000000000000001</v>
      </c>
      <c r="AF184" s="228">
        <v>-0.05</v>
      </c>
      <c r="AG184" s="229">
        <v>4.0000000000000002E-4</v>
      </c>
      <c r="AH184" s="228">
        <v>1.28</v>
      </c>
      <c r="AI184" s="228">
        <v>1.23</v>
      </c>
      <c r="AJ184" s="228">
        <v>0.05</v>
      </c>
      <c r="AK184" s="229">
        <v>6.1999999999999998E-3</v>
      </c>
      <c r="AL184" s="228">
        <v>0</v>
      </c>
      <c r="AM184" s="228">
        <v>0</v>
      </c>
      <c r="AN184" s="228">
        <v>0</v>
      </c>
      <c r="AO184" s="229">
        <v>0</v>
      </c>
      <c r="AP184" s="228">
        <v>206.93</v>
      </c>
      <c r="AQ184" s="228">
        <v>208.06</v>
      </c>
      <c r="AR184" s="228">
        <v>0</v>
      </c>
      <c r="AS184" s="228">
        <v>129</v>
      </c>
      <c r="AT184" s="228">
        <v>172</v>
      </c>
      <c r="AU184" s="228">
        <v>-43</v>
      </c>
      <c r="AV184" s="229">
        <v>-0.24929999999999999</v>
      </c>
      <c r="AW184" s="228">
        <v>105</v>
      </c>
      <c r="AX184" s="228">
        <v>152</v>
      </c>
      <c r="AY184" s="228">
        <v>-47</v>
      </c>
      <c r="AZ184" s="229">
        <v>-0.31140000000000001</v>
      </c>
      <c r="BA184" s="228">
        <v>24</v>
      </c>
      <c r="BB184" s="228">
        <v>18</v>
      </c>
      <c r="BC184" s="228">
        <v>6</v>
      </c>
      <c r="BD184" s="229">
        <v>0.3594</v>
      </c>
      <c r="BE184" s="228">
        <v>0</v>
      </c>
      <c r="BF184" s="228">
        <v>0</v>
      </c>
      <c r="BG184" s="228">
        <v>0</v>
      </c>
      <c r="BH184" s="229">
        <v>0</v>
      </c>
      <c r="BI184" s="228">
        <v>152</v>
      </c>
      <c r="BJ184" s="228">
        <v>203</v>
      </c>
      <c r="BK184" s="228">
        <v>-51</v>
      </c>
      <c r="BL184" s="229">
        <v>-0.253</v>
      </c>
      <c r="BM184" s="228">
        <v>101</v>
      </c>
      <c r="BN184" s="228">
        <v>78</v>
      </c>
      <c r="BO184" s="228">
        <v>22</v>
      </c>
      <c r="BP184" s="229">
        <v>0.28720000000000001</v>
      </c>
      <c r="BQ184" s="228">
        <v>382</v>
      </c>
      <c r="BR184" s="228">
        <v>454</v>
      </c>
      <c r="BS184" s="228">
        <v>-72</v>
      </c>
      <c r="BT184" s="229">
        <v>-0.15840000000000001</v>
      </c>
      <c r="BU184" s="230">
        <v>5012963</v>
      </c>
      <c r="BV184" s="230">
        <v>7668981</v>
      </c>
      <c r="BW184" s="230">
        <v>-2656018</v>
      </c>
      <c r="BX184" s="229">
        <v>-0.3463</v>
      </c>
      <c r="BY184" s="228">
        <v>366</v>
      </c>
      <c r="BZ184" s="228">
        <v>368</v>
      </c>
      <c r="CA184" s="228">
        <v>-2</v>
      </c>
      <c r="CB184" s="229">
        <v>-5.0000000000000001E-3</v>
      </c>
      <c r="CC184" s="228">
        <v>315</v>
      </c>
      <c r="CD184" s="228">
        <v>329</v>
      </c>
      <c r="CE184" s="228">
        <v>-14</v>
      </c>
      <c r="CF184" s="229">
        <v>-4.1500000000000002E-2</v>
      </c>
      <c r="CG184" s="228">
        <v>44</v>
      </c>
      <c r="CH184" s="228">
        <v>33</v>
      </c>
      <c r="CI184" s="228">
        <v>11</v>
      </c>
      <c r="CJ184" s="229">
        <v>0.34060000000000001</v>
      </c>
      <c r="CK184" s="228">
        <v>0</v>
      </c>
      <c r="CL184" s="228">
        <v>0</v>
      </c>
      <c r="CM184" s="228">
        <v>0</v>
      </c>
      <c r="CN184" s="229">
        <v>0</v>
      </c>
      <c r="CO184" s="228">
        <v>173</v>
      </c>
      <c r="CP184" s="228">
        <v>169</v>
      </c>
      <c r="CQ184" s="228">
        <v>4</v>
      </c>
      <c r="CR184" s="229">
        <v>2.3800000000000002E-2</v>
      </c>
      <c r="CS184" s="228">
        <v>97</v>
      </c>
      <c r="CT184" s="228">
        <v>82</v>
      </c>
      <c r="CU184" s="228">
        <v>15</v>
      </c>
      <c r="CV184" s="229">
        <v>0.18440000000000001</v>
      </c>
      <c r="CW184" s="228">
        <v>636</v>
      </c>
      <c r="CX184" s="228">
        <v>619</v>
      </c>
      <c r="CY184" s="228">
        <v>17</v>
      </c>
      <c r="CZ184" s="229">
        <v>2.8000000000000001E-2</v>
      </c>
      <c r="DA184" s="228">
        <v>38</v>
      </c>
      <c r="DB184" s="228">
        <v>36.74</v>
      </c>
      <c r="DC184" s="228">
        <v>1.26</v>
      </c>
      <c r="DD184" s="228">
        <v>1.26</v>
      </c>
      <c r="DE184" s="228">
        <v>49.82</v>
      </c>
      <c r="DF184" s="228">
        <v>49.77</v>
      </c>
      <c r="DG184" s="228">
        <v>-11.82</v>
      </c>
      <c r="DH184" s="228">
        <v>0.05</v>
      </c>
      <c r="DI184" s="228">
        <v>37.450000000000003</v>
      </c>
      <c r="DJ184" s="228">
        <v>36.700000000000003</v>
      </c>
      <c r="DK184" s="228">
        <v>0.75</v>
      </c>
      <c r="DL184" s="228">
        <v>0.75</v>
      </c>
      <c r="DM184" s="228">
        <v>38.840000000000003</v>
      </c>
      <c r="DN184" s="228">
        <v>36.840000000000003</v>
      </c>
      <c r="DO184" s="228">
        <v>2</v>
      </c>
      <c r="DP184" s="228">
        <v>2</v>
      </c>
      <c r="DQ184" s="228">
        <v>0.56000000000000005</v>
      </c>
      <c r="DR184" s="228">
        <v>0.49</v>
      </c>
      <c r="DS184" s="228">
        <v>7.0000000000000007E-2</v>
      </c>
      <c r="DT184" s="229">
        <v>0.1429</v>
      </c>
      <c r="DU184" s="228">
        <v>210</v>
      </c>
      <c r="DV184" s="228">
        <v>195</v>
      </c>
      <c r="DW184" s="228">
        <v>0.66</v>
      </c>
      <c r="DX184" s="228">
        <v>0.39</v>
      </c>
      <c r="DY184" s="228">
        <v>0.27</v>
      </c>
      <c r="DZ184" s="229">
        <v>0.69230000000000003</v>
      </c>
      <c r="EA184" s="229">
        <v>0.1208</v>
      </c>
      <c r="EB184" s="230">
        <v>1607500</v>
      </c>
      <c r="EC184" s="229">
        <v>5.7999999999999996E-3</v>
      </c>
      <c r="ED184" s="229">
        <v>0.1208</v>
      </c>
      <c r="EE184" s="228">
        <v>1.1299999999999999</v>
      </c>
      <c r="EF184" s="229">
        <v>5.4999999999999997E-3</v>
      </c>
      <c r="EG184" s="230">
        <v>2333346</v>
      </c>
      <c r="EH184" s="230">
        <v>4302502</v>
      </c>
      <c r="EI184" s="229">
        <v>-0.4577</v>
      </c>
      <c r="EJ184" s="229">
        <v>0.46550000000000002</v>
      </c>
      <c r="EK184" s="228">
        <v>161.47999999999999</v>
      </c>
      <c r="EL184" s="228">
        <v>101.21</v>
      </c>
      <c r="EM184" s="228">
        <v>130.51</v>
      </c>
      <c r="EN184" s="228">
        <v>0</v>
      </c>
      <c r="EO184" s="228">
        <v>393.19</v>
      </c>
      <c r="EP184" s="228">
        <v>480.04</v>
      </c>
      <c r="EQ184" s="228">
        <v>-86.85</v>
      </c>
      <c r="ER184" s="229">
        <v>-0.18090000000000001</v>
      </c>
      <c r="ES184" s="228">
        <v>183.87</v>
      </c>
      <c r="ET184" s="228">
        <v>95.44</v>
      </c>
      <c r="EU184" s="228">
        <v>366.68</v>
      </c>
      <c r="EV184" s="231">
        <v>171573821</v>
      </c>
      <c r="EW184" s="228">
        <v>646</v>
      </c>
      <c r="EX184" s="228">
        <v>641.91</v>
      </c>
      <c r="EY184" s="228">
        <v>4.09</v>
      </c>
      <c r="EZ184" s="229">
        <v>6.4000000000000003E-3</v>
      </c>
      <c r="FA184" s="229">
        <v>0.18049999999999999</v>
      </c>
      <c r="FB184" s="227" t="s">
        <v>568</v>
      </c>
      <c r="FC184">
        <f t="shared" si="3"/>
        <v>0</v>
      </c>
    </row>
    <row r="185" spans="1:159" ht="17.25" thickBot="1" x14ac:dyDescent="0.3">
      <c r="A185" s="226">
        <v>45860</v>
      </c>
      <c r="B185" s="227" t="s">
        <v>206</v>
      </c>
      <c r="C185" s="227" t="s">
        <v>606</v>
      </c>
      <c r="D185" s="228">
        <v>450</v>
      </c>
      <c r="E185" s="228">
        <v>9</v>
      </c>
      <c r="F185" s="231">
        <v>1793.8</v>
      </c>
      <c r="G185" s="231">
        <v>1808.6</v>
      </c>
      <c r="H185" s="228">
        <v>-14.8</v>
      </c>
      <c r="I185" s="229">
        <v>-8.2000000000000007E-3</v>
      </c>
      <c r="J185" s="231">
        <v>1793.1</v>
      </c>
      <c r="K185" s="231">
        <v>1806.1</v>
      </c>
      <c r="L185" s="228">
        <v>-13</v>
      </c>
      <c r="M185" s="229">
        <v>-7.1999999999999998E-3</v>
      </c>
      <c r="N185" s="231">
        <v>1793.8</v>
      </c>
      <c r="O185" s="231">
        <v>1808.6</v>
      </c>
      <c r="P185" s="228">
        <v>-14.8</v>
      </c>
      <c r="Q185" s="229">
        <v>-8.2000000000000007E-3</v>
      </c>
      <c r="R185" s="231">
        <v>1802.8</v>
      </c>
      <c r="S185" s="231">
        <v>1817.6</v>
      </c>
      <c r="T185" s="228">
        <v>-14.8</v>
      </c>
      <c r="U185" s="229">
        <v>-8.0999999999999996E-3</v>
      </c>
      <c r="V185" s="228">
        <v>0</v>
      </c>
      <c r="W185" s="228">
        <v>0</v>
      </c>
      <c r="X185" s="228">
        <v>0</v>
      </c>
      <c r="Y185" s="229">
        <v>0</v>
      </c>
      <c r="Z185" s="228">
        <v>0.7</v>
      </c>
      <c r="AA185" s="228">
        <v>2.5</v>
      </c>
      <c r="AB185" s="228">
        <v>-1.8</v>
      </c>
      <c r="AC185" s="229">
        <v>4.0000000000000002E-4</v>
      </c>
      <c r="AD185" s="228">
        <v>0.7</v>
      </c>
      <c r="AE185" s="228">
        <v>2.5</v>
      </c>
      <c r="AF185" s="228">
        <v>-1.8</v>
      </c>
      <c r="AG185" s="229">
        <v>4.0000000000000002E-4</v>
      </c>
      <c r="AH185" s="228">
        <v>9.6999999999999993</v>
      </c>
      <c r="AI185" s="228">
        <v>11.5</v>
      </c>
      <c r="AJ185" s="228">
        <v>-1.8</v>
      </c>
      <c r="AK185" s="229">
        <v>5.4000000000000003E-3</v>
      </c>
      <c r="AL185" s="228">
        <v>0</v>
      </c>
      <c r="AM185" s="228">
        <v>0</v>
      </c>
      <c r="AN185" s="228">
        <v>0</v>
      </c>
      <c r="AO185" s="229">
        <v>0</v>
      </c>
      <c r="AP185" s="231">
        <v>1796.94</v>
      </c>
      <c r="AQ185" s="231">
        <v>1807.18</v>
      </c>
      <c r="AR185" s="228">
        <v>0</v>
      </c>
      <c r="AS185" s="228">
        <v>171</v>
      </c>
      <c r="AT185" s="228">
        <v>217</v>
      </c>
      <c r="AU185" s="228">
        <v>-46</v>
      </c>
      <c r="AV185" s="229">
        <v>-0.21249999999999999</v>
      </c>
      <c r="AW185" s="228">
        <v>141</v>
      </c>
      <c r="AX185" s="228">
        <v>189</v>
      </c>
      <c r="AY185" s="228">
        <v>-47</v>
      </c>
      <c r="AZ185" s="229">
        <v>-0.25030000000000002</v>
      </c>
      <c r="BA185" s="228">
        <v>29</v>
      </c>
      <c r="BB185" s="228">
        <v>28</v>
      </c>
      <c r="BC185" s="228">
        <v>1</v>
      </c>
      <c r="BD185" s="229">
        <v>3.1600000000000003E-2</v>
      </c>
      <c r="BE185" s="228">
        <v>0</v>
      </c>
      <c r="BF185" s="228">
        <v>0</v>
      </c>
      <c r="BG185" s="228">
        <v>0</v>
      </c>
      <c r="BH185" s="229">
        <v>0</v>
      </c>
      <c r="BI185" s="228">
        <v>220</v>
      </c>
      <c r="BJ185" s="228">
        <v>556</v>
      </c>
      <c r="BK185" s="228">
        <v>-337</v>
      </c>
      <c r="BL185" s="229">
        <v>-0.60519999999999996</v>
      </c>
      <c r="BM185" s="228">
        <v>96</v>
      </c>
      <c r="BN185" s="228">
        <v>233</v>
      </c>
      <c r="BO185" s="228">
        <v>-137</v>
      </c>
      <c r="BP185" s="229">
        <v>-0.58689999999999998</v>
      </c>
      <c r="BQ185" s="228">
        <v>487</v>
      </c>
      <c r="BR185" s="230">
        <v>1006</v>
      </c>
      <c r="BS185" s="228">
        <v>-519</v>
      </c>
      <c r="BT185" s="229">
        <v>-0.51629999999999998</v>
      </c>
      <c r="BU185" s="230">
        <v>564264</v>
      </c>
      <c r="BV185" s="230">
        <v>635422</v>
      </c>
      <c r="BW185" s="230">
        <v>-71158</v>
      </c>
      <c r="BX185" s="229">
        <v>-0.112</v>
      </c>
      <c r="BY185" s="228">
        <v>996</v>
      </c>
      <c r="BZ185" s="228">
        <v>991</v>
      </c>
      <c r="CA185" s="228">
        <v>4</v>
      </c>
      <c r="CB185" s="229">
        <v>4.4000000000000003E-3</v>
      </c>
      <c r="CC185" s="228">
        <v>921</v>
      </c>
      <c r="CD185" s="228">
        <v>930</v>
      </c>
      <c r="CE185" s="228">
        <v>-9</v>
      </c>
      <c r="CF185" s="229">
        <v>-9.9000000000000008E-3</v>
      </c>
      <c r="CG185" s="228">
        <v>71</v>
      </c>
      <c r="CH185" s="228">
        <v>58</v>
      </c>
      <c r="CI185" s="228">
        <v>13</v>
      </c>
      <c r="CJ185" s="229">
        <v>0.2298</v>
      </c>
      <c r="CK185" s="228">
        <v>0</v>
      </c>
      <c r="CL185" s="228">
        <v>0</v>
      </c>
      <c r="CM185" s="228">
        <v>0</v>
      </c>
      <c r="CN185" s="229">
        <v>0</v>
      </c>
      <c r="CO185" s="228">
        <v>326</v>
      </c>
      <c r="CP185" s="228">
        <v>346</v>
      </c>
      <c r="CQ185" s="228">
        <v>-21</v>
      </c>
      <c r="CR185" s="229">
        <v>-6.0299999999999999E-2</v>
      </c>
      <c r="CS185" s="228">
        <v>232</v>
      </c>
      <c r="CT185" s="228">
        <v>234</v>
      </c>
      <c r="CU185" s="228">
        <v>-3</v>
      </c>
      <c r="CV185" s="229">
        <v>-1.24E-2</v>
      </c>
      <c r="CW185" s="230">
        <v>1553</v>
      </c>
      <c r="CX185" s="230">
        <v>1572</v>
      </c>
      <c r="CY185" s="228">
        <v>-19</v>
      </c>
      <c r="CZ185" s="229">
        <v>-1.24E-2</v>
      </c>
      <c r="DA185" s="228">
        <v>35.86</v>
      </c>
      <c r="DB185" s="228">
        <v>36.39</v>
      </c>
      <c r="DC185" s="228">
        <v>-0.53</v>
      </c>
      <c r="DD185" s="228">
        <v>-0.53</v>
      </c>
      <c r="DE185" s="228">
        <v>51</v>
      </c>
      <c r="DF185" s="228">
        <v>51.11</v>
      </c>
      <c r="DG185" s="228">
        <v>-15.14</v>
      </c>
      <c r="DH185" s="228">
        <v>-0.11</v>
      </c>
      <c r="DI185" s="228">
        <v>35.32</v>
      </c>
      <c r="DJ185" s="228">
        <v>36.28</v>
      </c>
      <c r="DK185" s="228">
        <v>-0.96</v>
      </c>
      <c r="DL185" s="228">
        <v>-0.96</v>
      </c>
      <c r="DM185" s="228">
        <v>37.07</v>
      </c>
      <c r="DN185" s="228">
        <v>36.65</v>
      </c>
      <c r="DO185" s="228">
        <v>0.42</v>
      </c>
      <c r="DP185" s="228">
        <v>0.42</v>
      </c>
      <c r="DQ185" s="228">
        <v>0.71</v>
      </c>
      <c r="DR185" s="228">
        <v>0.68</v>
      </c>
      <c r="DS185" s="228">
        <v>0.03</v>
      </c>
      <c r="DT185" s="229">
        <v>4.41E-2</v>
      </c>
      <c r="DU185" s="231">
        <v>1800</v>
      </c>
      <c r="DV185" s="231">
        <v>1700</v>
      </c>
      <c r="DW185" s="228">
        <v>0.44</v>
      </c>
      <c r="DX185" s="228">
        <v>0.42</v>
      </c>
      <c r="DY185" s="228">
        <v>0.02</v>
      </c>
      <c r="DZ185" s="229">
        <v>4.7600000000000003E-2</v>
      </c>
      <c r="EA185" s="229">
        <v>7.1599999999999997E-2</v>
      </c>
      <c r="EB185" s="230">
        <v>323100</v>
      </c>
      <c r="EC185" s="229">
        <v>5.0000000000000001E-3</v>
      </c>
      <c r="ED185" s="229">
        <v>7.1599999999999997E-2</v>
      </c>
      <c r="EE185" s="228">
        <v>10.24</v>
      </c>
      <c r="EF185" s="229">
        <v>5.7000000000000002E-3</v>
      </c>
      <c r="EG185" s="230">
        <v>351211</v>
      </c>
      <c r="EH185" s="230">
        <v>333554</v>
      </c>
      <c r="EI185" s="229">
        <v>5.2900000000000003E-2</v>
      </c>
      <c r="EJ185" s="229">
        <v>0.62239999999999995</v>
      </c>
      <c r="EK185" s="228">
        <v>227.81</v>
      </c>
      <c r="EL185" s="228">
        <v>93.1</v>
      </c>
      <c r="EM185" s="228">
        <v>171.27</v>
      </c>
      <c r="EN185" s="228">
        <v>0</v>
      </c>
      <c r="EO185" s="228">
        <v>492.18</v>
      </c>
      <c r="EP185" s="231">
        <v>1022.46</v>
      </c>
      <c r="EQ185" s="228">
        <v>-530.27</v>
      </c>
      <c r="ER185" s="229">
        <v>-0.51859999999999995</v>
      </c>
      <c r="ES185" s="228">
        <v>328.21</v>
      </c>
      <c r="ET185" s="228">
        <v>215.96</v>
      </c>
      <c r="EU185" s="228">
        <v>995.93</v>
      </c>
      <c r="EV185" s="231">
        <v>33646046</v>
      </c>
      <c r="EW185" s="231">
        <v>1540.1</v>
      </c>
      <c r="EX185" s="231">
        <v>1567.2</v>
      </c>
      <c r="EY185" s="228">
        <v>-27.1</v>
      </c>
      <c r="EZ185" s="229">
        <v>-1.7299999999999999E-2</v>
      </c>
      <c r="FA185" s="229">
        <v>0.25719999999999998</v>
      </c>
      <c r="FB185" s="227" t="s">
        <v>567</v>
      </c>
      <c r="FC185">
        <f t="shared" si="3"/>
        <v>0</v>
      </c>
    </row>
    <row r="186" spans="1:159" ht="17.25" thickBot="1" x14ac:dyDescent="0.3">
      <c r="A186" s="226">
        <v>45860</v>
      </c>
      <c r="B186" s="227" t="s">
        <v>172</v>
      </c>
      <c r="C186" s="227" t="s">
        <v>279</v>
      </c>
      <c r="D186" s="228">
        <v>3175</v>
      </c>
      <c r="E186" s="228">
        <v>9</v>
      </c>
      <c r="F186" s="228">
        <v>254.16</v>
      </c>
      <c r="G186" s="228">
        <v>260.83999999999997</v>
      </c>
      <c r="H186" s="228">
        <v>-6.68</v>
      </c>
      <c r="I186" s="229">
        <v>-2.5600000000000001E-2</v>
      </c>
      <c r="J186" s="228">
        <v>255.48</v>
      </c>
      <c r="K186" s="228">
        <v>261.12</v>
      </c>
      <c r="L186" s="228">
        <v>-5.64</v>
      </c>
      <c r="M186" s="229">
        <v>-2.1600000000000001E-2</v>
      </c>
      <c r="N186" s="228">
        <v>254.16</v>
      </c>
      <c r="O186" s="228">
        <v>260.83999999999997</v>
      </c>
      <c r="P186" s="228">
        <v>-6.68</v>
      </c>
      <c r="Q186" s="229">
        <v>-2.5600000000000001E-2</v>
      </c>
      <c r="R186" s="228">
        <v>255.6</v>
      </c>
      <c r="S186" s="228">
        <v>261.79000000000002</v>
      </c>
      <c r="T186" s="228">
        <v>-6.19</v>
      </c>
      <c r="U186" s="229">
        <v>-2.3599999999999999E-2</v>
      </c>
      <c r="V186" s="228">
        <v>0</v>
      </c>
      <c r="W186" s="228">
        <v>0</v>
      </c>
      <c r="X186" s="228">
        <v>0</v>
      </c>
      <c r="Y186" s="229">
        <v>0</v>
      </c>
      <c r="Z186" s="228">
        <v>-1.32</v>
      </c>
      <c r="AA186" s="228">
        <v>-0.28000000000000003</v>
      </c>
      <c r="AB186" s="228">
        <v>-1.04</v>
      </c>
      <c r="AC186" s="229">
        <v>-5.1999999999999998E-3</v>
      </c>
      <c r="AD186" s="228">
        <v>-1.32</v>
      </c>
      <c r="AE186" s="228">
        <v>-0.28000000000000003</v>
      </c>
      <c r="AF186" s="228">
        <v>-1.04</v>
      </c>
      <c r="AG186" s="229">
        <v>-5.1999999999999998E-3</v>
      </c>
      <c r="AH186" s="228">
        <v>0.12</v>
      </c>
      <c r="AI186" s="228">
        <v>0.67</v>
      </c>
      <c r="AJ186" s="228">
        <v>-0.55000000000000004</v>
      </c>
      <c r="AK186" s="229">
        <v>5.0000000000000001E-4</v>
      </c>
      <c r="AL186" s="228">
        <v>0</v>
      </c>
      <c r="AM186" s="228">
        <v>0</v>
      </c>
      <c r="AN186" s="228">
        <v>0</v>
      </c>
      <c r="AO186" s="229">
        <v>0</v>
      </c>
      <c r="AP186" s="228">
        <v>255.99</v>
      </c>
      <c r="AQ186" s="228">
        <v>258.23</v>
      </c>
      <c r="AR186" s="228">
        <v>0</v>
      </c>
      <c r="AS186" s="228">
        <v>37</v>
      </c>
      <c r="AT186" s="228">
        <v>51</v>
      </c>
      <c r="AU186" s="228">
        <v>-14</v>
      </c>
      <c r="AV186" s="229">
        <v>-0.27029999999999998</v>
      </c>
      <c r="AW186" s="228">
        <v>28</v>
      </c>
      <c r="AX186" s="228">
        <v>43</v>
      </c>
      <c r="AY186" s="228">
        <v>-15</v>
      </c>
      <c r="AZ186" s="229">
        <v>-0.35070000000000001</v>
      </c>
      <c r="BA186" s="228">
        <v>9</v>
      </c>
      <c r="BB186" s="228">
        <v>7</v>
      </c>
      <c r="BC186" s="228">
        <v>1</v>
      </c>
      <c r="BD186" s="229">
        <v>0.19570000000000001</v>
      </c>
      <c r="BE186" s="228">
        <v>0</v>
      </c>
      <c r="BF186" s="228">
        <v>0</v>
      </c>
      <c r="BG186" s="228">
        <v>0</v>
      </c>
      <c r="BH186" s="229">
        <v>0</v>
      </c>
      <c r="BI186" s="228">
        <v>20</v>
      </c>
      <c r="BJ186" s="228">
        <v>25</v>
      </c>
      <c r="BK186" s="228">
        <v>-5</v>
      </c>
      <c r="BL186" s="229">
        <v>-0.21410000000000001</v>
      </c>
      <c r="BM186" s="228">
        <v>10</v>
      </c>
      <c r="BN186" s="228">
        <v>12</v>
      </c>
      <c r="BO186" s="228">
        <v>-2</v>
      </c>
      <c r="BP186" s="229">
        <v>-0.15329999999999999</v>
      </c>
      <c r="BQ186" s="228">
        <v>67</v>
      </c>
      <c r="BR186" s="228">
        <v>88</v>
      </c>
      <c r="BS186" s="228">
        <v>-21</v>
      </c>
      <c r="BT186" s="229">
        <v>-0.23810000000000001</v>
      </c>
      <c r="BU186" s="230">
        <v>13302367</v>
      </c>
      <c r="BV186" s="230">
        <v>16304188</v>
      </c>
      <c r="BW186" s="230">
        <v>-3001821</v>
      </c>
      <c r="BX186" s="229">
        <v>-0.18410000000000001</v>
      </c>
      <c r="BY186" s="230">
        <v>2146</v>
      </c>
      <c r="BZ186" s="230">
        <v>2183</v>
      </c>
      <c r="CA186" s="228">
        <v>-37</v>
      </c>
      <c r="CB186" s="229">
        <v>-1.7000000000000001E-2</v>
      </c>
      <c r="CC186" s="230">
        <v>1467</v>
      </c>
      <c r="CD186" s="230">
        <v>1496</v>
      </c>
      <c r="CE186" s="228">
        <v>-28</v>
      </c>
      <c r="CF186" s="229">
        <v>-1.8800000000000001E-2</v>
      </c>
      <c r="CG186" s="228">
        <v>674</v>
      </c>
      <c r="CH186" s="228">
        <v>683</v>
      </c>
      <c r="CI186" s="228">
        <v>-9</v>
      </c>
      <c r="CJ186" s="229">
        <v>-1.2999999999999999E-2</v>
      </c>
      <c r="CK186" s="228">
        <v>0</v>
      </c>
      <c r="CL186" s="228">
        <v>0</v>
      </c>
      <c r="CM186" s="228">
        <v>0</v>
      </c>
      <c r="CN186" s="229">
        <v>0</v>
      </c>
      <c r="CO186" s="228">
        <v>437</v>
      </c>
      <c r="CP186" s="228">
        <v>457</v>
      </c>
      <c r="CQ186" s="228">
        <v>-20</v>
      </c>
      <c r="CR186" s="229">
        <v>-4.3400000000000001E-2</v>
      </c>
      <c r="CS186" s="228">
        <v>294</v>
      </c>
      <c r="CT186" s="228">
        <v>304</v>
      </c>
      <c r="CU186" s="228">
        <v>-10</v>
      </c>
      <c r="CV186" s="229">
        <v>-3.3700000000000001E-2</v>
      </c>
      <c r="CW186" s="230">
        <v>2878</v>
      </c>
      <c r="CX186" s="230">
        <v>2945</v>
      </c>
      <c r="CY186" s="228">
        <v>-67</v>
      </c>
      <c r="CZ186" s="229">
        <v>-2.2800000000000001E-2</v>
      </c>
      <c r="DA186" s="228">
        <v>41.23</v>
      </c>
      <c r="DB186" s="228">
        <v>37.4</v>
      </c>
      <c r="DC186" s="228">
        <v>3.83</v>
      </c>
      <c r="DD186" s="228">
        <v>3.83</v>
      </c>
      <c r="DE186" s="228">
        <v>50.9</v>
      </c>
      <c r="DF186" s="228">
        <v>50.9</v>
      </c>
      <c r="DG186" s="228">
        <v>-9.67</v>
      </c>
      <c r="DH186" s="228">
        <v>0</v>
      </c>
      <c r="DI186" s="228">
        <v>45.26</v>
      </c>
      <c r="DJ186" s="228">
        <v>38.92</v>
      </c>
      <c r="DK186" s="228">
        <v>6.34</v>
      </c>
      <c r="DL186" s="228">
        <v>6.34</v>
      </c>
      <c r="DM186" s="228">
        <v>33.42</v>
      </c>
      <c r="DN186" s="228">
        <v>34.22</v>
      </c>
      <c r="DO186" s="228">
        <v>-0.8</v>
      </c>
      <c r="DP186" s="228">
        <v>-0.8</v>
      </c>
      <c r="DQ186" s="228">
        <v>0.67</v>
      </c>
      <c r="DR186" s="228">
        <v>0.67</v>
      </c>
      <c r="DS186" s="228">
        <v>0</v>
      </c>
      <c r="DT186" s="229">
        <v>0</v>
      </c>
      <c r="DU186" s="228">
        <v>270</v>
      </c>
      <c r="DV186" s="228">
        <v>260</v>
      </c>
      <c r="DW186" s="228">
        <v>0.52</v>
      </c>
      <c r="DX186" s="228">
        <v>0.48</v>
      </c>
      <c r="DY186" s="228">
        <v>0.04</v>
      </c>
      <c r="DZ186" s="229">
        <v>8.3299999999999999E-2</v>
      </c>
      <c r="EA186" s="229">
        <v>0.31419999999999998</v>
      </c>
      <c r="EB186" s="230">
        <v>26882725</v>
      </c>
      <c r="EC186" s="229">
        <v>5.7000000000000002E-3</v>
      </c>
      <c r="ED186" s="229">
        <v>0.31419999999999998</v>
      </c>
      <c r="EE186" s="228">
        <v>2.2400000000000002</v>
      </c>
      <c r="EF186" s="229">
        <v>8.8000000000000005E-3</v>
      </c>
      <c r="EG186" s="230">
        <v>6775559</v>
      </c>
      <c r="EH186" s="230">
        <v>6470263</v>
      </c>
      <c r="EI186" s="229">
        <v>4.7199999999999999E-2</v>
      </c>
      <c r="EJ186" s="229">
        <v>0.50929999999999997</v>
      </c>
      <c r="EK186" s="228">
        <v>21.96</v>
      </c>
      <c r="EL186" s="228">
        <v>10.130000000000001</v>
      </c>
      <c r="EM186" s="228">
        <v>37.39</v>
      </c>
      <c r="EN186" s="228">
        <v>0</v>
      </c>
      <c r="EO186" s="228">
        <v>69.48</v>
      </c>
      <c r="EP186" s="228">
        <v>91.46</v>
      </c>
      <c r="EQ186" s="228">
        <v>-21.98</v>
      </c>
      <c r="ER186" s="229">
        <v>-0.24030000000000001</v>
      </c>
      <c r="ES186" s="228">
        <v>451.88</v>
      </c>
      <c r="ET186" s="228">
        <v>283.89999999999998</v>
      </c>
      <c r="EU186" s="231">
        <v>2150.35</v>
      </c>
      <c r="EV186" s="231">
        <v>121575211</v>
      </c>
      <c r="EW186" s="231">
        <v>2886.14</v>
      </c>
      <c r="EX186" s="231">
        <v>3010.89</v>
      </c>
      <c r="EY186" s="228">
        <v>-124.75</v>
      </c>
      <c r="EZ186" s="229">
        <v>-4.1399999999999999E-2</v>
      </c>
      <c r="FA186" s="229">
        <v>0.93130000000000002</v>
      </c>
      <c r="FB186" s="227" t="s">
        <v>568</v>
      </c>
      <c r="FC186">
        <f t="shared" si="3"/>
        <v>0</v>
      </c>
    </row>
    <row r="187" spans="1:159" ht="17.25" thickBot="1" x14ac:dyDescent="0.3">
      <c r="A187" s="226">
        <v>45860</v>
      </c>
      <c r="B187" s="227" t="s">
        <v>175</v>
      </c>
      <c r="C187" s="227" t="s">
        <v>280</v>
      </c>
      <c r="D187" s="228">
        <v>1275</v>
      </c>
      <c r="E187" s="228">
        <v>9</v>
      </c>
      <c r="F187" s="228">
        <v>391.9</v>
      </c>
      <c r="G187" s="228">
        <v>399.3</v>
      </c>
      <c r="H187" s="228">
        <v>-7.4</v>
      </c>
      <c r="I187" s="229">
        <v>-1.8499999999999999E-2</v>
      </c>
      <c r="J187" s="228">
        <v>393.3</v>
      </c>
      <c r="K187" s="228">
        <v>398.65</v>
      </c>
      <c r="L187" s="228">
        <v>-5.35</v>
      </c>
      <c r="M187" s="229">
        <v>-1.34E-2</v>
      </c>
      <c r="N187" s="228">
        <v>391.9</v>
      </c>
      <c r="O187" s="228">
        <v>399.3</v>
      </c>
      <c r="P187" s="228">
        <v>-7.4</v>
      </c>
      <c r="Q187" s="229">
        <v>-1.8499999999999999E-2</v>
      </c>
      <c r="R187" s="228">
        <v>390.25</v>
      </c>
      <c r="S187" s="228">
        <v>398</v>
      </c>
      <c r="T187" s="228">
        <v>-7.75</v>
      </c>
      <c r="U187" s="229">
        <v>-1.95E-2</v>
      </c>
      <c r="V187" s="228">
        <v>0</v>
      </c>
      <c r="W187" s="228">
        <v>0</v>
      </c>
      <c r="X187" s="228">
        <v>0</v>
      </c>
      <c r="Y187" s="229">
        <v>0</v>
      </c>
      <c r="Z187" s="228">
        <v>-1.4</v>
      </c>
      <c r="AA187" s="228">
        <v>0.65</v>
      </c>
      <c r="AB187" s="228">
        <v>-2.0499999999999998</v>
      </c>
      <c r="AC187" s="229">
        <v>-3.5999999999999999E-3</v>
      </c>
      <c r="AD187" s="228">
        <v>-1.4</v>
      </c>
      <c r="AE187" s="228">
        <v>0.65</v>
      </c>
      <c r="AF187" s="228">
        <v>-2.0499999999999998</v>
      </c>
      <c r="AG187" s="229">
        <v>-3.5999999999999999E-3</v>
      </c>
      <c r="AH187" s="228">
        <v>-3.05</v>
      </c>
      <c r="AI187" s="228">
        <v>-0.65</v>
      </c>
      <c r="AJ187" s="228">
        <v>-2.4</v>
      </c>
      <c r="AK187" s="229">
        <v>-7.7999999999999996E-3</v>
      </c>
      <c r="AL187" s="228">
        <v>0</v>
      </c>
      <c r="AM187" s="228">
        <v>0</v>
      </c>
      <c r="AN187" s="228">
        <v>0</v>
      </c>
      <c r="AO187" s="229">
        <v>0</v>
      </c>
      <c r="AP187" s="228">
        <v>397</v>
      </c>
      <c r="AQ187" s="228">
        <v>394.5</v>
      </c>
      <c r="AR187" s="228">
        <v>0</v>
      </c>
      <c r="AS187" s="228">
        <v>544</v>
      </c>
      <c r="AT187" s="228">
        <v>415</v>
      </c>
      <c r="AU187" s="228">
        <v>129</v>
      </c>
      <c r="AV187" s="229">
        <v>0.31019999999999998</v>
      </c>
      <c r="AW187" s="228">
        <v>326</v>
      </c>
      <c r="AX187" s="228">
        <v>302</v>
      </c>
      <c r="AY187" s="228">
        <v>24</v>
      </c>
      <c r="AZ187" s="229">
        <v>7.9799999999999996E-2</v>
      </c>
      <c r="BA187" s="228">
        <v>207</v>
      </c>
      <c r="BB187" s="228">
        <v>110</v>
      </c>
      <c r="BC187" s="228">
        <v>97</v>
      </c>
      <c r="BD187" s="229">
        <v>0.88480000000000003</v>
      </c>
      <c r="BE187" s="228">
        <v>0</v>
      </c>
      <c r="BF187" s="228">
        <v>0</v>
      </c>
      <c r="BG187" s="228">
        <v>0</v>
      </c>
      <c r="BH187" s="229">
        <v>0</v>
      </c>
      <c r="BI187" s="228">
        <v>902</v>
      </c>
      <c r="BJ187" s="228">
        <v>822</v>
      </c>
      <c r="BK187" s="228">
        <v>80</v>
      </c>
      <c r="BL187" s="229">
        <v>9.7699999999999995E-2</v>
      </c>
      <c r="BM187" s="228">
        <v>463</v>
      </c>
      <c r="BN187" s="228">
        <v>327</v>
      </c>
      <c r="BO187" s="228">
        <v>136</v>
      </c>
      <c r="BP187" s="229">
        <v>0.41649999999999998</v>
      </c>
      <c r="BQ187" s="230">
        <v>1909</v>
      </c>
      <c r="BR187" s="230">
        <v>1563</v>
      </c>
      <c r="BS187" s="228">
        <v>345</v>
      </c>
      <c r="BT187" s="229">
        <v>0.22070000000000001</v>
      </c>
      <c r="BU187" s="230">
        <v>9284731</v>
      </c>
      <c r="BV187" s="230">
        <v>6185512</v>
      </c>
      <c r="BW187" s="230">
        <v>3099219</v>
      </c>
      <c r="BX187" s="229">
        <v>0.501</v>
      </c>
      <c r="BY187" s="230">
        <v>3296</v>
      </c>
      <c r="BZ187" s="230">
        <v>3183</v>
      </c>
      <c r="CA187" s="228">
        <v>114</v>
      </c>
      <c r="CB187" s="229">
        <v>3.5700000000000003E-2</v>
      </c>
      <c r="CC187" s="230">
        <v>2621</v>
      </c>
      <c r="CD187" s="230">
        <v>2654</v>
      </c>
      <c r="CE187" s="228">
        <v>-33</v>
      </c>
      <c r="CF187" s="229">
        <v>-1.23E-2</v>
      </c>
      <c r="CG187" s="228">
        <v>643</v>
      </c>
      <c r="CH187" s="228">
        <v>500</v>
      </c>
      <c r="CI187" s="228">
        <v>142</v>
      </c>
      <c r="CJ187" s="229">
        <v>0.28470000000000001</v>
      </c>
      <c r="CK187" s="228">
        <v>0</v>
      </c>
      <c r="CL187" s="228">
        <v>0</v>
      </c>
      <c r="CM187" s="228">
        <v>0</v>
      </c>
      <c r="CN187" s="229">
        <v>0</v>
      </c>
      <c r="CO187" s="230">
        <v>1184</v>
      </c>
      <c r="CP187" s="230">
        <v>1146</v>
      </c>
      <c r="CQ187" s="228">
        <v>38</v>
      </c>
      <c r="CR187" s="229">
        <v>3.3099999999999997E-2</v>
      </c>
      <c r="CS187" s="228">
        <v>858</v>
      </c>
      <c r="CT187" s="228">
        <v>807</v>
      </c>
      <c r="CU187" s="228">
        <v>51</v>
      </c>
      <c r="CV187" s="229">
        <v>6.3200000000000006E-2</v>
      </c>
      <c r="CW187" s="230">
        <v>5338</v>
      </c>
      <c r="CX187" s="230">
        <v>5135</v>
      </c>
      <c r="CY187" s="228">
        <v>203</v>
      </c>
      <c r="CZ187" s="229">
        <v>3.9399999999999998E-2</v>
      </c>
      <c r="DA187" s="228">
        <v>34.68</v>
      </c>
      <c r="DB187" s="228">
        <v>30.37</v>
      </c>
      <c r="DC187" s="228">
        <v>4.3099999999999996</v>
      </c>
      <c r="DD187" s="228">
        <v>4.3099999999999996</v>
      </c>
      <c r="DE187" s="228">
        <v>50.42</v>
      </c>
      <c r="DF187" s="228">
        <v>50.48</v>
      </c>
      <c r="DG187" s="228">
        <v>-15.74</v>
      </c>
      <c r="DH187" s="228">
        <v>-0.06</v>
      </c>
      <c r="DI187" s="228">
        <v>35.159999999999997</v>
      </c>
      <c r="DJ187" s="228">
        <v>30.42</v>
      </c>
      <c r="DK187" s="228">
        <v>4.74</v>
      </c>
      <c r="DL187" s="228">
        <v>4.74</v>
      </c>
      <c r="DM187" s="228">
        <v>33.75</v>
      </c>
      <c r="DN187" s="228">
        <v>30.24</v>
      </c>
      <c r="DO187" s="228">
        <v>3.51</v>
      </c>
      <c r="DP187" s="228">
        <v>3.51</v>
      </c>
      <c r="DQ187" s="228">
        <v>0.72</v>
      </c>
      <c r="DR187" s="228">
        <v>0.7</v>
      </c>
      <c r="DS187" s="228">
        <v>0.02</v>
      </c>
      <c r="DT187" s="229">
        <v>2.86E-2</v>
      </c>
      <c r="DU187" s="228">
        <v>400</v>
      </c>
      <c r="DV187" s="228">
        <v>400</v>
      </c>
      <c r="DW187" s="228">
        <v>0.51</v>
      </c>
      <c r="DX187" s="228">
        <v>0.4</v>
      </c>
      <c r="DY187" s="228">
        <v>0.11</v>
      </c>
      <c r="DZ187" s="229">
        <v>0.27500000000000002</v>
      </c>
      <c r="EA187" s="229">
        <v>0.19500000000000001</v>
      </c>
      <c r="EB187" s="230">
        <v>12766575</v>
      </c>
      <c r="EC187" s="229">
        <v>-4.1999999999999997E-3</v>
      </c>
      <c r="ED187" s="229">
        <v>0.19500000000000001</v>
      </c>
      <c r="EE187" s="228">
        <v>-2.5</v>
      </c>
      <c r="EF187" s="229">
        <v>-6.3E-3</v>
      </c>
      <c r="EG187" s="230">
        <v>5692433</v>
      </c>
      <c r="EH187" s="230">
        <v>3162194</v>
      </c>
      <c r="EI187" s="229">
        <v>0.80020000000000002</v>
      </c>
      <c r="EJ187" s="229">
        <v>0.61309999999999998</v>
      </c>
      <c r="EK187" s="228">
        <v>953.1</v>
      </c>
      <c r="EL187" s="228">
        <v>469.69</v>
      </c>
      <c r="EM187" s="228">
        <v>549.30999999999995</v>
      </c>
      <c r="EN187" s="228">
        <v>0</v>
      </c>
      <c r="EO187" s="231">
        <v>1972.1</v>
      </c>
      <c r="EP187" s="231">
        <v>1622.26</v>
      </c>
      <c r="EQ187" s="228">
        <v>349.84</v>
      </c>
      <c r="ER187" s="229">
        <v>0.2157</v>
      </c>
      <c r="ES187" s="231">
        <v>1257.98</v>
      </c>
      <c r="ET187" s="228">
        <v>864.85</v>
      </c>
      <c r="EU187" s="231">
        <v>3293.57</v>
      </c>
      <c r="EV187" s="231">
        <v>249446067</v>
      </c>
      <c r="EW187" s="231">
        <v>5416.4</v>
      </c>
      <c r="EX187" s="231">
        <v>5278.44</v>
      </c>
      <c r="EY187" s="228">
        <v>137.96</v>
      </c>
      <c r="EZ187" s="229">
        <v>2.6100000000000002E-2</v>
      </c>
      <c r="FA187" s="229">
        <v>0.54600000000000004</v>
      </c>
      <c r="FB187" s="227" t="s">
        <v>567</v>
      </c>
      <c r="FC187">
        <f t="shared" si="3"/>
        <v>0</v>
      </c>
    </row>
    <row r="188" spans="1:159" ht="17.25" thickBot="1" x14ac:dyDescent="0.3">
      <c r="A188" s="226">
        <v>45860</v>
      </c>
      <c r="B188" s="227" t="s">
        <v>193</v>
      </c>
      <c r="C188" s="227" t="s">
        <v>281</v>
      </c>
      <c r="D188" s="228">
        <v>500</v>
      </c>
      <c r="E188" s="228">
        <v>9</v>
      </c>
      <c r="F188" s="231">
        <v>1417.3</v>
      </c>
      <c r="G188" s="231">
        <v>1432.4</v>
      </c>
      <c r="H188" s="228">
        <v>-15.1</v>
      </c>
      <c r="I188" s="229">
        <v>-1.0500000000000001E-2</v>
      </c>
      <c r="J188" s="231">
        <v>1412.8</v>
      </c>
      <c r="K188" s="231">
        <v>1428.6</v>
      </c>
      <c r="L188" s="228">
        <v>-15.8</v>
      </c>
      <c r="M188" s="229">
        <v>-1.11E-2</v>
      </c>
      <c r="N188" s="231">
        <v>1417.3</v>
      </c>
      <c r="O188" s="231">
        <v>1432.4</v>
      </c>
      <c r="P188" s="228">
        <v>-15.1</v>
      </c>
      <c r="Q188" s="229">
        <v>-1.0500000000000001E-2</v>
      </c>
      <c r="R188" s="231">
        <v>1418.9</v>
      </c>
      <c r="S188" s="231">
        <v>1434.9</v>
      </c>
      <c r="T188" s="228">
        <v>-16</v>
      </c>
      <c r="U188" s="229">
        <v>-1.12E-2</v>
      </c>
      <c r="V188" s="228">
        <v>0</v>
      </c>
      <c r="W188" s="228">
        <v>0</v>
      </c>
      <c r="X188" s="228">
        <v>0</v>
      </c>
      <c r="Y188" s="229">
        <v>0</v>
      </c>
      <c r="Z188" s="228">
        <v>4.5</v>
      </c>
      <c r="AA188" s="228">
        <v>3.8</v>
      </c>
      <c r="AB188" s="228">
        <v>0.7</v>
      </c>
      <c r="AC188" s="229">
        <v>3.2000000000000002E-3</v>
      </c>
      <c r="AD188" s="228">
        <v>4.5</v>
      </c>
      <c r="AE188" s="228">
        <v>3.8</v>
      </c>
      <c r="AF188" s="228">
        <v>0.7</v>
      </c>
      <c r="AG188" s="229">
        <v>3.2000000000000002E-3</v>
      </c>
      <c r="AH188" s="228">
        <v>6.1</v>
      </c>
      <c r="AI188" s="228">
        <v>6.3</v>
      </c>
      <c r="AJ188" s="228">
        <v>-0.2</v>
      </c>
      <c r="AK188" s="229">
        <v>4.3E-3</v>
      </c>
      <c r="AL188" s="228">
        <v>0</v>
      </c>
      <c r="AM188" s="228">
        <v>0</v>
      </c>
      <c r="AN188" s="228">
        <v>0</v>
      </c>
      <c r="AO188" s="229">
        <v>0</v>
      </c>
      <c r="AP188" s="231">
        <v>1422.03</v>
      </c>
      <c r="AQ188" s="231">
        <v>1424.09</v>
      </c>
      <c r="AR188" s="228">
        <v>0</v>
      </c>
      <c r="AS188" s="230">
        <v>2544</v>
      </c>
      <c r="AT188" s="230">
        <v>4999</v>
      </c>
      <c r="AU188" s="230">
        <v>-2455</v>
      </c>
      <c r="AV188" s="229">
        <v>-0.49099999999999999</v>
      </c>
      <c r="AW188" s="230">
        <v>1639</v>
      </c>
      <c r="AX188" s="230">
        <v>3589</v>
      </c>
      <c r="AY188" s="230">
        <v>-1950</v>
      </c>
      <c r="AZ188" s="229">
        <v>-0.54339999999999999</v>
      </c>
      <c r="BA188" s="228">
        <v>838</v>
      </c>
      <c r="BB188" s="230">
        <v>1281</v>
      </c>
      <c r="BC188" s="228">
        <v>-443</v>
      </c>
      <c r="BD188" s="229">
        <v>-0.34560000000000002</v>
      </c>
      <c r="BE188" s="228">
        <v>0</v>
      </c>
      <c r="BF188" s="228">
        <v>0</v>
      </c>
      <c r="BG188" s="228">
        <v>0</v>
      </c>
      <c r="BH188" s="229">
        <v>0</v>
      </c>
      <c r="BI188" s="230">
        <v>22951</v>
      </c>
      <c r="BJ188" s="230">
        <v>39320</v>
      </c>
      <c r="BK188" s="230">
        <v>-16369</v>
      </c>
      <c r="BL188" s="229">
        <v>-0.4163</v>
      </c>
      <c r="BM188" s="230">
        <v>10733</v>
      </c>
      <c r="BN188" s="230">
        <v>19461</v>
      </c>
      <c r="BO188" s="230">
        <v>-8728</v>
      </c>
      <c r="BP188" s="229">
        <v>-0.44850000000000001</v>
      </c>
      <c r="BQ188" s="230">
        <v>36228</v>
      </c>
      <c r="BR188" s="230">
        <v>63780</v>
      </c>
      <c r="BS188" s="230">
        <v>-27552</v>
      </c>
      <c r="BT188" s="229">
        <v>-0.432</v>
      </c>
      <c r="BU188" s="230">
        <v>21918719</v>
      </c>
      <c r="BV188" s="230">
        <v>23999891</v>
      </c>
      <c r="BW188" s="230">
        <v>-2081172</v>
      </c>
      <c r="BX188" s="229">
        <v>-8.6699999999999999E-2</v>
      </c>
      <c r="BY188" s="230">
        <v>17019</v>
      </c>
      <c r="BZ188" s="230">
        <v>16409</v>
      </c>
      <c r="CA188" s="228">
        <v>610</v>
      </c>
      <c r="CB188" s="229">
        <v>3.7199999999999997E-2</v>
      </c>
      <c r="CC188" s="230">
        <v>9718</v>
      </c>
      <c r="CD188" s="230">
        <v>9692</v>
      </c>
      <c r="CE188" s="228">
        <v>26</v>
      </c>
      <c r="CF188" s="229">
        <v>2.7000000000000001E-3</v>
      </c>
      <c r="CG188" s="230">
        <v>6693</v>
      </c>
      <c r="CH188" s="230">
        <v>6146</v>
      </c>
      <c r="CI188" s="228">
        <v>547</v>
      </c>
      <c r="CJ188" s="229">
        <v>8.8999999999999996E-2</v>
      </c>
      <c r="CK188" s="228">
        <v>0</v>
      </c>
      <c r="CL188" s="228">
        <v>0</v>
      </c>
      <c r="CM188" s="228">
        <v>0</v>
      </c>
      <c r="CN188" s="229">
        <v>0</v>
      </c>
      <c r="CO188" s="230">
        <v>16024</v>
      </c>
      <c r="CP188" s="230">
        <v>14568</v>
      </c>
      <c r="CQ188" s="230">
        <v>1455</v>
      </c>
      <c r="CR188" s="229">
        <v>9.9900000000000003E-2</v>
      </c>
      <c r="CS188" s="230">
        <v>6365</v>
      </c>
      <c r="CT188" s="230">
        <v>5754</v>
      </c>
      <c r="CU188" s="228">
        <v>612</v>
      </c>
      <c r="CV188" s="229">
        <v>0.10630000000000001</v>
      </c>
      <c r="CW188" s="230">
        <v>39408</v>
      </c>
      <c r="CX188" s="230">
        <v>36731</v>
      </c>
      <c r="CY188" s="230">
        <v>2677</v>
      </c>
      <c r="CZ188" s="229">
        <v>7.2900000000000006E-2</v>
      </c>
      <c r="DA188" s="228">
        <v>21.68</v>
      </c>
      <c r="DB188" s="228">
        <v>21.52</v>
      </c>
      <c r="DC188" s="228">
        <v>0.16</v>
      </c>
      <c r="DD188" s="228">
        <v>0.16</v>
      </c>
      <c r="DE188" s="228">
        <v>26.15</v>
      </c>
      <c r="DF188" s="228">
        <v>26.17</v>
      </c>
      <c r="DG188" s="228">
        <v>-4.47</v>
      </c>
      <c r="DH188" s="228">
        <v>-0.02</v>
      </c>
      <c r="DI188" s="228">
        <v>21.74</v>
      </c>
      <c r="DJ188" s="228">
        <v>21.84</v>
      </c>
      <c r="DK188" s="228">
        <v>-0.1</v>
      </c>
      <c r="DL188" s="228">
        <v>-0.1</v>
      </c>
      <c r="DM188" s="228">
        <v>21.55</v>
      </c>
      <c r="DN188" s="228">
        <v>20.89</v>
      </c>
      <c r="DO188" s="228">
        <v>0.66</v>
      </c>
      <c r="DP188" s="228">
        <v>0.66</v>
      </c>
      <c r="DQ188" s="228">
        <v>0.4</v>
      </c>
      <c r="DR188" s="228">
        <v>0.39</v>
      </c>
      <c r="DS188" s="228">
        <v>0.01</v>
      </c>
      <c r="DT188" s="229">
        <v>2.5600000000000001E-2</v>
      </c>
      <c r="DU188" s="231">
        <v>1500</v>
      </c>
      <c r="DV188" s="231">
        <v>1400</v>
      </c>
      <c r="DW188" s="228">
        <v>0.47</v>
      </c>
      <c r="DX188" s="228">
        <v>0.49</v>
      </c>
      <c r="DY188" s="228">
        <v>-0.02</v>
      </c>
      <c r="DZ188" s="229">
        <v>-4.0800000000000003E-2</v>
      </c>
      <c r="EA188" s="229">
        <v>0.39329999999999998</v>
      </c>
      <c r="EB188" s="230">
        <v>43365000</v>
      </c>
      <c r="EC188" s="229">
        <v>1.1000000000000001E-3</v>
      </c>
      <c r="ED188" s="229">
        <v>0.39329999999999998</v>
      </c>
      <c r="EE188" s="228">
        <v>2.06</v>
      </c>
      <c r="EF188" s="229">
        <v>1.4E-3</v>
      </c>
      <c r="EG188" s="230">
        <v>16405897</v>
      </c>
      <c r="EH188" s="230">
        <v>15773712</v>
      </c>
      <c r="EI188" s="229">
        <v>4.0099999999999997E-2</v>
      </c>
      <c r="EJ188" s="229">
        <v>0.74850000000000005</v>
      </c>
      <c r="EK188" s="231">
        <v>23965.19</v>
      </c>
      <c r="EL188" s="231">
        <v>10658.12</v>
      </c>
      <c r="EM188" s="231">
        <v>2554.27</v>
      </c>
      <c r="EN188" s="228">
        <v>0</v>
      </c>
      <c r="EO188" s="231">
        <v>37177.58</v>
      </c>
      <c r="EP188" s="231">
        <v>66307.8</v>
      </c>
      <c r="EQ188" s="231">
        <v>-29130.22</v>
      </c>
      <c r="ER188" s="229">
        <v>-0.43930000000000002</v>
      </c>
      <c r="ES188" s="231">
        <v>16995.5</v>
      </c>
      <c r="ET188" s="231">
        <v>6427.96</v>
      </c>
      <c r="EU188" s="231">
        <v>17030.45</v>
      </c>
      <c r="EV188" s="231">
        <v>1323414074</v>
      </c>
      <c r="EW188" s="231">
        <v>40453.919999999998</v>
      </c>
      <c r="EX188" s="231">
        <v>37979.589999999997</v>
      </c>
      <c r="EY188" s="231">
        <v>2474.33</v>
      </c>
      <c r="EZ188" s="229">
        <v>6.5100000000000005E-2</v>
      </c>
      <c r="FA188" s="229">
        <v>0.21010000000000001</v>
      </c>
      <c r="FB188" s="227" t="s">
        <v>567</v>
      </c>
      <c r="FC188">
        <f t="shared" si="3"/>
        <v>0</v>
      </c>
    </row>
    <row r="189" spans="1:159" ht="17.25" thickBot="1" x14ac:dyDescent="0.3">
      <c r="A189" s="226">
        <v>45860</v>
      </c>
      <c r="B189" s="227" t="s">
        <v>215</v>
      </c>
      <c r="C189" s="227" t="s">
        <v>677</v>
      </c>
      <c r="D189" s="228">
        <v>1375</v>
      </c>
      <c r="E189" s="228">
        <v>9</v>
      </c>
      <c r="F189" s="228">
        <v>372.15</v>
      </c>
      <c r="G189" s="228">
        <v>378.7</v>
      </c>
      <c r="H189" s="228">
        <v>-6.55</v>
      </c>
      <c r="I189" s="229">
        <v>-1.7299999999999999E-2</v>
      </c>
      <c r="J189" s="228">
        <v>372.25</v>
      </c>
      <c r="K189" s="228">
        <v>378.2</v>
      </c>
      <c r="L189" s="228">
        <v>-5.95</v>
      </c>
      <c r="M189" s="229">
        <v>-1.5699999999999999E-2</v>
      </c>
      <c r="N189" s="228">
        <v>372.15</v>
      </c>
      <c r="O189" s="228">
        <v>378.7</v>
      </c>
      <c r="P189" s="228">
        <v>-6.55</v>
      </c>
      <c r="Q189" s="229">
        <v>-1.7299999999999999E-2</v>
      </c>
      <c r="R189" s="228">
        <v>369.45</v>
      </c>
      <c r="S189" s="228">
        <v>377.05</v>
      </c>
      <c r="T189" s="228">
        <v>-7.6</v>
      </c>
      <c r="U189" s="229">
        <v>-2.0199999999999999E-2</v>
      </c>
      <c r="V189" s="228">
        <v>0</v>
      </c>
      <c r="W189" s="228">
        <v>0</v>
      </c>
      <c r="X189" s="228">
        <v>0</v>
      </c>
      <c r="Y189" s="229">
        <v>0</v>
      </c>
      <c r="Z189" s="228">
        <v>-0.1</v>
      </c>
      <c r="AA189" s="228">
        <v>0.5</v>
      </c>
      <c r="AB189" s="228">
        <v>-0.6</v>
      </c>
      <c r="AC189" s="229">
        <v>-2.9999999999999997E-4</v>
      </c>
      <c r="AD189" s="228">
        <v>-0.1</v>
      </c>
      <c r="AE189" s="228">
        <v>0.5</v>
      </c>
      <c r="AF189" s="228">
        <v>-0.6</v>
      </c>
      <c r="AG189" s="229">
        <v>-2.9999999999999997E-4</v>
      </c>
      <c r="AH189" s="228">
        <v>-2.8</v>
      </c>
      <c r="AI189" s="228">
        <v>-1.1499999999999999</v>
      </c>
      <c r="AJ189" s="228">
        <v>-1.65</v>
      </c>
      <c r="AK189" s="229">
        <v>-7.4999999999999997E-3</v>
      </c>
      <c r="AL189" s="228">
        <v>0</v>
      </c>
      <c r="AM189" s="228">
        <v>0</v>
      </c>
      <c r="AN189" s="228">
        <v>0</v>
      </c>
      <c r="AO189" s="229">
        <v>0</v>
      </c>
      <c r="AP189" s="228">
        <v>374.16</v>
      </c>
      <c r="AQ189" s="228">
        <v>371.8</v>
      </c>
      <c r="AR189" s="228">
        <v>0</v>
      </c>
      <c r="AS189" s="228">
        <v>84</v>
      </c>
      <c r="AT189" s="228">
        <v>74</v>
      </c>
      <c r="AU189" s="228">
        <v>10</v>
      </c>
      <c r="AV189" s="229">
        <v>0.12809999999999999</v>
      </c>
      <c r="AW189" s="228">
        <v>53</v>
      </c>
      <c r="AX189" s="228">
        <v>59</v>
      </c>
      <c r="AY189" s="228">
        <v>-6</v>
      </c>
      <c r="AZ189" s="229">
        <v>-0.1021</v>
      </c>
      <c r="BA189" s="228">
        <v>29</v>
      </c>
      <c r="BB189" s="228">
        <v>14</v>
      </c>
      <c r="BC189" s="228">
        <v>14</v>
      </c>
      <c r="BD189" s="229">
        <v>1.0036</v>
      </c>
      <c r="BE189" s="228">
        <v>0</v>
      </c>
      <c r="BF189" s="228">
        <v>0</v>
      </c>
      <c r="BG189" s="228">
        <v>0</v>
      </c>
      <c r="BH189" s="229">
        <v>0</v>
      </c>
      <c r="BI189" s="228">
        <v>140</v>
      </c>
      <c r="BJ189" s="228">
        <v>163</v>
      </c>
      <c r="BK189" s="228">
        <v>-23</v>
      </c>
      <c r="BL189" s="229">
        <v>-0.14280000000000001</v>
      </c>
      <c r="BM189" s="228">
        <v>30</v>
      </c>
      <c r="BN189" s="228">
        <v>62</v>
      </c>
      <c r="BO189" s="228">
        <v>-32</v>
      </c>
      <c r="BP189" s="229">
        <v>-0.51939999999999997</v>
      </c>
      <c r="BQ189" s="228">
        <v>253</v>
      </c>
      <c r="BR189" s="228">
        <v>299</v>
      </c>
      <c r="BS189" s="228">
        <v>-46</v>
      </c>
      <c r="BT189" s="229">
        <v>-0.15340000000000001</v>
      </c>
      <c r="BU189" s="230">
        <v>2629193</v>
      </c>
      <c r="BV189" s="230">
        <v>3730363</v>
      </c>
      <c r="BW189" s="230">
        <v>-1101170</v>
      </c>
      <c r="BX189" s="229">
        <v>-0.29520000000000002</v>
      </c>
      <c r="BY189" s="228">
        <v>677</v>
      </c>
      <c r="BZ189" s="228">
        <v>651</v>
      </c>
      <c r="CA189" s="228">
        <v>26</v>
      </c>
      <c r="CB189" s="229">
        <v>3.9600000000000003E-2</v>
      </c>
      <c r="CC189" s="228">
        <v>539</v>
      </c>
      <c r="CD189" s="228">
        <v>530</v>
      </c>
      <c r="CE189" s="228">
        <v>9</v>
      </c>
      <c r="CF189" s="229">
        <v>1.66E-2</v>
      </c>
      <c r="CG189" s="228">
        <v>126</v>
      </c>
      <c r="CH189" s="228">
        <v>110</v>
      </c>
      <c r="CI189" s="228">
        <v>16</v>
      </c>
      <c r="CJ189" s="229">
        <v>0.14149999999999999</v>
      </c>
      <c r="CK189" s="228">
        <v>0</v>
      </c>
      <c r="CL189" s="228">
        <v>0</v>
      </c>
      <c r="CM189" s="228">
        <v>0</v>
      </c>
      <c r="CN189" s="229">
        <v>0</v>
      </c>
      <c r="CO189" s="228">
        <v>433</v>
      </c>
      <c r="CP189" s="228">
        <v>423</v>
      </c>
      <c r="CQ189" s="228">
        <v>10</v>
      </c>
      <c r="CR189" s="229">
        <v>2.4199999999999999E-2</v>
      </c>
      <c r="CS189" s="228">
        <v>124</v>
      </c>
      <c r="CT189" s="228">
        <v>129</v>
      </c>
      <c r="CU189" s="228">
        <v>-5</v>
      </c>
      <c r="CV189" s="229">
        <v>-3.49E-2</v>
      </c>
      <c r="CW189" s="230">
        <v>1235</v>
      </c>
      <c r="CX189" s="230">
        <v>1204</v>
      </c>
      <c r="CY189" s="228">
        <v>32</v>
      </c>
      <c r="CZ189" s="229">
        <v>2.6200000000000001E-2</v>
      </c>
      <c r="DA189" s="228">
        <v>39.94</v>
      </c>
      <c r="DB189" s="228">
        <v>36.04</v>
      </c>
      <c r="DC189" s="228">
        <v>3.9</v>
      </c>
      <c r="DD189" s="228">
        <v>3.9</v>
      </c>
      <c r="DE189" s="228">
        <v>62.99</v>
      </c>
      <c r="DF189" s="228">
        <v>63.1</v>
      </c>
      <c r="DG189" s="228">
        <v>-23.05</v>
      </c>
      <c r="DH189" s="228">
        <v>-0.11</v>
      </c>
      <c r="DI189" s="228">
        <v>41.13</v>
      </c>
      <c r="DJ189" s="228">
        <v>36.67</v>
      </c>
      <c r="DK189" s="228">
        <v>4.46</v>
      </c>
      <c r="DL189" s="228">
        <v>4.46</v>
      </c>
      <c r="DM189" s="228">
        <v>34.35</v>
      </c>
      <c r="DN189" s="228">
        <v>34.369999999999997</v>
      </c>
      <c r="DO189" s="228">
        <v>-0.02</v>
      </c>
      <c r="DP189" s="228">
        <v>-0.02</v>
      </c>
      <c r="DQ189" s="228">
        <v>0.28999999999999998</v>
      </c>
      <c r="DR189" s="228">
        <v>0.3</v>
      </c>
      <c r="DS189" s="228">
        <v>-0.01</v>
      </c>
      <c r="DT189" s="229">
        <v>-3.3300000000000003E-2</v>
      </c>
      <c r="DU189" s="228">
        <v>400</v>
      </c>
      <c r="DV189" s="228">
        <v>360</v>
      </c>
      <c r="DW189" s="228">
        <v>0.21</v>
      </c>
      <c r="DX189" s="228">
        <v>0.38</v>
      </c>
      <c r="DY189" s="228">
        <v>-0.17</v>
      </c>
      <c r="DZ189" s="229">
        <v>-0.44740000000000002</v>
      </c>
      <c r="EA189" s="229">
        <v>0.186</v>
      </c>
      <c r="EB189" s="230">
        <v>2964500</v>
      </c>
      <c r="EC189" s="229">
        <v>-7.3000000000000001E-3</v>
      </c>
      <c r="ED189" s="229">
        <v>0.186</v>
      </c>
      <c r="EE189" s="228">
        <v>-2.36</v>
      </c>
      <c r="EF189" s="229">
        <v>-6.3E-3</v>
      </c>
      <c r="EG189" s="230">
        <v>1091549</v>
      </c>
      <c r="EH189" s="230">
        <v>1043484</v>
      </c>
      <c r="EI189" s="229">
        <v>4.6100000000000002E-2</v>
      </c>
      <c r="EJ189" s="229">
        <v>0.41520000000000001</v>
      </c>
      <c r="EK189" s="228">
        <v>152.13</v>
      </c>
      <c r="EL189" s="228">
        <v>30.17</v>
      </c>
      <c r="EM189" s="228">
        <v>84.06</v>
      </c>
      <c r="EN189" s="228">
        <v>0</v>
      </c>
      <c r="EO189" s="228">
        <v>266.36</v>
      </c>
      <c r="EP189" s="228">
        <v>313.56</v>
      </c>
      <c r="EQ189" s="228">
        <v>-47.2</v>
      </c>
      <c r="ER189" s="229">
        <v>-0.15049999999999999</v>
      </c>
      <c r="ES189" s="228">
        <v>476.66</v>
      </c>
      <c r="ET189" s="228">
        <v>127.64</v>
      </c>
      <c r="EU189" s="228">
        <v>676.14</v>
      </c>
      <c r="EV189" s="231">
        <v>113255281</v>
      </c>
      <c r="EW189" s="231">
        <v>1280.44</v>
      </c>
      <c r="EX189" s="231">
        <v>1261.42</v>
      </c>
      <c r="EY189" s="228">
        <v>19.02</v>
      </c>
      <c r="EZ189" s="229">
        <v>1.5100000000000001E-2</v>
      </c>
      <c r="FA189" s="229">
        <v>0.29310000000000003</v>
      </c>
      <c r="FB189" s="227" t="s">
        <v>567</v>
      </c>
      <c r="FC189">
        <f t="shared" si="3"/>
        <v>0</v>
      </c>
    </row>
    <row r="190" spans="1:159" ht="17.25" thickBot="1" x14ac:dyDescent="0.3">
      <c r="A190" s="226">
        <v>45860</v>
      </c>
      <c r="B190" s="227" t="s">
        <v>227</v>
      </c>
      <c r="C190" s="227" t="s">
        <v>282</v>
      </c>
      <c r="D190" s="228">
        <v>4700</v>
      </c>
      <c r="E190" s="228">
        <v>9</v>
      </c>
      <c r="F190" s="228">
        <v>136.05000000000001</v>
      </c>
      <c r="G190" s="228">
        <v>137.41</v>
      </c>
      <c r="H190" s="228">
        <v>-1.36</v>
      </c>
      <c r="I190" s="229">
        <v>-9.9000000000000008E-3</v>
      </c>
      <c r="J190" s="228">
        <v>135.99</v>
      </c>
      <c r="K190" s="228">
        <v>136.94</v>
      </c>
      <c r="L190" s="228">
        <v>-0.95</v>
      </c>
      <c r="M190" s="229">
        <v>-6.8999999999999999E-3</v>
      </c>
      <c r="N190" s="228">
        <v>136.05000000000001</v>
      </c>
      <c r="O190" s="228">
        <v>137.41</v>
      </c>
      <c r="P190" s="228">
        <v>-1.36</v>
      </c>
      <c r="Q190" s="229">
        <v>-9.9000000000000008E-3</v>
      </c>
      <c r="R190" s="228">
        <v>136.74</v>
      </c>
      <c r="S190" s="228">
        <v>138</v>
      </c>
      <c r="T190" s="228">
        <v>-1.26</v>
      </c>
      <c r="U190" s="229">
        <v>-9.1000000000000004E-3</v>
      </c>
      <c r="V190" s="228">
        <v>0</v>
      </c>
      <c r="W190" s="228">
        <v>0</v>
      </c>
      <c r="X190" s="228">
        <v>0</v>
      </c>
      <c r="Y190" s="229">
        <v>0</v>
      </c>
      <c r="Z190" s="228">
        <v>0.06</v>
      </c>
      <c r="AA190" s="228">
        <v>0.47</v>
      </c>
      <c r="AB190" s="228">
        <v>-0.41</v>
      </c>
      <c r="AC190" s="229">
        <v>4.0000000000000002E-4</v>
      </c>
      <c r="AD190" s="228">
        <v>0.06</v>
      </c>
      <c r="AE190" s="228">
        <v>0.47</v>
      </c>
      <c r="AF190" s="228">
        <v>-0.41</v>
      </c>
      <c r="AG190" s="229">
        <v>4.0000000000000002E-4</v>
      </c>
      <c r="AH190" s="228">
        <v>0.75</v>
      </c>
      <c r="AI190" s="228">
        <v>1.06</v>
      </c>
      <c r="AJ190" s="228">
        <v>-0.31</v>
      </c>
      <c r="AK190" s="229">
        <v>5.4999999999999997E-3</v>
      </c>
      <c r="AL190" s="228">
        <v>0</v>
      </c>
      <c r="AM190" s="228">
        <v>0</v>
      </c>
      <c r="AN190" s="228">
        <v>0</v>
      </c>
      <c r="AO190" s="229">
        <v>0</v>
      </c>
      <c r="AP190" s="228">
        <v>137.53</v>
      </c>
      <c r="AQ190" s="228">
        <v>137.96</v>
      </c>
      <c r="AR190" s="228">
        <v>0</v>
      </c>
      <c r="AS190" s="228">
        <v>477</v>
      </c>
      <c r="AT190" s="228">
        <v>449</v>
      </c>
      <c r="AU190" s="228">
        <v>28</v>
      </c>
      <c r="AV190" s="229">
        <v>6.2700000000000006E-2</v>
      </c>
      <c r="AW190" s="228">
        <v>416</v>
      </c>
      <c r="AX190" s="228">
        <v>312</v>
      </c>
      <c r="AY190" s="228">
        <v>105</v>
      </c>
      <c r="AZ190" s="229">
        <v>0.3357</v>
      </c>
      <c r="BA190" s="228">
        <v>57</v>
      </c>
      <c r="BB190" s="228">
        <v>132</v>
      </c>
      <c r="BC190" s="228">
        <v>-74</v>
      </c>
      <c r="BD190" s="229">
        <v>-0.56369999999999998</v>
      </c>
      <c r="BE190" s="228">
        <v>0</v>
      </c>
      <c r="BF190" s="228">
        <v>0</v>
      </c>
      <c r="BG190" s="228">
        <v>0</v>
      </c>
      <c r="BH190" s="229">
        <v>0</v>
      </c>
      <c r="BI190" s="228">
        <v>784</v>
      </c>
      <c r="BJ190" s="228">
        <v>711</v>
      </c>
      <c r="BK190" s="228">
        <v>73</v>
      </c>
      <c r="BL190" s="229">
        <v>0.1027</v>
      </c>
      <c r="BM190" s="228">
        <v>506</v>
      </c>
      <c r="BN190" s="228">
        <v>303</v>
      </c>
      <c r="BO190" s="228">
        <v>204</v>
      </c>
      <c r="BP190" s="229">
        <v>0.67269999999999996</v>
      </c>
      <c r="BQ190" s="230">
        <v>1768</v>
      </c>
      <c r="BR190" s="230">
        <v>1463</v>
      </c>
      <c r="BS190" s="228">
        <v>305</v>
      </c>
      <c r="BT190" s="229">
        <v>0.2084</v>
      </c>
      <c r="BU190" s="230">
        <v>14447527</v>
      </c>
      <c r="BV190" s="230">
        <v>10625450</v>
      </c>
      <c r="BW190" s="230">
        <v>3822077</v>
      </c>
      <c r="BX190" s="229">
        <v>0.35970000000000002</v>
      </c>
      <c r="BY190" s="230">
        <v>1926</v>
      </c>
      <c r="BZ190" s="230">
        <v>1893</v>
      </c>
      <c r="CA190" s="228">
        <v>33</v>
      </c>
      <c r="CB190" s="229">
        <v>1.7399999999999999E-2</v>
      </c>
      <c r="CC190" s="230">
        <v>1649</v>
      </c>
      <c r="CD190" s="230">
        <v>1642</v>
      </c>
      <c r="CE190" s="228">
        <v>6</v>
      </c>
      <c r="CF190" s="229">
        <v>3.8E-3</v>
      </c>
      <c r="CG190" s="228">
        <v>260</v>
      </c>
      <c r="CH190" s="228">
        <v>234</v>
      </c>
      <c r="CI190" s="228">
        <v>25</v>
      </c>
      <c r="CJ190" s="229">
        <v>0.1081</v>
      </c>
      <c r="CK190" s="228">
        <v>0</v>
      </c>
      <c r="CL190" s="228">
        <v>0</v>
      </c>
      <c r="CM190" s="228">
        <v>0</v>
      </c>
      <c r="CN190" s="229">
        <v>0</v>
      </c>
      <c r="CO190" s="228">
        <v>477</v>
      </c>
      <c r="CP190" s="228">
        <v>533</v>
      </c>
      <c r="CQ190" s="228">
        <v>-56</v>
      </c>
      <c r="CR190" s="229">
        <v>-0.1046</v>
      </c>
      <c r="CS190" s="228">
        <v>341</v>
      </c>
      <c r="CT190" s="228">
        <v>357</v>
      </c>
      <c r="CU190" s="228">
        <v>-16</v>
      </c>
      <c r="CV190" s="229">
        <v>-4.4600000000000001E-2</v>
      </c>
      <c r="CW190" s="230">
        <v>2744</v>
      </c>
      <c r="CX190" s="230">
        <v>2783</v>
      </c>
      <c r="CY190" s="228">
        <v>-39</v>
      </c>
      <c r="CZ190" s="229">
        <v>-1.3899999999999999E-2</v>
      </c>
      <c r="DA190" s="228">
        <v>33.94</v>
      </c>
      <c r="DB190" s="228">
        <v>31.44</v>
      </c>
      <c r="DC190" s="228">
        <v>2.5</v>
      </c>
      <c r="DD190" s="228">
        <v>2.5</v>
      </c>
      <c r="DE190" s="228">
        <v>48.11</v>
      </c>
      <c r="DF190" s="228">
        <v>48.21</v>
      </c>
      <c r="DG190" s="228">
        <v>-14.17</v>
      </c>
      <c r="DH190" s="228">
        <v>-0.1</v>
      </c>
      <c r="DI190" s="228">
        <v>34.31</v>
      </c>
      <c r="DJ190" s="228">
        <v>31.5</v>
      </c>
      <c r="DK190" s="228">
        <v>2.81</v>
      </c>
      <c r="DL190" s="228">
        <v>2.81</v>
      </c>
      <c r="DM190" s="228">
        <v>33.369999999999997</v>
      </c>
      <c r="DN190" s="228">
        <v>31.3</v>
      </c>
      <c r="DO190" s="228">
        <v>2.0699999999999998</v>
      </c>
      <c r="DP190" s="228">
        <v>2.0699999999999998</v>
      </c>
      <c r="DQ190" s="228">
        <v>0.71</v>
      </c>
      <c r="DR190" s="228">
        <v>0.67</v>
      </c>
      <c r="DS190" s="228">
        <v>0.04</v>
      </c>
      <c r="DT190" s="229">
        <v>5.9700000000000003E-2</v>
      </c>
      <c r="DU190" s="228">
        <v>140</v>
      </c>
      <c r="DV190" s="228">
        <v>135</v>
      </c>
      <c r="DW190" s="228">
        <v>0.65</v>
      </c>
      <c r="DX190" s="228">
        <v>0.43</v>
      </c>
      <c r="DY190" s="228">
        <v>0.22</v>
      </c>
      <c r="DZ190" s="229">
        <v>0.51160000000000005</v>
      </c>
      <c r="EA190" s="229">
        <v>0.1348</v>
      </c>
      <c r="EB190" s="230">
        <v>17216100</v>
      </c>
      <c r="EC190" s="229">
        <v>5.1000000000000004E-3</v>
      </c>
      <c r="ED190" s="229">
        <v>0.1348</v>
      </c>
      <c r="EE190" s="228">
        <v>0.43</v>
      </c>
      <c r="EF190" s="229">
        <v>3.0999999999999999E-3</v>
      </c>
      <c r="EG190" s="230">
        <v>4440004</v>
      </c>
      <c r="EH190" s="230">
        <v>2962531</v>
      </c>
      <c r="EI190" s="229">
        <v>0.49869999999999998</v>
      </c>
      <c r="EJ190" s="229">
        <v>0.30730000000000002</v>
      </c>
      <c r="EK190" s="228">
        <v>820.15</v>
      </c>
      <c r="EL190" s="228">
        <v>509.36</v>
      </c>
      <c r="EM190" s="228">
        <v>482.59</v>
      </c>
      <c r="EN190" s="228">
        <v>0</v>
      </c>
      <c r="EO190" s="231">
        <v>1812.1</v>
      </c>
      <c r="EP190" s="231">
        <v>1503.54</v>
      </c>
      <c r="EQ190" s="228">
        <v>308.56</v>
      </c>
      <c r="ER190" s="229">
        <v>0.20519999999999999</v>
      </c>
      <c r="ES190" s="228">
        <v>493.33</v>
      </c>
      <c r="ET190" s="228">
        <v>326.88</v>
      </c>
      <c r="EU190" s="231">
        <v>1927.09</v>
      </c>
      <c r="EV190" s="231">
        <v>289148547</v>
      </c>
      <c r="EW190" s="231">
        <v>2747.3</v>
      </c>
      <c r="EX190" s="231">
        <v>2804.9</v>
      </c>
      <c r="EY190" s="228">
        <v>-57.6</v>
      </c>
      <c r="EZ190" s="229">
        <v>-2.0500000000000001E-2</v>
      </c>
      <c r="FA190" s="229">
        <v>0.69750000000000001</v>
      </c>
      <c r="FB190" s="227" t="s">
        <v>567</v>
      </c>
      <c r="FC190">
        <f t="shared" si="3"/>
        <v>0</v>
      </c>
    </row>
    <row r="191" spans="1:159" ht="17.25" thickBot="1" x14ac:dyDescent="0.3">
      <c r="A191" s="226">
        <v>45860</v>
      </c>
      <c r="B191" s="227" t="s">
        <v>175</v>
      </c>
      <c r="C191" s="227" t="s">
        <v>536</v>
      </c>
      <c r="D191" s="228">
        <v>800</v>
      </c>
      <c r="E191" s="228">
        <v>9</v>
      </c>
      <c r="F191" s="228">
        <v>894.75</v>
      </c>
      <c r="G191" s="228">
        <v>899.45</v>
      </c>
      <c r="H191" s="228">
        <v>-4.7</v>
      </c>
      <c r="I191" s="229">
        <v>-5.1999999999999998E-3</v>
      </c>
      <c r="J191" s="228">
        <v>896.65</v>
      </c>
      <c r="K191" s="228">
        <v>898.65</v>
      </c>
      <c r="L191" s="228">
        <v>-2</v>
      </c>
      <c r="M191" s="229">
        <v>-2.2000000000000001E-3</v>
      </c>
      <c r="N191" s="228">
        <v>894.75</v>
      </c>
      <c r="O191" s="228">
        <v>899.45</v>
      </c>
      <c r="P191" s="228">
        <v>-4.7</v>
      </c>
      <c r="Q191" s="229">
        <v>-5.1999999999999998E-3</v>
      </c>
      <c r="R191" s="228">
        <v>889.2</v>
      </c>
      <c r="S191" s="228">
        <v>896.15</v>
      </c>
      <c r="T191" s="228">
        <v>-6.95</v>
      </c>
      <c r="U191" s="229">
        <v>-7.7999999999999996E-3</v>
      </c>
      <c r="V191" s="228">
        <v>0</v>
      </c>
      <c r="W191" s="228">
        <v>0</v>
      </c>
      <c r="X191" s="228">
        <v>0</v>
      </c>
      <c r="Y191" s="229">
        <v>0</v>
      </c>
      <c r="Z191" s="228">
        <v>-1.9</v>
      </c>
      <c r="AA191" s="228">
        <v>0.8</v>
      </c>
      <c r="AB191" s="228">
        <v>-2.7</v>
      </c>
      <c r="AC191" s="229">
        <v>-2.0999999999999999E-3</v>
      </c>
      <c r="AD191" s="228">
        <v>-1.9</v>
      </c>
      <c r="AE191" s="228">
        <v>0.8</v>
      </c>
      <c r="AF191" s="228">
        <v>-2.7</v>
      </c>
      <c r="AG191" s="229">
        <v>-2.0999999999999999E-3</v>
      </c>
      <c r="AH191" s="228">
        <v>-7.45</v>
      </c>
      <c r="AI191" s="228">
        <v>-2.5</v>
      </c>
      <c r="AJ191" s="228">
        <v>-4.95</v>
      </c>
      <c r="AK191" s="229">
        <v>-8.3000000000000001E-3</v>
      </c>
      <c r="AL191" s="228">
        <v>0</v>
      </c>
      <c r="AM191" s="228">
        <v>0</v>
      </c>
      <c r="AN191" s="228">
        <v>0</v>
      </c>
      <c r="AO191" s="229">
        <v>0</v>
      </c>
      <c r="AP191" s="228">
        <v>894.99</v>
      </c>
      <c r="AQ191" s="228">
        <v>890.49</v>
      </c>
      <c r="AR191" s="228">
        <v>0</v>
      </c>
      <c r="AS191" s="228">
        <v>178</v>
      </c>
      <c r="AT191" s="228">
        <v>216</v>
      </c>
      <c r="AU191" s="228">
        <v>-38</v>
      </c>
      <c r="AV191" s="229">
        <v>-0.1744</v>
      </c>
      <c r="AW191" s="228">
        <v>130</v>
      </c>
      <c r="AX191" s="228">
        <v>177</v>
      </c>
      <c r="AY191" s="228">
        <v>-47</v>
      </c>
      <c r="AZ191" s="229">
        <v>-0.2676</v>
      </c>
      <c r="BA191" s="228">
        <v>46</v>
      </c>
      <c r="BB191" s="228">
        <v>37</v>
      </c>
      <c r="BC191" s="228">
        <v>9</v>
      </c>
      <c r="BD191" s="229">
        <v>0.24759999999999999</v>
      </c>
      <c r="BE191" s="228">
        <v>0</v>
      </c>
      <c r="BF191" s="228">
        <v>0</v>
      </c>
      <c r="BG191" s="228">
        <v>0</v>
      </c>
      <c r="BH191" s="229">
        <v>0</v>
      </c>
      <c r="BI191" s="228">
        <v>418</v>
      </c>
      <c r="BJ191" s="228">
        <v>594</v>
      </c>
      <c r="BK191" s="228">
        <v>-176</v>
      </c>
      <c r="BL191" s="229">
        <v>-0.29559999999999997</v>
      </c>
      <c r="BM191" s="228">
        <v>190</v>
      </c>
      <c r="BN191" s="228">
        <v>245</v>
      </c>
      <c r="BO191" s="228">
        <v>-55</v>
      </c>
      <c r="BP191" s="229">
        <v>-0.2228</v>
      </c>
      <c r="BQ191" s="228">
        <v>787</v>
      </c>
      <c r="BR191" s="230">
        <v>1055</v>
      </c>
      <c r="BS191" s="228">
        <v>-268</v>
      </c>
      <c r="BT191" s="229">
        <v>-0.25390000000000001</v>
      </c>
      <c r="BU191" s="230">
        <v>767586</v>
      </c>
      <c r="BV191" s="230">
        <v>739102</v>
      </c>
      <c r="BW191" s="230">
        <v>28484</v>
      </c>
      <c r="BX191" s="229">
        <v>3.85E-2</v>
      </c>
      <c r="BY191" s="230">
        <v>1303</v>
      </c>
      <c r="BZ191" s="230">
        <v>1269</v>
      </c>
      <c r="CA191" s="228">
        <v>34</v>
      </c>
      <c r="CB191" s="229">
        <v>2.6599999999999999E-2</v>
      </c>
      <c r="CC191" s="230">
        <v>1129</v>
      </c>
      <c r="CD191" s="230">
        <v>1123</v>
      </c>
      <c r="CE191" s="228">
        <v>6</v>
      </c>
      <c r="CF191" s="229">
        <v>5.4000000000000003E-3</v>
      </c>
      <c r="CG191" s="228">
        <v>152</v>
      </c>
      <c r="CH191" s="228">
        <v>126</v>
      </c>
      <c r="CI191" s="228">
        <v>26</v>
      </c>
      <c r="CJ191" s="229">
        <v>0.2079</v>
      </c>
      <c r="CK191" s="228">
        <v>0</v>
      </c>
      <c r="CL191" s="228">
        <v>0</v>
      </c>
      <c r="CM191" s="228">
        <v>0</v>
      </c>
      <c r="CN191" s="229">
        <v>0</v>
      </c>
      <c r="CO191" s="230">
        <v>1103</v>
      </c>
      <c r="CP191" s="230">
        <v>1132</v>
      </c>
      <c r="CQ191" s="228">
        <v>-29</v>
      </c>
      <c r="CR191" s="229">
        <v>-2.53E-2</v>
      </c>
      <c r="CS191" s="228">
        <v>576</v>
      </c>
      <c r="CT191" s="228">
        <v>573</v>
      </c>
      <c r="CU191" s="228">
        <v>4</v>
      </c>
      <c r="CV191" s="229">
        <v>6.6E-3</v>
      </c>
      <c r="CW191" s="230">
        <v>2982</v>
      </c>
      <c r="CX191" s="230">
        <v>2973</v>
      </c>
      <c r="CY191" s="228">
        <v>9</v>
      </c>
      <c r="CZ191" s="229">
        <v>3.0000000000000001E-3</v>
      </c>
      <c r="DA191" s="228">
        <v>35.19</v>
      </c>
      <c r="DB191" s="228">
        <v>33.43</v>
      </c>
      <c r="DC191" s="228">
        <v>1.76</v>
      </c>
      <c r="DD191" s="228">
        <v>1.76</v>
      </c>
      <c r="DE191" s="228">
        <v>30.72</v>
      </c>
      <c r="DF191" s="228">
        <v>30.79</v>
      </c>
      <c r="DG191" s="228">
        <v>4.47</v>
      </c>
      <c r="DH191" s="228">
        <v>-7.0000000000000007E-2</v>
      </c>
      <c r="DI191" s="228">
        <v>36.04</v>
      </c>
      <c r="DJ191" s="228">
        <v>33.85</v>
      </c>
      <c r="DK191" s="228">
        <v>2.19</v>
      </c>
      <c r="DL191" s="228">
        <v>2.19</v>
      </c>
      <c r="DM191" s="228">
        <v>33.33</v>
      </c>
      <c r="DN191" s="228">
        <v>32.409999999999997</v>
      </c>
      <c r="DO191" s="228">
        <v>0.92</v>
      </c>
      <c r="DP191" s="228">
        <v>0.92</v>
      </c>
      <c r="DQ191" s="228">
        <v>0.52</v>
      </c>
      <c r="DR191" s="228">
        <v>0.51</v>
      </c>
      <c r="DS191" s="228">
        <v>0.01</v>
      </c>
      <c r="DT191" s="229">
        <v>1.9599999999999999E-2</v>
      </c>
      <c r="DU191" s="231">
        <v>1000</v>
      </c>
      <c r="DV191" s="228">
        <v>880</v>
      </c>
      <c r="DW191" s="228">
        <v>0.46</v>
      </c>
      <c r="DX191" s="228">
        <v>0.41</v>
      </c>
      <c r="DY191" s="228">
        <v>0.05</v>
      </c>
      <c r="DZ191" s="229">
        <v>0.122</v>
      </c>
      <c r="EA191" s="229">
        <v>0.1166</v>
      </c>
      <c r="EB191" s="230">
        <v>1404800</v>
      </c>
      <c r="EC191" s="229">
        <v>-6.1999999999999998E-3</v>
      </c>
      <c r="ED191" s="229">
        <v>0.1166</v>
      </c>
      <c r="EE191" s="228">
        <v>-4.5</v>
      </c>
      <c r="EF191" s="229">
        <v>-5.0000000000000001E-3</v>
      </c>
      <c r="EG191" s="230">
        <v>439120</v>
      </c>
      <c r="EH191" s="230">
        <v>301310</v>
      </c>
      <c r="EI191" s="229">
        <v>0.45739999999999997</v>
      </c>
      <c r="EJ191" s="229">
        <v>0.57210000000000005</v>
      </c>
      <c r="EK191" s="228">
        <v>449.6</v>
      </c>
      <c r="EL191" s="228">
        <v>187.45</v>
      </c>
      <c r="EM191" s="228">
        <v>178.04</v>
      </c>
      <c r="EN191" s="228">
        <v>0</v>
      </c>
      <c r="EO191" s="228">
        <v>815.09</v>
      </c>
      <c r="EP191" s="231">
        <v>1097.0999999999999</v>
      </c>
      <c r="EQ191" s="228">
        <v>-282</v>
      </c>
      <c r="ER191" s="229">
        <v>-0.25700000000000001</v>
      </c>
      <c r="ES191" s="231">
        <v>1215.71</v>
      </c>
      <c r="ET191" s="228">
        <v>566.32000000000005</v>
      </c>
      <c r="EU191" s="231">
        <v>1301.3900000000001</v>
      </c>
      <c r="EV191" s="231">
        <v>59744408</v>
      </c>
      <c r="EW191" s="231">
        <v>3083.41</v>
      </c>
      <c r="EX191" s="231">
        <v>3085.4</v>
      </c>
      <c r="EY191" s="228">
        <v>-1.99</v>
      </c>
      <c r="EZ191" s="229">
        <v>-5.9999999999999995E-4</v>
      </c>
      <c r="FA191" s="229">
        <v>0.55789999999999995</v>
      </c>
      <c r="FB191" s="227" t="s">
        <v>567</v>
      </c>
      <c r="FC191">
        <f t="shared" si="3"/>
        <v>0</v>
      </c>
    </row>
    <row r="192" spans="1:159" ht="17.25" thickBot="1" x14ac:dyDescent="0.3">
      <c r="A192" s="226">
        <v>45860</v>
      </c>
      <c r="B192" s="227" t="s">
        <v>175</v>
      </c>
      <c r="C192" s="227" t="s">
        <v>462</v>
      </c>
      <c r="D192" s="228">
        <v>375</v>
      </c>
      <c r="E192" s="228">
        <v>9</v>
      </c>
      <c r="F192" s="231">
        <v>1812.1</v>
      </c>
      <c r="G192" s="231">
        <v>1809</v>
      </c>
      <c r="H192" s="228">
        <v>3.1</v>
      </c>
      <c r="I192" s="229">
        <v>1.6999999999999999E-3</v>
      </c>
      <c r="J192" s="231">
        <v>1809</v>
      </c>
      <c r="K192" s="231">
        <v>1804.7</v>
      </c>
      <c r="L192" s="228">
        <v>4.3</v>
      </c>
      <c r="M192" s="229">
        <v>2.3999999999999998E-3</v>
      </c>
      <c r="N192" s="231">
        <v>1812.1</v>
      </c>
      <c r="O192" s="231">
        <v>1809</v>
      </c>
      <c r="P192" s="228">
        <v>3.1</v>
      </c>
      <c r="Q192" s="229">
        <v>1.6999999999999999E-3</v>
      </c>
      <c r="R192" s="231">
        <v>1821.7</v>
      </c>
      <c r="S192" s="231">
        <v>1818.3</v>
      </c>
      <c r="T192" s="228">
        <v>3.4</v>
      </c>
      <c r="U192" s="229">
        <v>1.9E-3</v>
      </c>
      <c r="V192" s="228">
        <v>0</v>
      </c>
      <c r="W192" s="228">
        <v>0</v>
      </c>
      <c r="X192" s="228">
        <v>0</v>
      </c>
      <c r="Y192" s="229">
        <v>0</v>
      </c>
      <c r="Z192" s="228">
        <v>3.1</v>
      </c>
      <c r="AA192" s="228">
        <v>4.3</v>
      </c>
      <c r="AB192" s="228">
        <v>-1.2</v>
      </c>
      <c r="AC192" s="229">
        <v>1.6999999999999999E-3</v>
      </c>
      <c r="AD192" s="228">
        <v>3.1</v>
      </c>
      <c r="AE192" s="228">
        <v>4.3</v>
      </c>
      <c r="AF192" s="228">
        <v>-1.2</v>
      </c>
      <c r="AG192" s="229">
        <v>1.6999999999999999E-3</v>
      </c>
      <c r="AH192" s="228">
        <v>12.7</v>
      </c>
      <c r="AI192" s="228">
        <v>13.6</v>
      </c>
      <c r="AJ192" s="228">
        <v>-0.9</v>
      </c>
      <c r="AK192" s="229">
        <v>7.0000000000000001E-3</v>
      </c>
      <c r="AL192" s="228">
        <v>0</v>
      </c>
      <c r="AM192" s="228">
        <v>0</v>
      </c>
      <c r="AN192" s="228">
        <v>0</v>
      </c>
      <c r="AO192" s="229">
        <v>0</v>
      </c>
      <c r="AP192" s="231">
        <v>1808.86</v>
      </c>
      <c r="AQ192" s="231">
        <v>1817.49</v>
      </c>
      <c r="AR192" s="228">
        <v>0</v>
      </c>
      <c r="AS192" s="228">
        <v>124</v>
      </c>
      <c r="AT192" s="228">
        <v>136</v>
      </c>
      <c r="AU192" s="228">
        <v>-13</v>
      </c>
      <c r="AV192" s="229">
        <v>-9.2299999999999993E-2</v>
      </c>
      <c r="AW192" s="228">
        <v>111</v>
      </c>
      <c r="AX192" s="228">
        <v>117</v>
      </c>
      <c r="AY192" s="228">
        <v>-6</v>
      </c>
      <c r="AZ192" s="229">
        <v>-4.99E-2</v>
      </c>
      <c r="BA192" s="228">
        <v>12</v>
      </c>
      <c r="BB192" s="228">
        <v>18</v>
      </c>
      <c r="BC192" s="228">
        <v>-7</v>
      </c>
      <c r="BD192" s="229">
        <v>-0.36059999999999998</v>
      </c>
      <c r="BE192" s="228">
        <v>0</v>
      </c>
      <c r="BF192" s="228">
        <v>0</v>
      </c>
      <c r="BG192" s="228">
        <v>0</v>
      </c>
      <c r="BH192" s="229">
        <v>0</v>
      </c>
      <c r="BI192" s="228">
        <v>617</v>
      </c>
      <c r="BJ192" s="228">
        <v>545</v>
      </c>
      <c r="BK192" s="228">
        <v>73</v>
      </c>
      <c r="BL192" s="229">
        <v>0.1336</v>
      </c>
      <c r="BM192" s="228">
        <v>173</v>
      </c>
      <c r="BN192" s="228">
        <v>210</v>
      </c>
      <c r="BO192" s="228">
        <v>-37</v>
      </c>
      <c r="BP192" s="229">
        <v>-0.1767</v>
      </c>
      <c r="BQ192" s="228">
        <v>914</v>
      </c>
      <c r="BR192" s="228">
        <v>891</v>
      </c>
      <c r="BS192" s="228">
        <v>23</v>
      </c>
      <c r="BT192" s="229">
        <v>2.5899999999999999E-2</v>
      </c>
      <c r="BU192" s="230">
        <v>581630</v>
      </c>
      <c r="BV192" s="230">
        <v>485880</v>
      </c>
      <c r="BW192" s="230">
        <v>95750</v>
      </c>
      <c r="BX192" s="229">
        <v>0.1971</v>
      </c>
      <c r="BY192" s="230">
        <v>1338</v>
      </c>
      <c r="BZ192" s="230">
        <v>1326</v>
      </c>
      <c r="CA192" s="228">
        <v>13</v>
      </c>
      <c r="CB192" s="229">
        <v>9.7000000000000003E-3</v>
      </c>
      <c r="CC192" s="230">
        <v>1266</v>
      </c>
      <c r="CD192" s="230">
        <v>1254</v>
      </c>
      <c r="CE192" s="228">
        <v>11</v>
      </c>
      <c r="CF192" s="229">
        <v>8.9999999999999993E-3</v>
      </c>
      <c r="CG192" s="228">
        <v>69</v>
      </c>
      <c r="CH192" s="228">
        <v>68</v>
      </c>
      <c r="CI192" s="228">
        <v>1</v>
      </c>
      <c r="CJ192" s="229">
        <v>0.02</v>
      </c>
      <c r="CK192" s="228">
        <v>0</v>
      </c>
      <c r="CL192" s="228">
        <v>0</v>
      </c>
      <c r="CM192" s="228">
        <v>0</v>
      </c>
      <c r="CN192" s="229">
        <v>0</v>
      </c>
      <c r="CO192" s="228">
        <v>896</v>
      </c>
      <c r="CP192" s="228">
        <v>898</v>
      </c>
      <c r="CQ192" s="228">
        <v>-2</v>
      </c>
      <c r="CR192" s="229">
        <v>-2.5000000000000001E-3</v>
      </c>
      <c r="CS192" s="228">
        <v>347</v>
      </c>
      <c r="CT192" s="228">
        <v>350</v>
      </c>
      <c r="CU192" s="228">
        <v>-4</v>
      </c>
      <c r="CV192" s="229">
        <v>-1.0500000000000001E-2</v>
      </c>
      <c r="CW192" s="230">
        <v>2581</v>
      </c>
      <c r="CX192" s="230">
        <v>2574</v>
      </c>
      <c r="CY192" s="228">
        <v>7</v>
      </c>
      <c r="CZ192" s="229">
        <v>2.7000000000000001E-3</v>
      </c>
      <c r="DA192" s="228">
        <v>24.6</v>
      </c>
      <c r="DB192" s="228">
        <v>25.32</v>
      </c>
      <c r="DC192" s="228">
        <v>-0.72</v>
      </c>
      <c r="DD192" s="228">
        <v>-0.72</v>
      </c>
      <c r="DE192" s="228">
        <v>27.64</v>
      </c>
      <c r="DF192" s="228">
        <v>27.71</v>
      </c>
      <c r="DG192" s="228">
        <v>-3.04</v>
      </c>
      <c r="DH192" s="228">
        <v>-7.0000000000000007E-2</v>
      </c>
      <c r="DI192" s="228">
        <v>24.08</v>
      </c>
      <c r="DJ192" s="228">
        <v>24.94</v>
      </c>
      <c r="DK192" s="228">
        <v>-0.86</v>
      </c>
      <c r="DL192" s="228">
        <v>-0.86</v>
      </c>
      <c r="DM192" s="228">
        <v>26.47</v>
      </c>
      <c r="DN192" s="228">
        <v>26.3</v>
      </c>
      <c r="DO192" s="228">
        <v>0.17</v>
      </c>
      <c r="DP192" s="228">
        <v>0.17</v>
      </c>
      <c r="DQ192" s="228">
        <v>0.39</v>
      </c>
      <c r="DR192" s="228">
        <v>0.39</v>
      </c>
      <c r="DS192" s="228">
        <v>0</v>
      </c>
      <c r="DT192" s="229">
        <v>0</v>
      </c>
      <c r="DU192" s="231">
        <v>1860</v>
      </c>
      <c r="DV192" s="231">
        <v>1800</v>
      </c>
      <c r="DW192" s="228">
        <v>0.28000000000000003</v>
      </c>
      <c r="DX192" s="228">
        <v>0.39</v>
      </c>
      <c r="DY192" s="228">
        <v>-0.11</v>
      </c>
      <c r="DZ192" s="229">
        <v>-0.28210000000000002</v>
      </c>
      <c r="EA192" s="229">
        <v>5.1700000000000003E-2</v>
      </c>
      <c r="EB192" s="230">
        <v>374250</v>
      </c>
      <c r="EC192" s="229">
        <v>5.3E-3</v>
      </c>
      <c r="ED192" s="229">
        <v>5.1700000000000003E-2</v>
      </c>
      <c r="EE192" s="228">
        <v>8.6300000000000008</v>
      </c>
      <c r="EF192" s="229">
        <v>4.7999999999999996E-3</v>
      </c>
      <c r="EG192" s="230">
        <v>343988</v>
      </c>
      <c r="EH192" s="230">
        <v>293146</v>
      </c>
      <c r="EI192" s="229">
        <v>0.1734</v>
      </c>
      <c r="EJ192" s="229">
        <v>0.59140000000000004</v>
      </c>
      <c r="EK192" s="228">
        <v>643.39</v>
      </c>
      <c r="EL192" s="228">
        <v>169.12</v>
      </c>
      <c r="EM192" s="228">
        <v>123.45</v>
      </c>
      <c r="EN192" s="228">
        <v>0</v>
      </c>
      <c r="EO192" s="228">
        <v>935.96</v>
      </c>
      <c r="EP192" s="228">
        <v>910.13</v>
      </c>
      <c r="EQ192" s="228">
        <v>25.83</v>
      </c>
      <c r="ER192" s="229">
        <v>2.8400000000000002E-2</v>
      </c>
      <c r="ES192" s="228">
        <v>930.61</v>
      </c>
      <c r="ET192" s="228">
        <v>337.58</v>
      </c>
      <c r="EU192" s="231">
        <v>1338.88</v>
      </c>
      <c r="EV192" s="231">
        <v>89427016</v>
      </c>
      <c r="EW192" s="231">
        <v>2607.0700000000002</v>
      </c>
      <c r="EX192" s="231">
        <v>2597.54</v>
      </c>
      <c r="EY192" s="228">
        <v>9.5299999999999994</v>
      </c>
      <c r="EZ192" s="229">
        <v>3.7000000000000002E-3</v>
      </c>
      <c r="FA192" s="229">
        <v>0.1593</v>
      </c>
      <c r="FB192" s="227" t="s">
        <v>555</v>
      </c>
      <c r="FC192">
        <f t="shared" si="3"/>
        <v>0</v>
      </c>
    </row>
    <row r="193" spans="1:159" ht="17.25" thickBot="1" x14ac:dyDescent="0.3">
      <c r="A193" s="226">
        <v>45860</v>
      </c>
      <c r="B193" s="227" t="s">
        <v>172</v>
      </c>
      <c r="C193" s="227" t="s">
        <v>283</v>
      </c>
      <c r="D193" s="228">
        <v>750</v>
      </c>
      <c r="E193" s="228">
        <v>9</v>
      </c>
      <c r="F193" s="228">
        <v>815.85</v>
      </c>
      <c r="G193" s="228">
        <v>824.85</v>
      </c>
      <c r="H193" s="228">
        <v>-9</v>
      </c>
      <c r="I193" s="229">
        <v>-1.09E-2</v>
      </c>
      <c r="J193" s="228">
        <v>815</v>
      </c>
      <c r="K193" s="228">
        <v>824.2</v>
      </c>
      <c r="L193" s="228">
        <v>-9.1999999999999993</v>
      </c>
      <c r="M193" s="229">
        <v>-1.12E-2</v>
      </c>
      <c r="N193" s="228">
        <v>815.85</v>
      </c>
      <c r="O193" s="228">
        <v>824.85</v>
      </c>
      <c r="P193" s="228">
        <v>-9</v>
      </c>
      <c r="Q193" s="229">
        <v>-1.09E-2</v>
      </c>
      <c r="R193" s="228">
        <v>819.95</v>
      </c>
      <c r="S193" s="228">
        <v>828.95</v>
      </c>
      <c r="T193" s="228">
        <v>-9</v>
      </c>
      <c r="U193" s="229">
        <v>-1.09E-2</v>
      </c>
      <c r="V193" s="228">
        <v>0</v>
      </c>
      <c r="W193" s="228">
        <v>0</v>
      </c>
      <c r="X193" s="228">
        <v>0</v>
      </c>
      <c r="Y193" s="229">
        <v>0</v>
      </c>
      <c r="Z193" s="228">
        <v>0.85</v>
      </c>
      <c r="AA193" s="228">
        <v>0.65</v>
      </c>
      <c r="AB193" s="228">
        <v>0.2</v>
      </c>
      <c r="AC193" s="229">
        <v>1E-3</v>
      </c>
      <c r="AD193" s="228">
        <v>0.85</v>
      </c>
      <c r="AE193" s="228">
        <v>0.65</v>
      </c>
      <c r="AF193" s="228">
        <v>0.2</v>
      </c>
      <c r="AG193" s="229">
        <v>1E-3</v>
      </c>
      <c r="AH193" s="228">
        <v>4.95</v>
      </c>
      <c r="AI193" s="228">
        <v>4.75</v>
      </c>
      <c r="AJ193" s="228">
        <v>0.2</v>
      </c>
      <c r="AK193" s="229">
        <v>6.1000000000000004E-3</v>
      </c>
      <c r="AL193" s="228">
        <v>0</v>
      </c>
      <c r="AM193" s="228">
        <v>0</v>
      </c>
      <c r="AN193" s="228">
        <v>0</v>
      </c>
      <c r="AO193" s="229">
        <v>0</v>
      </c>
      <c r="AP193" s="228">
        <v>820.21</v>
      </c>
      <c r="AQ193" s="228">
        <v>824</v>
      </c>
      <c r="AR193" s="228">
        <v>0</v>
      </c>
      <c r="AS193" s="230">
        <v>1767</v>
      </c>
      <c r="AT193" s="230">
        <v>1515</v>
      </c>
      <c r="AU193" s="228">
        <v>252</v>
      </c>
      <c r="AV193" s="229">
        <v>0.16650000000000001</v>
      </c>
      <c r="AW193" s="230">
        <v>1398</v>
      </c>
      <c r="AX193" s="230">
        <v>1239</v>
      </c>
      <c r="AY193" s="228">
        <v>159</v>
      </c>
      <c r="AZ193" s="229">
        <v>0.1283</v>
      </c>
      <c r="BA193" s="228">
        <v>351</v>
      </c>
      <c r="BB193" s="228">
        <v>265</v>
      </c>
      <c r="BC193" s="228">
        <v>86</v>
      </c>
      <c r="BD193" s="229">
        <v>0.32300000000000001</v>
      </c>
      <c r="BE193" s="228">
        <v>0</v>
      </c>
      <c r="BF193" s="228">
        <v>0</v>
      </c>
      <c r="BG193" s="228">
        <v>0</v>
      </c>
      <c r="BH193" s="229">
        <v>0</v>
      </c>
      <c r="BI193" s="230">
        <v>7534</v>
      </c>
      <c r="BJ193" s="230">
        <v>7437</v>
      </c>
      <c r="BK193" s="228">
        <v>97</v>
      </c>
      <c r="BL193" s="229">
        <v>1.3100000000000001E-2</v>
      </c>
      <c r="BM193" s="230">
        <v>4080</v>
      </c>
      <c r="BN193" s="230">
        <v>3544</v>
      </c>
      <c r="BO193" s="228">
        <v>537</v>
      </c>
      <c r="BP193" s="229">
        <v>0.1515</v>
      </c>
      <c r="BQ193" s="230">
        <v>13382</v>
      </c>
      <c r="BR193" s="230">
        <v>12496</v>
      </c>
      <c r="BS193" s="228">
        <v>886</v>
      </c>
      <c r="BT193" s="229">
        <v>7.0900000000000005E-2</v>
      </c>
      <c r="BU193" s="230">
        <v>8025527</v>
      </c>
      <c r="BV193" s="230">
        <v>9110760</v>
      </c>
      <c r="BW193" s="230">
        <v>-1085233</v>
      </c>
      <c r="BX193" s="229">
        <v>-0.1191</v>
      </c>
      <c r="BY193" s="230">
        <v>9182</v>
      </c>
      <c r="BZ193" s="230">
        <v>9205</v>
      </c>
      <c r="CA193" s="228">
        <v>-23</v>
      </c>
      <c r="CB193" s="229">
        <v>-2.5000000000000001E-3</v>
      </c>
      <c r="CC193" s="230">
        <v>7568</v>
      </c>
      <c r="CD193" s="230">
        <v>7791</v>
      </c>
      <c r="CE193" s="228">
        <v>-222</v>
      </c>
      <c r="CF193" s="229">
        <v>-2.8500000000000001E-2</v>
      </c>
      <c r="CG193" s="230">
        <v>1544</v>
      </c>
      <c r="CH193" s="230">
        <v>1352</v>
      </c>
      <c r="CI193" s="228">
        <v>192</v>
      </c>
      <c r="CJ193" s="229">
        <v>0.14219999999999999</v>
      </c>
      <c r="CK193" s="228">
        <v>0</v>
      </c>
      <c r="CL193" s="228">
        <v>0</v>
      </c>
      <c r="CM193" s="228">
        <v>0</v>
      </c>
      <c r="CN193" s="229">
        <v>0</v>
      </c>
      <c r="CO193" s="230">
        <v>6886</v>
      </c>
      <c r="CP193" s="230">
        <v>6931</v>
      </c>
      <c r="CQ193" s="228">
        <v>-45</v>
      </c>
      <c r="CR193" s="229">
        <v>-6.4000000000000003E-3</v>
      </c>
      <c r="CS193" s="230">
        <v>3459</v>
      </c>
      <c r="CT193" s="230">
        <v>3474</v>
      </c>
      <c r="CU193" s="228">
        <v>-15</v>
      </c>
      <c r="CV193" s="229">
        <v>-4.1999999999999997E-3</v>
      </c>
      <c r="CW193" s="230">
        <v>19527</v>
      </c>
      <c r="CX193" s="230">
        <v>19609</v>
      </c>
      <c r="CY193" s="228">
        <v>-82</v>
      </c>
      <c r="CZ193" s="229">
        <v>-4.1999999999999997E-3</v>
      </c>
      <c r="DA193" s="228">
        <v>18.829999999999998</v>
      </c>
      <c r="DB193" s="228">
        <v>18.73</v>
      </c>
      <c r="DC193" s="228">
        <v>0.1</v>
      </c>
      <c r="DD193" s="228">
        <v>0.1</v>
      </c>
      <c r="DE193" s="228">
        <v>28.75</v>
      </c>
      <c r="DF193" s="228">
        <v>28.78</v>
      </c>
      <c r="DG193" s="228">
        <v>-9.92</v>
      </c>
      <c r="DH193" s="228">
        <v>-0.03</v>
      </c>
      <c r="DI193" s="228">
        <v>19.16</v>
      </c>
      <c r="DJ193" s="228">
        <v>18.77</v>
      </c>
      <c r="DK193" s="228">
        <v>0.39</v>
      </c>
      <c r="DL193" s="228">
        <v>0.39</v>
      </c>
      <c r="DM193" s="228">
        <v>18.239999999999998</v>
      </c>
      <c r="DN193" s="228">
        <v>18.63</v>
      </c>
      <c r="DO193" s="228">
        <v>-0.39</v>
      </c>
      <c r="DP193" s="228">
        <v>-0.39</v>
      </c>
      <c r="DQ193" s="228">
        <v>0.5</v>
      </c>
      <c r="DR193" s="228">
        <v>0.5</v>
      </c>
      <c r="DS193" s="228">
        <v>0</v>
      </c>
      <c r="DT193" s="229">
        <v>0</v>
      </c>
      <c r="DU193" s="228">
        <v>820</v>
      </c>
      <c r="DV193" s="228">
        <v>820</v>
      </c>
      <c r="DW193" s="228">
        <v>0.54</v>
      </c>
      <c r="DX193" s="228">
        <v>0.48</v>
      </c>
      <c r="DY193" s="228">
        <v>0.06</v>
      </c>
      <c r="DZ193" s="229">
        <v>0.125</v>
      </c>
      <c r="EA193" s="229">
        <v>0.16819999999999999</v>
      </c>
      <c r="EB193" s="230">
        <v>16568250</v>
      </c>
      <c r="EC193" s="229">
        <v>5.0000000000000001E-3</v>
      </c>
      <c r="ED193" s="229">
        <v>0.16819999999999999</v>
      </c>
      <c r="EE193" s="228">
        <v>3.79</v>
      </c>
      <c r="EF193" s="229">
        <v>4.5999999999999999E-3</v>
      </c>
      <c r="EG193" s="230">
        <v>4693707</v>
      </c>
      <c r="EH193" s="230">
        <v>5854487</v>
      </c>
      <c r="EI193" s="229">
        <v>-0.1983</v>
      </c>
      <c r="EJ193" s="229">
        <v>0.58479999999999999</v>
      </c>
      <c r="EK193" s="231">
        <v>7796.64</v>
      </c>
      <c r="EL193" s="231">
        <v>4075.43</v>
      </c>
      <c r="EM193" s="231">
        <v>1778.76</v>
      </c>
      <c r="EN193" s="228">
        <v>0</v>
      </c>
      <c r="EO193" s="231">
        <v>13650.83</v>
      </c>
      <c r="EP193" s="231">
        <v>12831.78</v>
      </c>
      <c r="EQ193" s="228">
        <v>819.05</v>
      </c>
      <c r="ER193" s="229">
        <v>6.3799999999999996E-2</v>
      </c>
      <c r="ES193" s="231">
        <v>7098.67</v>
      </c>
      <c r="ET193" s="231">
        <v>3408.67</v>
      </c>
      <c r="EU193" s="231">
        <v>9190.06</v>
      </c>
      <c r="EV193" s="231">
        <v>753011455</v>
      </c>
      <c r="EW193" s="231">
        <v>19697.400000000001</v>
      </c>
      <c r="EX193" s="231">
        <v>19888.48</v>
      </c>
      <c r="EY193" s="228">
        <v>-191.08</v>
      </c>
      <c r="EZ193" s="229">
        <v>-9.5999999999999992E-3</v>
      </c>
      <c r="FA193" s="229">
        <v>0.31790000000000002</v>
      </c>
      <c r="FB193" s="227" t="s">
        <v>568</v>
      </c>
      <c r="FC193">
        <f t="shared" si="3"/>
        <v>0</v>
      </c>
    </row>
    <row r="194" spans="1:159" ht="17.25" thickBot="1" x14ac:dyDescent="0.3">
      <c r="A194" s="226">
        <v>45860</v>
      </c>
      <c r="B194" s="227" t="s">
        <v>157</v>
      </c>
      <c r="C194" s="227" t="s">
        <v>284</v>
      </c>
      <c r="D194" s="228">
        <v>25</v>
      </c>
      <c r="E194" s="228">
        <v>9</v>
      </c>
      <c r="F194" s="231">
        <v>32445</v>
      </c>
      <c r="G194" s="231">
        <v>31635</v>
      </c>
      <c r="H194" s="228">
        <v>810</v>
      </c>
      <c r="I194" s="229">
        <v>2.5600000000000001E-2</v>
      </c>
      <c r="J194" s="231">
        <v>32345</v>
      </c>
      <c r="K194" s="231">
        <v>31535</v>
      </c>
      <c r="L194" s="228">
        <v>810</v>
      </c>
      <c r="M194" s="229">
        <v>2.5700000000000001E-2</v>
      </c>
      <c r="N194" s="231">
        <v>32445</v>
      </c>
      <c r="O194" s="231">
        <v>31635</v>
      </c>
      <c r="P194" s="228">
        <v>810</v>
      </c>
      <c r="Q194" s="229">
        <v>2.5600000000000001E-2</v>
      </c>
      <c r="R194" s="231">
        <v>32345</v>
      </c>
      <c r="S194" s="231">
        <v>31450</v>
      </c>
      <c r="T194" s="228">
        <v>895</v>
      </c>
      <c r="U194" s="229">
        <v>2.8500000000000001E-2</v>
      </c>
      <c r="V194" s="228">
        <v>0</v>
      </c>
      <c r="W194" s="228">
        <v>0</v>
      </c>
      <c r="X194" s="228">
        <v>0</v>
      </c>
      <c r="Y194" s="229">
        <v>0</v>
      </c>
      <c r="Z194" s="228">
        <v>100</v>
      </c>
      <c r="AA194" s="228">
        <v>100</v>
      </c>
      <c r="AB194" s="228">
        <v>0</v>
      </c>
      <c r="AC194" s="229">
        <v>3.0999999999999999E-3</v>
      </c>
      <c r="AD194" s="228">
        <v>100</v>
      </c>
      <c r="AE194" s="228">
        <v>100</v>
      </c>
      <c r="AF194" s="228">
        <v>0</v>
      </c>
      <c r="AG194" s="229">
        <v>3.0999999999999999E-3</v>
      </c>
      <c r="AH194" s="228">
        <v>0</v>
      </c>
      <c r="AI194" s="228">
        <v>-85</v>
      </c>
      <c r="AJ194" s="228">
        <v>85</v>
      </c>
      <c r="AK194" s="229">
        <v>0</v>
      </c>
      <c r="AL194" s="228">
        <v>0</v>
      </c>
      <c r="AM194" s="228">
        <v>0</v>
      </c>
      <c r="AN194" s="228">
        <v>0</v>
      </c>
      <c r="AO194" s="229">
        <v>0</v>
      </c>
      <c r="AP194" s="231">
        <v>32220.76</v>
      </c>
      <c r="AQ194" s="231">
        <v>32058.26</v>
      </c>
      <c r="AR194" s="228">
        <v>0</v>
      </c>
      <c r="AS194" s="228">
        <v>428</v>
      </c>
      <c r="AT194" s="228">
        <v>314</v>
      </c>
      <c r="AU194" s="228">
        <v>114</v>
      </c>
      <c r="AV194" s="229">
        <v>0.36320000000000002</v>
      </c>
      <c r="AW194" s="228">
        <v>313</v>
      </c>
      <c r="AX194" s="228">
        <v>255</v>
      </c>
      <c r="AY194" s="228">
        <v>58</v>
      </c>
      <c r="AZ194" s="229">
        <v>0.2258</v>
      </c>
      <c r="BA194" s="228">
        <v>114</v>
      </c>
      <c r="BB194" s="228">
        <v>58</v>
      </c>
      <c r="BC194" s="228">
        <v>55</v>
      </c>
      <c r="BD194" s="229">
        <v>0.94710000000000005</v>
      </c>
      <c r="BE194" s="228">
        <v>0</v>
      </c>
      <c r="BF194" s="228">
        <v>0</v>
      </c>
      <c r="BG194" s="228">
        <v>0</v>
      </c>
      <c r="BH194" s="229">
        <v>0</v>
      </c>
      <c r="BI194" s="230">
        <v>3051</v>
      </c>
      <c r="BJ194" s="228">
        <v>717</v>
      </c>
      <c r="BK194" s="230">
        <v>2334</v>
      </c>
      <c r="BL194" s="229">
        <v>3.2544</v>
      </c>
      <c r="BM194" s="228">
        <v>602</v>
      </c>
      <c r="BN194" s="228">
        <v>143</v>
      </c>
      <c r="BO194" s="228">
        <v>459</v>
      </c>
      <c r="BP194" s="229">
        <v>3.2105999999999999</v>
      </c>
      <c r="BQ194" s="230">
        <v>4081</v>
      </c>
      <c r="BR194" s="230">
        <v>1174</v>
      </c>
      <c r="BS194" s="230">
        <v>2907</v>
      </c>
      <c r="BT194" s="229">
        <v>2.4758</v>
      </c>
      <c r="BU194" s="230">
        <v>62069</v>
      </c>
      <c r="BV194" s="230">
        <v>49666</v>
      </c>
      <c r="BW194" s="230">
        <v>12403</v>
      </c>
      <c r="BX194" s="229">
        <v>0.24970000000000001</v>
      </c>
      <c r="BY194" s="228">
        <v>912</v>
      </c>
      <c r="BZ194" s="228">
        <v>836</v>
      </c>
      <c r="CA194" s="228">
        <v>76</v>
      </c>
      <c r="CB194" s="229">
        <v>9.0999999999999998E-2</v>
      </c>
      <c r="CC194" s="228">
        <v>751</v>
      </c>
      <c r="CD194" s="228">
        <v>743</v>
      </c>
      <c r="CE194" s="228">
        <v>8</v>
      </c>
      <c r="CF194" s="229">
        <v>1.0800000000000001E-2</v>
      </c>
      <c r="CG194" s="228">
        <v>159</v>
      </c>
      <c r="CH194" s="228">
        <v>92</v>
      </c>
      <c r="CI194" s="228">
        <v>67</v>
      </c>
      <c r="CJ194" s="229">
        <v>0.73599999999999999</v>
      </c>
      <c r="CK194" s="228">
        <v>0</v>
      </c>
      <c r="CL194" s="228">
        <v>0</v>
      </c>
      <c r="CM194" s="228">
        <v>0</v>
      </c>
      <c r="CN194" s="229">
        <v>0</v>
      </c>
      <c r="CO194" s="228">
        <v>451</v>
      </c>
      <c r="CP194" s="228">
        <v>303</v>
      </c>
      <c r="CQ194" s="228">
        <v>148</v>
      </c>
      <c r="CR194" s="229">
        <v>0.48770000000000002</v>
      </c>
      <c r="CS194" s="228">
        <v>284</v>
      </c>
      <c r="CT194" s="228">
        <v>207</v>
      </c>
      <c r="CU194" s="228">
        <v>78</v>
      </c>
      <c r="CV194" s="229">
        <v>0.37480000000000002</v>
      </c>
      <c r="CW194" s="230">
        <v>1647</v>
      </c>
      <c r="CX194" s="230">
        <v>1345</v>
      </c>
      <c r="CY194" s="228">
        <v>301</v>
      </c>
      <c r="CZ194" s="229">
        <v>0.22389999999999999</v>
      </c>
      <c r="DA194" s="228">
        <v>25.46</v>
      </c>
      <c r="DB194" s="228">
        <v>24.11</v>
      </c>
      <c r="DC194" s="228">
        <v>1.35</v>
      </c>
      <c r="DD194" s="228">
        <v>1.35</v>
      </c>
      <c r="DE194" s="228">
        <v>27.56</v>
      </c>
      <c r="DF194" s="228">
        <v>27.41</v>
      </c>
      <c r="DG194" s="228">
        <v>-2.1</v>
      </c>
      <c r="DH194" s="228">
        <v>0.15</v>
      </c>
      <c r="DI194" s="228">
        <v>25.24</v>
      </c>
      <c r="DJ194" s="228">
        <v>23.98</v>
      </c>
      <c r="DK194" s="228">
        <v>1.26</v>
      </c>
      <c r="DL194" s="228">
        <v>1.26</v>
      </c>
      <c r="DM194" s="228">
        <v>26.58</v>
      </c>
      <c r="DN194" s="228">
        <v>24.71</v>
      </c>
      <c r="DO194" s="228">
        <v>1.87</v>
      </c>
      <c r="DP194" s="228">
        <v>1.87</v>
      </c>
      <c r="DQ194" s="228">
        <v>0.63</v>
      </c>
      <c r="DR194" s="228">
        <v>0.68</v>
      </c>
      <c r="DS194" s="228">
        <v>-0.05</v>
      </c>
      <c r="DT194" s="229">
        <v>-7.3499999999999996E-2</v>
      </c>
      <c r="DU194" s="231">
        <v>33000</v>
      </c>
      <c r="DV194" s="231">
        <v>30000</v>
      </c>
      <c r="DW194" s="228">
        <v>0.2</v>
      </c>
      <c r="DX194" s="228">
        <v>0.2</v>
      </c>
      <c r="DY194" s="228">
        <v>0</v>
      </c>
      <c r="DZ194" s="229">
        <v>0</v>
      </c>
      <c r="EA194" s="229">
        <v>0.1744</v>
      </c>
      <c r="EB194" s="230">
        <v>28225</v>
      </c>
      <c r="EC194" s="229">
        <v>-3.0999999999999999E-3</v>
      </c>
      <c r="ED194" s="229">
        <v>0.1744</v>
      </c>
      <c r="EE194" s="228">
        <v>-162.5</v>
      </c>
      <c r="EF194" s="229">
        <v>-5.0000000000000001E-3</v>
      </c>
      <c r="EG194" s="230">
        <v>29213</v>
      </c>
      <c r="EH194" s="230">
        <v>24904</v>
      </c>
      <c r="EI194" s="229">
        <v>0.17299999999999999</v>
      </c>
      <c r="EJ194" s="229">
        <v>0.47070000000000001</v>
      </c>
      <c r="EK194" s="231">
        <v>3131.5</v>
      </c>
      <c r="EL194" s="228">
        <v>584.38</v>
      </c>
      <c r="EM194" s="228">
        <v>424.49</v>
      </c>
      <c r="EN194" s="228">
        <v>0</v>
      </c>
      <c r="EO194" s="231">
        <v>4140.37</v>
      </c>
      <c r="EP194" s="231">
        <v>1156.6300000000001</v>
      </c>
      <c r="EQ194" s="231">
        <v>2983.74</v>
      </c>
      <c r="ER194" s="229">
        <v>2.5796999999999999</v>
      </c>
      <c r="ES194" s="228">
        <v>458.21</v>
      </c>
      <c r="ET194" s="228">
        <v>264.44</v>
      </c>
      <c r="EU194" s="228">
        <v>911.12</v>
      </c>
      <c r="EV194" s="231">
        <v>2702310</v>
      </c>
      <c r="EW194" s="231">
        <v>1633.77</v>
      </c>
      <c r="EX194" s="231">
        <v>1307.71</v>
      </c>
      <c r="EY194" s="228">
        <v>326.06</v>
      </c>
      <c r="EZ194" s="229">
        <v>0.24929999999999999</v>
      </c>
      <c r="FA194" s="229">
        <v>0.18779999999999999</v>
      </c>
      <c r="FB194" s="227" t="s">
        <v>555</v>
      </c>
      <c r="FC194">
        <f t="shared" si="3"/>
        <v>0</v>
      </c>
    </row>
    <row r="195" spans="1:159" ht="17.25" thickBot="1" x14ac:dyDescent="0.3">
      <c r="A195" s="226">
        <v>45860</v>
      </c>
      <c r="B195" s="227" t="s">
        <v>175</v>
      </c>
      <c r="C195" s="227" t="s">
        <v>562</v>
      </c>
      <c r="D195" s="228">
        <v>825</v>
      </c>
      <c r="E195" s="228">
        <v>9</v>
      </c>
      <c r="F195" s="228">
        <v>642.15</v>
      </c>
      <c r="G195" s="228">
        <v>656.8</v>
      </c>
      <c r="H195" s="228">
        <v>-14.65</v>
      </c>
      <c r="I195" s="229">
        <v>-2.23E-2</v>
      </c>
      <c r="J195" s="228">
        <v>640.15</v>
      </c>
      <c r="K195" s="228">
        <v>655.65</v>
      </c>
      <c r="L195" s="228">
        <v>-15.5</v>
      </c>
      <c r="M195" s="229">
        <v>-2.3599999999999999E-2</v>
      </c>
      <c r="N195" s="228">
        <v>642.15</v>
      </c>
      <c r="O195" s="228">
        <v>656.8</v>
      </c>
      <c r="P195" s="228">
        <v>-14.65</v>
      </c>
      <c r="Q195" s="229">
        <v>-2.23E-2</v>
      </c>
      <c r="R195" s="228">
        <v>645.1</v>
      </c>
      <c r="S195" s="228">
        <v>659.85</v>
      </c>
      <c r="T195" s="228">
        <v>-14.75</v>
      </c>
      <c r="U195" s="229">
        <v>-2.24E-2</v>
      </c>
      <c r="V195" s="228">
        <v>0</v>
      </c>
      <c r="W195" s="228">
        <v>0</v>
      </c>
      <c r="X195" s="228">
        <v>0</v>
      </c>
      <c r="Y195" s="229">
        <v>0</v>
      </c>
      <c r="Z195" s="228">
        <v>2</v>
      </c>
      <c r="AA195" s="228">
        <v>1.1499999999999999</v>
      </c>
      <c r="AB195" s="228">
        <v>0.85</v>
      </c>
      <c r="AC195" s="229">
        <v>3.0999999999999999E-3</v>
      </c>
      <c r="AD195" s="228">
        <v>2</v>
      </c>
      <c r="AE195" s="228">
        <v>1.1499999999999999</v>
      </c>
      <c r="AF195" s="228">
        <v>0.85</v>
      </c>
      <c r="AG195" s="229">
        <v>3.0999999999999999E-3</v>
      </c>
      <c r="AH195" s="228">
        <v>4.95</v>
      </c>
      <c r="AI195" s="228">
        <v>4.2</v>
      </c>
      <c r="AJ195" s="228">
        <v>0.75</v>
      </c>
      <c r="AK195" s="229">
        <v>7.7000000000000002E-3</v>
      </c>
      <c r="AL195" s="228">
        <v>0</v>
      </c>
      <c r="AM195" s="228">
        <v>0</v>
      </c>
      <c r="AN195" s="228">
        <v>0</v>
      </c>
      <c r="AO195" s="229">
        <v>0</v>
      </c>
      <c r="AP195" s="228">
        <v>645.96</v>
      </c>
      <c r="AQ195" s="228">
        <v>647.41</v>
      </c>
      <c r="AR195" s="228">
        <v>0</v>
      </c>
      <c r="AS195" s="228">
        <v>457</v>
      </c>
      <c r="AT195" s="228">
        <v>482</v>
      </c>
      <c r="AU195" s="228">
        <v>-25</v>
      </c>
      <c r="AV195" s="229">
        <v>-5.11E-2</v>
      </c>
      <c r="AW195" s="228">
        <v>307</v>
      </c>
      <c r="AX195" s="228">
        <v>401</v>
      </c>
      <c r="AY195" s="228">
        <v>-93</v>
      </c>
      <c r="AZ195" s="229">
        <v>-0.23230000000000001</v>
      </c>
      <c r="BA195" s="228">
        <v>87</v>
      </c>
      <c r="BB195" s="228">
        <v>75</v>
      </c>
      <c r="BC195" s="228">
        <v>13</v>
      </c>
      <c r="BD195" s="229">
        <v>0.16750000000000001</v>
      </c>
      <c r="BE195" s="228">
        <v>0</v>
      </c>
      <c r="BF195" s="228">
        <v>0</v>
      </c>
      <c r="BG195" s="228">
        <v>0</v>
      </c>
      <c r="BH195" s="229">
        <v>0</v>
      </c>
      <c r="BI195" s="228">
        <v>512</v>
      </c>
      <c r="BJ195" s="228">
        <v>854</v>
      </c>
      <c r="BK195" s="228">
        <v>-342</v>
      </c>
      <c r="BL195" s="229">
        <v>-0.40010000000000001</v>
      </c>
      <c r="BM195" s="228">
        <v>210</v>
      </c>
      <c r="BN195" s="228">
        <v>358</v>
      </c>
      <c r="BO195" s="228">
        <v>-148</v>
      </c>
      <c r="BP195" s="229">
        <v>-0.41220000000000001</v>
      </c>
      <c r="BQ195" s="230">
        <v>1180</v>
      </c>
      <c r="BR195" s="230">
        <v>1693</v>
      </c>
      <c r="BS195" s="228">
        <v>-514</v>
      </c>
      <c r="BT195" s="229">
        <v>-0.3034</v>
      </c>
      <c r="BU195" s="230">
        <v>4801325</v>
      </c>
      <c r="BV195" s="230">
        <v>5064679</v>
      </c>
      <c r="BW195" s="230">
        <v>-263354</v>
      </c>
      <c r="BX195" s="229">
        <v>-5.1999999999999998E-2</v>
      </c>
      <c r="BY195" s="230">
        <v>2572</v>
      </c>
      <c r="BZ195" s="230">
        <v>2542</v>
      </c>
      <c r="CA195" s="228">
        <v>30</v>
      </c>
      <c r="CB195" s="229">
        <v>1.1599999999999999E-2</v>
      </c>
      <c r="CC195" s="230">
        <v>2268</v>
      </c>
      <c r="CD195" s="230">
        <v>2349</v>
      </c>
      <c r="CE195" s="228">
        <v>-81</v>
      </c>
      <c r="CF195" s="229">
        <v>-3.44E-2</v>
      </c>
      <c r="CG195" s="228">
        <v>226</v>
      </c>
      <c r="CH195" s="228">
        <v>174</v>
      </c>
      <c r="CI195" s="228">
        <v>52</v>
      </c>
      <c r="CJ195" s="229">
        <v>0.29909999999999998</v>
      </c>
      <c r="CK195" s="228">
        <v>0</v>
      </c>
      <c r="CL195" s="228">
        <v>0</v>
      </c>
      <c r="CM195" s="228">
        <v>0</v>
      </c>
      <c r="CN195" s="229">
        <v>0</v>
      </c>
      <c r="CO195" s="228">
        <v>765</v>
      </c>
      <c r="CP195" s="228">
        <v>735</v>
      </c>
      <c r="CQ195" s="228">
        <v>30</v>
      </c>
      <c r="CR195" s="229">
        <v>4.0800000000000003E-2</v>
      </c>
      <c r="CS195" s="228">
        <v>447</v>
      </c>
      <c r="CT195" s="228">
        <v>433</v>
      </c>
      <c r="CU195" s="228">
        <v>14</v>
      </c>
      <c r="CV195" s="229">
        <v>3.1300000000000001E-2</v>
      </c>
      <c r="CW195" s="230">
        <v>3783</v>
      </c>
      <c r="CX195" s="230">
        <v>3710</v>
      </c>
      <c r="CY195" s="228">
        <v>73</v>
      </c>
      <c r="CZ195" s="229">
        <v>1.9699999999999999E-2</v>
      </c>
      <c r="DA195" s="228">
        <v>44.67</v>
      </c>
      <c r="DB195" s="228">
        <v>42.12</v>
      </c>
      <c r="DC195" s="228">
        <v>2.5499999999999998</v>
      </c>
      <c r="DD195" s="228">
        <v>2.5499999999999998</v>
      </c>
      <c r="DE195" s="228">
        <v>43.05</v>
      </c>
      <c r="DF195" s="228">
        <v>43.04</v>
      </c>
      <c r="DG195" s="228">
        <v>1.62</v>
      </c>
      <c r="DH195" s="228">
        <v>0.01</v>
      </c>
      <c r="DI195" s="228">
        <v>45.32</v>
      </c>
      <c r="DJ195" s="228">
        <v>42.24</v>
      </c>
      <c r="DK195" s="228">
        <v>3.08</v>
      </c>
      <c r="DL195" s="228">
        <v>3.08</v>
      </c>
      <c r="DM195" s="228">
        <v>43.07</v>
      </c>
      <c r="DN195" s="228">
        <v>41.83</v>
      </c>
      <c r="DO195" s="228">
        <v>1.24</v>
      </c>
      <c r="DP195" s="228">
        <v>1.24</v>
      </c>
      <c r="DQ195" s="228">
        <v>0.57999999999999996</v>
      </c>
      <c r="DR195" s="228">
        <v>0.59</v>
      </c>
      <c r="DS195" s="228">
        <v>-0.01</v>
      </c>
      <c r="DT195" s="229">
        <v>-1.6899999999999998E-2</v>
      </c>
      <c r="DU195" s="228">
        <v>700</v>
      </c>
      <c r="DV195" s="228">
        <v>650</v>
      </c>
      <c r="DW195" s="228">
        <v>0.41</v>
      </c>
      <c r="DX195" s="228">
        <v>0.42</v>
      </c>
      <c r="DY195" s="228">
        <v>-0.01</v>
      </c>
      <c r="DZ195" s="229">
        <v>-2.3800000000000002E-2</v>
      </c>
      <c r="EA195" s="229">
        <v>8.7999999999999995E-2</v>
      </c>
      <c r="EB195" s="230">
        <v>2714250</v>
      </c>
      <c r="EC195" s="229">
        <v>4.5999999999999999E-3</v>
      </c>
      <c r="ED195" s="229">
        <v>8.7999999999999995E-2</v>
      </c>
      <c r="EE195" s="228">
        <v>1.45</v>
      </c>
      <c r="EF195" s="229">
        <v>2.2000000000000001E-3</v>
      </c>
      <c r="EG195" s="230">
        <v>3122004</v>
      </c>
      <c r="EH195" s="230">
        <v>2462627</v>
      </c>
      <c r="EI195" s="229">
        <v>0.26779999999999998</v>
      </c>
      <c r="EJ195" s="229">
        <v>0.6502</v>
      </c>
      <c r="EK195" s="228">
        <v>550.23</v>
      </c>
      <c r="EL195" s="228">
        <v>212.24</v>
      </c>
      <c r="EM195" s="228">
        <v>460.8</v>
      </c>
      <c r="EN195" s="228">
        <v>0</v>
      </c>
      <c r="EO195" s="231">
        <v>1223.26</v>
      </c>
      <c r="EP195" s="231">
        <v>1761.55</v>
      </c>
      <c r="EQ195" s="228">
        <v>-538.28</v>
      </c>
      <c r="ER195" s="229">
        <v>-0.30559999999999998</v>
      </c>
      <c r="ES195" s="228">
        <v>834.45</v>
      </c>
      <c r="ET195" s="228">
        <v>448.15</v>
      </c>
      <c r="EU195" s="231">
        <v>2573.7600000000002</v>
      </c>
      <c r="EV195" s="231">
        <v>280560500</v>
      </c>
      <c r="EW195" s="231">
        <v>3856.35</v>
      </c>
      <c r="EX195" s="231">
        <v>3841.36</v>
      </c>
      <c r="EY195" s="228">
        <v>14.99</v>
      </c>
      <c r="EZ195" s="229">
        <v>3.8999999999999998E-3</v>
      </c>
      <c r="FA195" s="229">
        <v>0.21</v>
      </c>
      <c r="FB195" s="227" t="s">
        <v>567</v>
      </c>
      <c r="FC195">
        <f t="shared" ref="FC195:FC258" si="4">BY277-CC277</f>
        <v>0</v>
      </c>
    </row>
    <row r="196" spans="1:159" ht="17.25" thickBot="1" x14ac:dyDescent="0.3">
      <c r="A196" s="226">
        <v>45860</v>
      </c>
      <c r="B196" s="227" t="s">
        <v>184</v>
      </c>
      <c r="C196" s="227" t="s">
        <v>285</v>
      </c>
      <c r="D196" s="228">
        <v>125</v>
      </c>
      <c r="E196" s="228">
        <v>9</v>
      </c>
      <c r="F196" s="231">
        <v>3142.2</v>
      </c>
      <c r="G196" s="231">
        <v>3161</v>
      </c>
      <c r="H196" s="228">
        <v>-18.8</v>
      </c>
      <c r="I196" s="229">
        <v>-5.8999999999999999E-3</v>
      </c>
      <c r="J196" s="231">
        <v>3141.8</v>
      </c>
      <c r="K196" s="231">
        <v>3154.8</v>
      </c>
      <c r="L196" s="228">
        <v>-13</v>
      </c>
      <c r="M196" s="229">
        <v>-4.1000000000000003E-3</v>
      </c>
      <c r="N196" s="231">
        <v>3142.2</v>
      </c>
      <c r="O196" s="231">
        <v>3161</v>
      </c>
      <c r="P196" s="228">
        <v>-18.8</v>
      </c>
      <c r="Q196" s="229">
        <v>-5.8999999999999999E-3</v>
      </c>
      <c r="R196" s="231">
        <v>3156</v>
      </c>
      <c r="S196" s="231">
        <v>3176.3</v>
      </c>
      <c r="T196" s="228">
        <v>-20.3</v>
      </c>
      <c r="U196" s="229">
        <v>-6.4000000000000003E-3</v>
      </c>
      <c r="V196" s="228">
        <v>0</v>
      </c>
      <c r="W196" s="228">
        <v>0</v>
      </c>
      <c r="X196" s="228">
        <v>0</v>
      </c>
      <c r="Y196" s="229">
        <v>0</v>
      </c>
      <c r="Z196" s="228">
        <v>0.4</v>
      </c>
      <c r="AA196" s="228">
        <v>6.2</v>
      </c>
      <c r="AB196" s="228">
        <v>-5.8</v>
      </c>
      <c r="AC196" s="229">
        <v>1E-4</v>
      </c>
      <c r="AD196" s="228">
        <v>0.4</v>
      </c>
      <c r="AE196" s="228">
        <v>6.2</v>
      </c>
      <c r="AF196" s="228">
        <v>-5.8</v>
      </c>
      <c r="AG196" s="229">
        <v>1E-4</v>
      </c>
      <c r="AH196" s="228">
        <v>14.2</v>
      </c>
      <c r="AI196" s="228">
        <v>21.5</v>
      </c>
      <c r="AJ196" s="228">
        <v>-7.3</v>
      </c>
      <c r="AK196" s="229">
        <v>4.4999999999999997E-3</v>
      </c>
      <c r="AL196" s="228">
        <v>0</v>
      </c>
      <c r="AM196" s="228">
        <v>0</v>
      </c>
      <c r="AN196" s="228">
        <v>0</v>
      </c>
      <c r="AO196" s="229">
        <v>0</v>
      </c>
      <c r="AP196" s="231">
        <v>3145.05</v>
      </c>
      <c r="AQ196" s="231">
        <v>3157.39</v>
      </c>
      <c r="AR196" s="228">
        <v>0</v>
      </c>
      <c r="AS196" s="228">
        <v>124</v>
      </c>
      <c r="AT196" s="228">
        <v>124</v>
      </c>
      <c r="AU196" s="228">
        <v>0</v>
      </c>
      <c r="AV196" s="229">
        <v>2.5000000000000001E-3</v>
      </c>
      <c r="AW196" s="228">
        <v>107</v>
      </c>
      <c r="AX196" s="228">
        <v>101</v>
      </c>
      <c r="AY196" s="228">
        <v>6</v>
      </c>
      <c r="AZ196" s="229">
        <v>5.4600000000000003E-2</v>
      </c>
      <c r="BA196" s="228">
        <v>16</v>
      </c>
      <c r="BB196" s="228">
        <v>21</v>
      </c>
      <c r="BC196" s="228">
        <v>-4</v>
      </c>
      <c r="BD196" s="229">
        <v>-0.2117</v>
      </c>
      <c r="BE196" s="228">
        <v>0</v>
      </c>
      <c r="BF196" s="228">
        <v>0</v>
      </c>
      <c r="BG196" s="228">
        <v>0</v>
      </c>
      <c r="BH196" s="229">
        <v>0</v>
      </c>
      <c r="BI196" s="228">
        <v>534</v>
      </c>
      <c r="BJ196" s="228">
        <v>641</v>
      </c>
      <c r="BK196" s="228">
        <v>-107</v>
      </c>
      <c r="BL196" s="229">
        <v>-0.16650000000000001</v>
      </c>
      <c r="BM196" s="228">
        <v>169</v>
      </c>
      <c r="BN196" s="228">
        <v>181</v>
      </c>
      <c r="BO196" s="228">
        <v>-13</v>
      </c>
      <c r="BP196" s="229">
        <v>-6.93E-2</v>
      </c>
      <c r="BQ196" s="228">
        <v>827</v>
      </c>
      <c r="BR196" s="228">
        <v>946</v>
      </c>
      <c r="BS196" s="228">
        <v>-119</v>
      </c>
      <c r="BT196" s="229">
        <v>-0.12570000000000001</v>
      </c>
      <c r="BU196" s="230">
        <v>358628</v>
      </c>
      <c r="BV196" s="230">
        <v>269365</v>
      </c>
      <c r="BW196" s="230">
        <v>89263</v>
      </c>
      <c r="BX196" s="229">
        <v>0.33139999999999997</v>
      </c>
      <c r="BY196" s="228">
        <v>779</v>
      </c>
      <c r="BZ196" s="228">
        <v>780</v>
      </c>
      <c r="CA196" s="228">
        <v>-1</v>
      </c>
      <c r="CB196" s="229">
        <v>-8.0000000000000004E-4</v>
      </c>
      <c r="CC196" s="228">
        <v>689</v>
      </c>
      <c r="CD196" s="228">
        <v>693</v>
      </c>
      <c r="CE196" s="228">
        <v>-4</v>
      </c>
      <c r="CF196" s="229">
        <v>-5.7999999999999996E-3</v>
      </c>
      <c r="CG196" s="228">
        <v>81</v>
      </c>
      <c r="CH196" s="228">
        <v>78</v>
      </c>
      <c r="CI196" s="228">
        <v>3</v>
      </c>
      <c r="CJ196" s="229">
        <v>4.3099999999999999E-2</v>
      </c>
      <c r="CK196" s="228">
        <v>0</v>
      </c>
      <c r="CL196" s="228">
        <v>0</v>
      </c>
      <c r="CM196" s="228">
        <v>0</v>
      </c>
      <c r="CN196" s="229">
        <v>0</v>
      </c>
      <c r="CO196" s="228">
        <v>702</v>
      </c>
      <c r="CP196" s="228">
        <v>733</v>
      </c>
      <c r="CQ196" s="228">
        <v>-30</v>
      </c>
      <c r="CR196" s="229">
        <v>-4.1099999999999998E-2</v>
      </c>
      <c r="CS196" s="228">
        <v>245</v>
      </c>
      <c r="CT196" s="228">
        <v>263</v>
      </c>
      <c r="CU196" s="228">
        <v>-19</v>
      </c>
      <c r="CV196" s="229">
        <v>-7.0499999999999993E-2</v>
      </c>
      <c r="CW196" s="230">
        <v>1726</v>
      </c>
      <c r="CX196" s="230">
        <v>1776</v>
      </c>
      <c r="CY196" s="228">
        <v>-49</v>
      </c>
      <c r="CZ196" s="229">
        <v>-2.7799999999999998E-2</v>
      </c>
      <c r="DA196" s="228">
        <v>33.409999999999997</v>
      </c>
      <c r="DB196" s="228">
        <v>33.840000000000003</v>
      </c>
      <c r="DC196" s="228">
        <v>-0.43</v>
      </c>
      <c r="DD196" s="228">
        <v>-0.43</v>
      </c>
      <c r="DE196" s="228">
        <v>43.08</v>
      </c>
      <c r="DF196" s="228">
        <v>43.18</v>
      </c>
      <c r="DG196" s="228">
        <v>-9.67</v>
      </c>
      <c r="DH196" s="228">
        <v>-0.1</v>
      </c>
      <c r="DI196" s="228">
        <v>34.36</v>
      </c>
      <c r="DJ196" s="228">
        <v>34.5</v>
      </c>
      <c r="DK196" s="228">
        <v>-0.14000000000000001</v>
      </c>
      <c r="DL196" s="228">
        <v>-0.14000000000000001</v>
      </c>
      <c r="DM196" s="228">
        <v>30.39</v>
      </c>
      <c r="DN196" s="228">
        <v>31.49</v>
      </c>
      <c r="DO196" s="228">
        <v>-1.1000000000000001</v>
      </c>
      <c r="DP196" s="228">
        <v>-1.1000000000000001</v>
      </c>
      <c r="DQ196" s="228">
        <v>0.35</v>
      </c>
      <c r="DR196" s="228">
        <v>0.36</v>
      </c>
      <c r="DS196" s="228">
        <v>-0.01</v>
      </c>
      <c r="DT196" s="229">
        <v>-2.7799999999999998E-2</v>
      </c>
      <c r="DU196" s="231">
        <v>3300</v>
      </c>
      <c r="DV196" s="231">
        <v>3000</v>
      </c>
      <c r="DW196" s="228">
        <v>0.32</v>
      </c>
      <c r="DX196" s="228">
        <v>0.28000000000000003</v>
      </c>
      <c r="DY196" s="228">
        <v>0.04</v>
      </c>
      <c r="DZ196" s="229">
        <v>0.1429</v>
      </c>
      <c r="EA196" s="229">
        <v>0.1038</v>
      </c>
      <c r="EB196" s="230">
        <v>246750</v>
      </c>
      <c r="EC196" s="229">
        <v>4.4000000000000003E-3</v>
      </c>
      <c r="ED196" s="229">
        <v>0.1038</v>
      </c>
      <c r="EE196" s="228">
        <v>12.34</v>
      </c>
      <c r="EF196" s="229">
        <v>3.8999999999999998E-3</v>
      </c>
      <c r="EG196" s="230">
        <v>169267</v>
      </c>
      <c r="EH196" s="230">
        <v>102446</v>
      </c>
      <c r="EI196" s="229">
        <v>0.65229999999999999</v>
      </c>
      <c r="EJ196" s="229">
        <v>0.47199999999999998</v>
      </c>
      <c r="EK196" s="228">
        <v>569.09</v>
      </c>
      <c r="EL196" s="228">
        <v>168.12</v>
      </c>
      <c r="EM196" s="228">
        <v>124.06</v>
      </c>
      <c r="EN196" s="228">
        <v>0</v>
      </c>
      <c r="EO196" s="228">
        <v>861.27</v>
      </c>
      <c r="EP196" s="228">
        <v>982.06</v>
      </c>
      <c r="EQ196" s="228">
        <v>-120.78</v>
      </c>
      <c r="ER196" s="229">
        <v>-0.123</v>
      </c>
      <c r="ES196" s="228">
        <v>760.59</v>
      </c>
      <c r="ET196" s="228">
        <v>238.09</v>
      </c>
      <c r="EU196" s="228">
        <v>779.55</v>
      </c>
      <c r="EV196" s="231">
        <v>17806118</v>
      </c>
      <c r="EW196" s="231">
        <v>1778.22</v>
      </c>
      <c r="EX196" s="231">
        <v>1835.34</v>
      </c>
      <c r="EY196" s="228">
        <v>-57.12</v>
      </c>
      <c r="EZ196" s="229">
        <v>-3.1099999999999999E-2</v>
      </c>
      <c r="FA196" s="229">
        <v>0.30859999999999999</v>
      </c>
      <c r="FB196" s="227" t="s">
        <v>568</v>
      </c>
      <c r="FC196">
        <f t="shared" si="4"/>
        <v>0</v>
      </c>
    </row>
    <row r="197" spans="1:159" ht="17.25" thickBot="1" x14ac:dyDescent="0.3">
      <c r="A197" s="226">
        <v>45860</v>
      </c>
      <c r="B197" s="227" t="s">
        <v>161</v>
      </c>
      <c r="C197" s="227" t="s">
        <v>600</v>
      </c>
      <c r="D197" s="228">
        <v>5875</v>
      </c>
      <c r="E197" s="228">
        <v>9</v>
      </c>
      <c r="F197" s="228">
        <v>99.01</v>
      </c>
      <c r="G197" s="228">
        <v>99.49</v>
      </c>
      <c r="H197" s="228">
        <v>-0.48</v>
      </c>
      <c r="I197" s="229">
        <v>-4.7999999999999996E-3</v>
      </c>
      <c r="J197" s="228">
        <v>99.01</v>
      </c>
      <c r="K197" s="228">
        <v>99.09</v>
      </c>
      <c r="L197" s="228">
        <v>-0.08</v>
      </c>
      <c r="M197" s="229">
        <v>-8.0000000000000004E-4</v>
      </c>
      <c r="N197" s="228">
        <v>99.01</v>
      </c>
      <c r="O197" s="228">
        <v>99.49</v>
      </c>
      <c r="P197" s="228">
        <v>-0.48</v>
      </c>
      <c r="Q197" s="229">
        <v>-4.7999999999999996E-3</v>
      </c>
      <c r="R197" s="228">
        <v>98.96</v>
      </c>
      <c r="S197" s="228">
        <v>99.51</v>
      </c>
      <c r="T197" s="228">
        <v>-0.55000000000000004</v>
      </c>
      <c r="U197" s="229">
        <v>-5.4999999999999997E-3</v>
      </c>
      <c r="V197" s="228">
        <v>0</v>
      </c>
      <c r="W197" s="228">
        <v>0</v>
      </c>
      <c r="X197" s="228">
        <v>0</v>
      </c>
      <c r="Y197" s="229">
        <v>0</v>
      </c>
      <c r="Z197" s="228">
        <v>0</v>
      </c>
      <c r="AA197" s="228">
        <v>0.4</v>
      </c>
      <c r="AB197" s="228">
        <v>-0.4</v>
      </c>
      <c r="AC197" s="229">
        <v>0</v>
      </c>
      <c r="AD197" s="228">
        <v>0</v>
      </c>
      <c r="AE197" s="228">
        <v>0.4</v>
      </c>
      <c r="AF197" s="228">
        <v>-0.4</v>
      </c>
      <c r="AG197" s="229">
        <v>0</v>
      </c>
      <c r="AH197" s="228">
        <v>-0.05</v>
      </c>
      <c r="AI197" s="228">
        <v>0.42</v>
      </c>
      <c r="AJ197" s="228">
        <v>-0.47</v>
      </c>
      <c r="AK197" s="229">
        <v>-5.0000000000000001E-4</v>
      </c>
      <c r="AL197" s="228">
        <v>0</v>
      </c>
      <c r="AM197" s="228">
        <v>0</v>
      </c>
      <c r="AN197" s="228">
        <v>0</v>
      </c>
      <c r="AO197" s="229">
        <v>0</v>
      </c>
      <c r="AP197" s="228">
        <v>99.43</v>
      </c>
      <c r="AQ197" s="228">
        <v>99.47</v>
      </c>
      <c r="AR197" s="228">
        <v>0</v>
      </c>
      <c r="AS197" s="228">
        <v>59</v>
      </c>
      <c r="AT197" s="228">
        <v>40</v>
      </c>
      <c r="AU197" s="228">
        <v>19</v>
      </c>
      <c r="AV197" s="229">
        <v>0.47099999999999997</v>
      </c>
      <c r="AW197" s="228">
        <v>48</v>
      </c>
      <c r="AX197" s="228">
        <v>33</v>
      </c>
      <c r="AY197" s="228">
        <v>15</v>
      </c>
      <c r="AZ197" s="229">
        <v>0.45910000000000001</v>
      </c>
      <c r="BA197" s="228">
        <v>11</v>
      </c>
      <c r="BB197" s="228">
        <v>7</v>
      </c>
      <c r="BC197" s="228">
        <v>4</v>
      </c>
      <c r="BD197" s="229">
        <v>0.52339999999999998</v>
      </c>
      <c r="BE197" s="228">
        <v>0</v>
      </c>
      <c r="BF197" s="228">
        <v>0</v>
      </c>
      <c r="BG197" s="228">
        <v>0</v>
      </c>
      <c r="BH197" s="229">
        <v>0</v>
      </c>
      <c r="BI197" s="228">
        <v>65</v>
      </c>
      <c r="BJ197" s="228">
        <v>55</v>
      </c>
      <c r="BK197" s="228">
        <v>10</v>
      </c>
      <c r="BL197" s="229">
        <v>0.18690000000000001</v>
      </c>
      <c r="BM197" s="228">
        <v>19</v>
      </c>
      <c r="BN197" s="228">
        <v>18</v>
      </c>
      <c r="BO197" s="228">
        <v>1</v>
      </c>
      <c r="BP197" s="229">
        <v>6.6199999999999995E-2</v>
      </c>
      <c r="BQ197" s="228">
        <v>143</v>
      </c>
      <c r="BR197" s="228">
        <v>113</v>
      </c>
      <c r="BS197" s="228">
        <v>30</v>
      </c>
      <c r="BT197" s="229">
        <v>0.26919999999999999</v>
      </c>
      <c r="BU197" s="230">
        <v>4052851</v>
      </c>
      <c r="BV197" s="230">
        <v>4073674</v>
      </c>
      <c r="BW197" s="230">
        <v>-20823</v>
      </c>
      <c r="BX197" s="229">
        <v>-5.1000000000000004E-3</v>
      </c>
      <c r="BY197" s="228">
        <v>277</v>
      </c>
      <c r="BZ197" s="228">
        <v>273</v>
      </c>
      <c r="CA197" s="228">
        <v>4</v>
      </c>
      <c r="CB197" s="229">
        <v>1.2999999999999999E-2</v>
      </c>
      <c r="CC197" s="228">
        <v>244</v>
      </c>
      <c r="CD197" s="228">
        <v>245</v>
      </c>
      <c r="CE197" s="228">
        <v>-1</v>
      </c>
      <c r="CF197" s="229">
        <v>-3.5999999999999999E-3</v>
      </c>
      <c r="CG197" s="228">
        <v>33</v>
      </c>
      <c r="CH197" s="228">
        <v>28</v>
      </c>
      <c r="CI197" s="228">
        <v>4</v>
      </c>
      <c r="CJ197" s="229">
        <v>0.157</v>
      </c>
      <c r="CK197" s="228">
        <v>0</v>
      </c>
      <c r="CL197" s="228">
        <v>0</v>
      </c>
      <c r="CM197" s="228">
        <v>0</v>
      </c>
      <c r="CN197" s="229">
        <v>0</v>
      </c>
      <c r="CO197" s="228">
        <v>203</v>
      </c>
      <c r="CP197" s="228">
        <v>199</v>
      </c>
      <c r="CQ197" s="228">
        <v>4</v>
      </c>
      <c r="CR197" s="229">
        <v>2.2200000000000001E-2</v>
      </c>
      <c r="CS197" s="228">
        <v>85</v>
      </c>
      <c r="CT197" s="228">
        <v>86</v>
      </c>
      <c r="CU197" s="228">
        <v>-1</v>
      </c>
      <c r="CV197" s="229">
        <v>-1.0200000000000001E-2</v>
      </c>
      <c r="CW197" s="228">
        <v>565</v>
      </c>
      <c r="CX197" s="228">
        <v>558</v>
      </c>
      <c r="CY197" s="228">
        <v>7</v>
      </c>
      <c r="CZ197" s="229">
        <v>1.2699999999999999E-2</v>
      </c>
      <c r="DA197" s="228">
        <v>35.69</v>
      </c>
      <c r="DB197" s="228">
        <v>36.67</v>
      </c>
      <c r="DC197" s="228">
        <v>-0.98</v>
      </c>
      <c r="DD197" s="228">
        <v>-0.98</v>
      </c>
      <c r="DE197" s="228">
        <v>53.5</v>
      </c>
      <c r="DF197" s="228">
        <v>53.63</v>
      </c>
      <c r="DG197" s="228">
        <v>-17.809999999999999</v>
      </c>
      <c r="DH197" s="228">
        <v>-0.13</v>
      </c>
      <c r="DI197" s="228">
        <v>35.909999999999997</v>
      </c>
      <c r="DJ197" s="228">
        <v>36.74</v>
      </c>
      <c r="DK197" s="228">
        <v>-0.83</v>
      </c>
      <c r="DL197" s="228">
        <v>-0.83</v>
      </c>
      <c r="DM197" s="228">
        <v>34.92</v>
      </c>
      <c r="DN197" s="228">
        <v>36.450000000000003</v>
      </c>
      <c r="DO197" s="228">
        <v>-1.53</v>
      </c>
      <c r="DP197" s="228">
        <v>-1.53</v>
      </c>
      <c r="DQ197" s="228">
        <v>0.42</v>
      </c>
      <c r="DR197" s="228">
        <v>0.43</v>
      </c>
      <c r="DS197" s="228">
        <v>-0.01</v>
      </c>
      <c r="DT197" s="229">
        <v>-2.3300000000000001E-2</v>
      </c>
      <c r="DU197" s="228">
        <v>100</v>
      </c>
      <c r="DV197" s="228">
        <v>100</v>
      </c>
      <c r="DW197" s="228">
        <v>0.28999999999999998</v>
      </c>
      <c r="DX197" s="228">
        <v>0.32</v>
      </c>
      <c r="DY197" s="228">
        <v>-0.03</v>
      </c>
      <c r="DZ197" s="229">
        <v>-9.3799999999999994E-2</v>
      </c>
      <c r="EA197" s="229">
        <v>0.1177</v>
      </c>
      <c r="EB197" s="230">
        <v>2843500</v>
      </c>
      <c r="EC197" s="229">
        <v>-5.0000000000000001E-4</v>
      </c>
      <c r="ED197" s="229">
        <v>0.1177</v>
      </c>
      <c r="EE197" s="228">
        <v>0.04</v>
      </c>
      <c r="EF197" s="229">
        <v>4.0000000000000002E-4</v>
      </c>
      <c r="EG197" s="230">
        <v>1537341</v>
      </c>
      <c r="EH197" s="230">
        <v>1605825</v>
      </c>
      <c r="EI197" s="229">
        <v>-4.2599999999999999E-2</v>
      </c>
      <c r="EJ197" s="229">
        <v>0.37930000000000003</v>
      </c>
      <c r="EK197" s="228">
        <v>68.27</v>
      </c>
      <c r="EL197" s="228">
        <v>18.96</v>
      </c>
      <c r="EM197" s="228">
        <v>59.29</v>
      </c>
      <c r="EN197" s="228">
        <v>0</v>
      </c>
      <c r="EO197" s="228">
        <v>146.52000000000001</v>
      </c>
      <c r="EP197" s="228">
        <v>115.92</v>
      </c>
      <c r="EQ197" s="228">
        <v>30.6</v>
      </c>
      <c r="ER197" s="229">
        <v>0.26400000000000001</v>
      </c>
      <c r="ES197" s="228">
        <v>214.17</v>
      </c>
      <c r="ET197" s="228">
        <v>83.49</v>
      </c>
      <c r="EU197" s="228">
        <v>276.75</v>
      </c>
      <c r="EV197" s="231">
        <v>142687689</v>
      </c>
      <c r="EW197" s="228">
        <v>574.4</v>
      </c>
      <c r="EX197" s="228">
        <v>568.54999999999995</v>
      </c>
      <c r="EY197" s="228">
        <v>5.85</v>
      </c>
      <c r="EZ197" s="229">
        <v>1.03E-2</v>
      </c>
      <c r="FA197" s="229">
        <v>0.39979999999999999</v>
      </c>
      <c r="FB197" s="227" t="s">
        <v>567</v>
      </c>
      <c r="FC197">
        <f t="shared" si="4"/>
        <v>0</v>
      </c>
    </row>
    <row r="198" spans="1:159" ht="17.25" thickBot="1" x14ac:dyDescent="0.3">
      <c r="A198" s="226">
        <v>45860</v>
      </c>
      <c r="B198" s="227" t="s">
        <v>498</v>
      </c>
      <c r="C198" s="227" t="s">
        <v>647</v>
      </c>
      <c r="D198" s="228">
        <v>75</v>
      </c>
      <c r="E198" s="228">
        <v>9</v>
      </c>
      <c r="F198" s="231">
        <v>14977</v>
      </c>
      <c r="G198" s="231">
        <v>14990</v>
      </c>
      <c r="H198" s="228">
        <v>-13</v>
      </c>
      <c r="I198" s="229">
        <v>-8.9999999999999998E-4</v>
      </c>
      <c r="J198" s="231">
        <v>14938</v>
      </c>
      <c r="K198" s="231">
        <v>14926</v>
      </c>
      <c r="L198" s="228">
        <v>12</v>
      </c>
      <c r="M198" s="229">
        <v>8.0000000000000004E-4</v>
      </c>
      <c r="N198" s="231">
        <v>14977</v>
      </c>
      <c r="O198" s="231">
        <v>14990</v>
      </c>
      <c r="P198" s="228">
        <v>-13</v>
      </c>
      <c r="Q198" s="229">
        <v>-8.9999999999999998E-4</v>
      </c>
      <c r="R198" s="231">
        <v>15051</v>
      </c>
      <c r="S198" s="231">
        <v>15046</v>
      </c>
      <c r="T198" s="228">
        <v>5</v>
      </c>
      <c r="U198" s="229">
        <v>2.9999999999999997E-4</v>
      </c>
      <c r="V198" s="228">
        <v>0</v>
      </c>
      <c r="W198" s="228">
        <v>0</v>
      </c>
      <c r="X198" s="228">
        <v>0</v>
      </c>
      <c r="Y198" s="229">
        <v>0</v>
      </c>
      <c r="Z198" s="228">
        <v>39</v>
      </c>
      <c r="AA198" s="228">
        <v>64</v>
      </c>
      <c r="AB198" s="228">
        <v>-25</v>
      </c>
      <c r="AC198" s="229">
        <v>2.5999999999999999E-3</v>
      </c>
      <c r="AD198" s="228">
        <v>39</v>
      </c>
      <c r="AE198" s="228">
        <v>64</v>
      </c>
      <c r="AF198" s="228">
        <v>-25</v>
      </c>
      <c r="AG198" s="229">
        <v>2.5999999999999999E-3</v>
      </c>
      <c r="AH198" s="228">
        <v>113</v>
      </c>
      <c r="AI198" s="228">
        <v>120</v>
      </c>
      <c r="AJ198" s="228">
        <v>-7</v>
      </c>
      <c r="AK198" s="229">
        <v>7.6E-3</v>
      </c>
      <c r="AL198" s="228">
        <v>0</v>
      </c>
      <c r="AM198" s="228">
        <v>0</v>
      </c>
      <c r="AN198" s="228">
        <v>0</v>
      </c>
      <c r="AO198" s="229">
        <v>0</v>
      </c>
      <c r="AP198" s="231">
        <v>15030.17</v>
      </c>
      <c r="AQ198" s="231">
        <v>15102.17</v>
      </c>
      <c r="AR198" s="228">
        <v>0</v>
      </c>
      <c r="AS198" s="228">
        <v>122</v>
      </c>
      <c r="AT198" s="228">
        <v>280</v>
      </c>
      <c r="AU198" s="228">
        <v>-158</v>
      </c>
      <c r="AV198" s="229">
        <v>-0.56410000000000005</v>
      </c>
      <c r="AW198" s="228">
        <v>101</v>
      </c>
      <c r="AX198" s="228">
        <v>225</v>
      </c>
      <c r="AY198" s="228">
        <v>-123</v>
      </c>
      <c r="AZ198" s="229">
        <v>-0.54920000000000002</v>
      </c>
      <c r="BA198" s="228">
        <v>19</v>
      </c>
      <c r="BB198" s="228">
        <v>51</v>
      </c>
      <c r="BC198" s="228">
        <v>-33</v>
      </c>
      <c r="BD198" s="229">
        <v>-0.63680000000000003</v>
      </c>
      <c r="BE198" s="228">
        <v>0</v>
      </c>
      <c r="BF198" s="228">
        <v>0</v>
      </c>
      <c r="BG198" s="228">
        <v>0</v>
      </c>
      <c r="BH198" s="229">
        <v>0</v>
      </c>
      <c r="BI198" s="228">
        <v>857</v>
      </c>
      <c r="BJ198" s="230">
        <v>1146</v>
      </c>
      <c r="BK198" s="228">
        <v>-289</v>
      </c>
      <c r="BL198" s="229">
        <v>-0.25240000000000001</v>
      </c>
      <c r="BM198" s="228">
        <v>192</v>
      </c>
      <c r="BN198" s="228">
        <v>716</v>
      </c>
      <c r="BO198" s="228">
        <v>-525</v>
      </c>
      <c r="BP198" s="229">
        <v>-0.73250000000000004</v>
      </c>
      <c r="BQ198" s="230">
        <v>1170</v>
      </c>
      <c r="BR198" s="230">
        <v>2142</v>
      </c>
      <c r="BS198" s="228">
        <v>-972</v>
      </c>
      <c r="BT198" s="229">
        <v>-0.4536</v>
      </c>
      <c r="BU198" s="230">
        <v>72477</v>
      </c>
      <c r="BV198" s="230">
        <v>181536</v>
      </c>
      <c r="BW198" s="230">
        <v>-109059</v>
      </c>
      <c r="BX198" s="229">
        <v>-0.6008</v>
      </c>
      <c r="BY198" s="230">
        <v>1289</v>
      </c>
      <c r="BZ198" s="230">
        <v>1284</v>
      </c>
      <c r="CA198" s="228">
        <v>6</v>
      </c>
      <c r="CB198" s="229">
        <v>4.3E-3</v>
      </c>
      <c r="CC198" s="230">
        <v>1125</v>
      </c>
      <c r="CD198" s="230">
        <v>1126</v>
      </c>
      <c r="CE198" s="228">
        <v>-1</v>
      </c>
      <c r="CF198" s="229">
        <v>-1.2999999999999999E-3</v>
      </c>
      <c r="CG198" s="228">
        <v>132</v>
      </c>
      <c r="CH198" s="228">
        <v>127</v>
      </c>
      <c r="CI198" s="228">
        <v>6</v>
      </c>
      <c r="CJ198" s="229">
        <v>4.4400000000000002E-2</v>
      </c>
      <c r="CK198" s="228">
        <v>0</v>
      </c>
      <c r="CL198" s="228">
        <v>0</v>
      </c>
      <c r="CM198" s="228">
        <v>0</v>
      </c>
      <c r="CN198" s="229">
        <v>0</v>
      </c>
      <c r="CO198" s="230">
        <v>1086</v>
      </c>
      <c r="CP198" s="230">
        <v>1042</v>
      </c>
      <c r="CQ198" s="228">
        <v>44</v>
      </c>
      <c r="CR198" s="229">
        <v>4.2700000000000002E-2</v>
      </c>
      <c r="CS198" s="228">
        <v>809</v>
      </c>
      <c r="CT198" s="228">
        <v>817</v>
      </c>
      <c r="CU198" s="228">
        <v>-9</v>
      </c>
      <c r="CV198" s="229">
        <v>-1.04E-2</v>
      </c>
      <c r="CW198" s="230">
        <v>3184</v>
      </c>
      <c r="CX198" s="230">
        <v>3143</v>
      </c>
      <c r="CY198" s="228">
        <v>41</v>
      </c>
      <c r="CZ198" s="229">
        <v>1.32E-2</v>
      </c>
      <c r="DA198" s="228">
        <v>30.67</v>
      </c>
      <c r="DB198" s="228">
        <v>27.21</v>
      </c>
      <c r="DC198" s="228">
        <v>3.46</v>
      </c>
      <c r="DD198" s="228">
        <v>3.46</v>
      </c>
      <c r="DE198" s="228">
        <v>43.45</v>
      </c>
      <c r="DF198" s="228">
        <v>43.55</v>
      </c>
      <c r="DG198" s="228">
        <v>-12.78</v>
      </c>
      <c r="DH198" s="228">
        <v>-0.1</v>
      </c>
      <c r="DI198" s="228">
        <v>32.61</v>
      </c>
      <c r="DJ198" s="228">
        <v>29.85</v>
      </c>
      <c r="DK198" s="228">
        <v>2.76</v>
      </c>
      <c r="DL198" s="228">
        <v>2.76</v>
      </c>
      <c r="DM198" s="228">
        <v>21.97</v>
      </c>
      <c r="DN198" s="228">
        <v>22.98</v>
      </c>
      <c r="DO198" s="228">
        <v>-1.01</v>
      </c>
      <c r="DP198" s="228">
        <v>-1.01</v>
      </c>
      <c r="DQ198" s="228">
        <v>0.74</v>
      </c>
      <c r="DR198" s="228">
        <v>0.78</v>
      </c>
      <c r="DS198" s="228">
        <v>-0.04</v>
      </c>
      <c r="DT198" s="229">
        <v>-5.1299999999999998E-2</v>
      </c>
      <c r="DU198" s="231">
        <v>17000</v>
      </c>
      <c r="DV198" s="231">
        <v>14500</v>
      </c>
      <c r="DW198" s="228">
        <v>0.22</v>
      </c>
      <c r="DX198" s="228">
        <v>0.62</v>
      </c>
      <c r="DY198" s="228">
        <v>-0.4</v>
      </c>
      <c r="DZ198" s="229">
        <v>-0.6452</v>
      </c>
      <c r="EA198" s="229">
        <v>0.10249999999999999</v>
      </c>
      <c r="EB198" s="230">
        <v>84525</v>
      </c>
      <c r="EC198" s="229">
        <v>4.8999999999999998E-3</v>
      </c>
      <c r="ED198" s="229">
        <v>0.10249999999999999</v>
      </c>
      <c r="EE198" s="228">
        <v>72</v>
      </c>
      <c r="EF198" s="229">
        <v>4.7999999999999996E-3</v>
      </c>
      <c r="EG198" s="230">
        <v>33038</v>
      </c>
      <c r="EH198" s="230">
        <v>109908</v>
      </c>
      <c r="EI198" s="229">
        <v>-0.69940000000000002</v>
      </c>
      <c r="EJ198" s="229">
        <v>0.45579999999999998</v>
      </c>
      <c r="EK198" s="228">
        <v>938.5</v>
      </c>
      <c r="EL198" s="228">
        <v>188.52</v>
      </c>
      <c r="EM198" s="228">
        <v>122.41</v>
      </c>
      <c r="EN198" s="228">
        <v>0</v>
      </c>
      <c r="EO198" s="231">
        <v>1249.43</v>
      </c>
      <c r="EP198" s="231">
        <v>2213.56</v>
      </c>
      <c r="EQ198" s="228">
        <v>-964.12</v>
      </c>
      <c r="ER198" s="229">
        <v>-0.43559999999999999</v>
      </c>
      <c r="ES198" s="231">
        <v>1224.3699999999999</v>
      </c>
      <c r="ET198" s="228">
        <v>805</v>
      </c>
      <c r="EU198" s="231">
        <v>1290.29</v>
      </c>
      <c r="EV198" s="231">
        <v>4859756</v>
      </c>
      <c r="EW198" s="231">
        <v>3319.66</v>
      </c>
      <c r="EX198" s="231">
        <v>3275.02</v>
      </c>
      <c r="EY198" s="228">
        <v>44.64</v>
      </c>
      <c r="EZ198" s="229">
        <v>1.3599999999999999E-2</v>
      </c>
      <c r="FA198" s="229">
        <v>0.4375</v>
      </c>
      <c r="FB198" s="227" t="s">
        <v>567</v>
      </c>
      <c r="FC198">
        <f t="shared" si="4"/>
        <v>0</v>
      </c>
    </row>
    <row r="199" spans="1:159" ht="17.25" thickBot="1" x14ac:dyDescent="0.3">
      <c r="A199" s="226">
        <v>45860</v>
      </c>
      <c r="B199" s="227" t="s">
        <v>162</v>
      </c>
      <c r="C199" s="227" t="s">
        <v>615</v>
      </c>
      <c r="D199" s="228">
        <v>1050</v>
      </c>
      <c r="E199" s="228">
        <v>9</v>
      </c>
      <c r="F199" s="228">
        <v>474.3</v>
      </c>
      <c r="G199" s="228">
        <v>488.5</v>
      </c>
      <c r="H199" s="228">
        <v>-14.2</v>
      </c>
      <c r="I199" s="229">
        <v>-2.9100000000000001E-2</v>
      </c>
      <c r="J199" s="228">
        <v>472.95</v>
      </c>
      <c r="K199" s="228">
        <v>487.9</v>
      </c>
      <c r="L199" s="228">
        <v>-14.95</v>
      </c>
      <c r="M199" s="229">
        <v>-3.0599999999999999E-2</v>
      </c>
      <c r="N199" s="228">
        <v>474.3</v>
      </c>
      <c r="O199" s="228">
        <v>488.5</v>
      </c>
      <c r="P199" s="228">
        <v>-14.2</v>
      </c>
      <c r="Q199" s="229">
        <v>-2.9100000000000001E-2</v>
      </c>
      <c r="R199" s="228">
        <v>468.05</v>
      </c>
      <c r="S199" s="228">
        <v>483.85</v>
      </c>
      <c r="T199" s="228">
        <v>-15.8</v>
      </c>
      <c r="U199" s="229">
        <v>-3.27E-2</v>
      </c>
      <c r="V199" s="228">
        <v>0</v>
      </c>
      <c r="W199" s="228">
        <v>0</v>
      </c>
      <c r="X199" s="228">
        <v>0</v>
      </c>
      <c r="Y199" s="229">
        <v>0</v>
      </c>
      <c r="Z199" s="228">
        <v>1.35</v>
      </c>
      <c r="AA199" s="228">
        <v>0.6</v>
      </c>
      <c r="AB199" s="228">
        <v>0.75</v>
      </c>
      <c r="AC199" s="229">
        <v>2.8999999999999998E-3</v>
      </c>
      <c r="AD199" s="228">
        <v>1.35</v>
      </c>
      <c r="AE199" s="228">
        <v>0.6</v>
      </c>
      <c r="AF199" s="228">
        <v>0.75</v>
      </c>
      <c r="AG199" s="229">
        <v>2.8999999999999998E-3</v>
      </c>
      <c r="AH199" s="228">
        <v>-4.9000000000000004</v>
      </c>
      <c r="AI199" s="228">
        <v>-4.05</v>
      </c>
      <c r="AJ199" s="228">
        <v>-0.85</v>
      </c>
      <c r="AK199" s="229">
        <v>-1.04E-2</v>
      </c>
      <c r="AL199" s="228">
        <v>0</v>
      </c>
      <c r="AM199" s="228">
        <v>0</v>
      </c>
      <c r="AN199" s="228">
        <v>0</v>
      </c>
      <c r="AO199" s="229">
        <v>0</v>
      </c>
      <c r="AP199" s="228">
        <v>478.32</v>
      </c>
      <c r="AQ199" s="228">
        <v>473.11</v>
      </c>
      <c r="AR199" s="228">
        <v>0</v>
      </c>
      <c r="AS199" s="228">
        <v>303</v>
      </c>
      <c r="AT199" s="228">
        <v>377</v>
      </c>
      <c r="AU199" s="228">
        <v>-74</v>
      </c>
      <c r="AV199" s="229">
        <v>-0.19739999999999999</v>
      </c>
      <c r="AW199" s="228">
        <v>235</v>
      </c>
      <c r="AX199" s="228">
        <v>328</v>
      </c>
      <c r="AY199" s="228">
        <v>-93</v>
      </c>
      <c r="AZ199" s="229">
        <v>-0.28399999999999997</v>
      </c>
      <c r="BA199" s="228">
        <v>64</v>
      </c>
      <c r="BB199" s="228">
        <v>43</v>
      </c>
      <c r="BC199" s="228">
        <v>21</v>
      </c>
      <c r="BD199" s="229">
        <v>0.48849999999999999</v>
      </c>
      <c r="BE199" s="228">
        <v>0</v>
      </c>
      <c r="BF199" s="228">
        <v>0</v>
      </c>
      <c r="BG199" s="228">
        <v>0</v>
      </c>
      <c r="BH199" s="229">
        <v>0</v>
      </c>
      <c r="BI199" s="228">
        <v>510</v>
      </c>
      <c r="BJ199" s="230">
        <v>1392</v>
      </c>
      <c r="BK199" s="228">
        <v>-882</v>
      </c>
      <c r="BL199" s="229">
        <v>-0.63380000000000003</v>
      </c>
      <c r="BM199" s="228">
        <v>175</v>
      </c>
      <c r="BN199" s="228">
        <v>353</v>
      </c>
      <c r="BO199" s="228">
        <v>-178</v>
      </c>
      <c r="BP199" s="229">
        <v>-0.50419999999999998</v>
      </c>
      <c r="BQ199" s="228">
        <v>987</v>
      </c>
      <c r="BR199" s="230">
        <v>2122</v>
      </c>
      <c r="BS199" s="230">
        <v>-1135</v>
      </c>
      <c r="BT199" s="229">
        <v>-0.53469999999999995</v>
      </c>
      <c r="BU199" s="230">
        <v>2560491</v>
      </c>
      <c r="BV199" s="230">
        <v>9296078</v>
      </c>
      <c r="BW199" s="230">
        <v>-6735587</v>
      </c>
      <c r="BX199" s="229">
        <v>-0.72460000000000002</v>
      </c>
      <c r="BY199" s="230">
        <v>1184</v>
      </c>
      <c r="BZ199" s="230">
        <v>1211</v>
      </c>
      <c r="CA199" s="228">
        <v>-27</v>
      </c>
      <c r="CB199" s="229">
        <v>-2.24E-2</v>
      </c>
      <c r="CC199" s="230">
        <v>1018</v>
      </c>
      <c r="CD199" s="230">
        <v>1070</v>
      </c>
      <c r="CE199" s="228">
        <v>-52</v>
      </c>
      <c r="CF199" s="229">
        <v>-4.8300000000000003E-2</v>
      </c>
      <c r="CG199" s="228">
        <v>151</v>
      </c>
      <c r="CH199" s="228">
        <v>129</v>
      </c>
      <c r="CI199" s="228">
        <v>22</v>
      </c>
      <c r="CJ199" s="229">
        <v>0.17180000000000001</v>
      </c>
      <c r="CK199" s="228">
        <v>0</v>
      </c>
      <c r="CL199" s="228">
        <v>0</v>
      </c>
      <c r="CM199" s="228">
        <v>0</v>
      </c>
      <c r="CN199" s="229">
        <v>0</v>
      </c>
      <c r="CO199" s="228">
        <v>400</v>
      </c>
      <c r="CP199" s="228">
        <v>415</v>
      </c>
      <c r="CQ199" s="228">
        <v>-15</v>
      </c>
      <c r="CR199" s="229">
        <v>-3.5400000000000001E-2</v>
      </c>
      <c r="CS199" s="228">
        <v>188</v>
      </c>
      <c r="CT199" s="228">
        <v>192</v>
      </c>
      <c r="CU199" s="228">
        <v>-4</v>
      </c>
      <c r="CV199" s="229">
        <v>-2.3099999999999999E-2</v>
      </c>
      <c r="CW199" s="230">
        <v>1772</v>
      </c>
      <c r="CX199" s="230">
        <v>1818</v>
      </c>
      <c r="CY199" s="228">
        <v>-46</v>
      </c>
      <c r="CZ199" s="229">
        <v>-2.5399999999999999E-2</v>
      </c>
      <c r="DA199" s="228">
        <v>39.200000000000003</v>
      </c>
      <c r="DB199" s="228">
        <v>37.630000000000003</v>
      </c>
      <c r="DC199" s="228">
        <v>1.57</v>
      </c>
      <c r="DD199" s="228">
        <v>1.57</v>
      </c>
      <c r="DE199" s="228">
        <v>42.81</v>
      </c>
      <c r="DF199" s="228">
        <v>42.7</v>
      </c>
      <c r="DG199" s="228">
        <v>-3.61</v>
      </c>
      <c r="DH199" s="228">
        <v>0.11</v>
      </c>
      <c r="DI199" s="228">
        <v>39.590000000000003</v>
      </c>
      <c r="DJ199" s="228">
        <v>37.770000000000003</v>
      </c>
      <c r="DK199" s="228">
        <v>1.82</v>
      </c>
      <c r="DL199" s="228">
        <v>1.82</v>
      </c>
      <c r="DM199" s="228">
        <v>38.06</v>
      </c>
      <c r="DN199" s="228">
        <v>37.1</v>
      </c>
      <c r="DO199" s="228">
        <v>0.96</v>
      </c>
      <c r="DP199" s="228">
        <v>0.96</v>
      </c>
      <c r="DQ199" s="228">
        <v>0.47</v>
      </c>
      <c r="DR199" s="228">
        <v>0.46</v>
      </c>
      <c r="DS199" s="228">
        <v>0.01</v>
      </c>
      <c r="DT199" s="229">
        <v>2.1700000000000001E-2</v>
      </c>
      <c r="DU199" s="228">
        <v>490</v>
      </c>
      <c r="DV199" s="228">
        <v>480</v>
      </c>
      <c r="DW199" s="228">
        <v>0.34</v>
      </c>
      <c r="DX199" s="228">
        <v>0.25</v>
      </c>
      <c r="DY199" s="228">
        <v>0.09</v>
      </c>
      <c r="DZ199" s="229">
        <v>0.36</v>
      </c>
      <c r="EA199" s="229">
        <v>0.12770000000000001</v>
      </c>
      <c r="EB199" s="230">
        <v>2719500</v>
      </c>
      <c r="EC199" s="229">
        <v>-1.32E-2</v>
      </c>
      <c r="ED199" s="229">
        <v>0.12770000000000001</v>
      </c>
      <c r="EE199" s="228">
        <v>-5.21</v>
      </c>
      <c r="EF199" s="229">
        <v>-1.09E-2</v>
      </c>
      <c r="EG199" s="230">
        <v>1092369</v>
      </c>
      <c r="EH199" s="230">
        <v>2716765</v>
      </c>
      <c r="EI199" s="229">
        <v>-0.59789999999999999</v>
      </c>
      <c r="EJ199" s="229">
        <v>0.42659999999999998</v>
      </c>
      <c r="EK199" s="228">
        <v>548.89</v>
      </c>
      <c r="EL199" s="228">
        <v>175.98</v>
      </c>
      <c r="EM199" s="228">
        <v>304.58</v>
      </c>
      <c r="EN199" s="228">
        <v>0</v>
      </c>
      <c r="EO199" s="231">
        <v>1029.45</v>
      </c>
      <c r="EP199" s="231">
        <v>2257.48</v>
      </c>
      <c r="EQ199" s="231">
        <v>-1228.03</v>
      </c>
      <c r="ER199" s="229">
        <v>-0.54400000000000004</v>
      </c>
      <c r="ES199" s="228">
        <v>425.09</v>
      </c>
      <c r="ET199" s="228">
        <v>182.47</v>
      </c>
      <c r="EU199" s="231">
        <v>1181.72</v>
      </c>
      <c r="EV199" s="231">
        <v>89501464</v>
      </c>
      <c r="EW199" s="231">
        <v>1789.29</v>
      </c>
      <c r="EX199" s="231">
        <v>1876.36</v>
      </c>
      <c r="EY199" s="228">
        <v>-87.07</v>
      </c>
      <c r="EZ199" s="229">
        <v>-4.6399999999999997E-2</v>
      </c>
      <c r="FA199" s="229">
        <v>0.41739999999999999</v>
      </c>
      <c r="FB199" s="227" t="s">
        <v>568</v>
      </c>
      <c r="FC199">
        <f t="shared" si="4"/>
        <v>0</v>
      </c>
    </row>
    <row r="200" spans="1:159" ht="17.25" thickBot="1" x14ac:dyDescent="0.3">
      <c r="A200" s="226">
        <v>45860</v>
      </c>
      <c r="B200" s="227" t="s">
        <v>197</v>
      </c>
      <c r="C200" s="227" t="s">
        <v>286</v>
      </c>
      <c r="D200" s="228">
        <v>200</v>
      </c>
      <c r="E200" s="228">
        <v>9</v>
      </c>
      <c r="F200" s="231">
        <v>3137.8</v>
      </c>
      <c r="G200" s="231">
        <v>3129</v>
      </c>
      <c r="H200" s="228">
        <v>8.8000000000000007</v>
      </c>
      <c r="I200" s="229">
        <v>2.8E-3</v>
      </c>
      <c r="J200" s="231">
        <v>3136.5</v>
      </c>
      <c r="K200" s="231">
        <v>3130.4</v>
      </c>
      <c r="L200" s="228">
        <v>6.1</v>
      </c>
      <c r="M200" s="229">
        <v>1.9E-3</v>
      </c>
      <c r="N200" s="231">
        <v>3137.8</v>
      </c>
      <c r="O200" s="231">
        <v>3129</v>
      </c>
      <c r="P200" s="228">
        <v>8.8000000000000007</v>
      </c>
      <c r="Q200" s="229">
        <v>2.8E-3</v>
      </c>
      <c r="R200" s="231">
        <v>3151.8</v>
      </c>
      <c r="S200" s="231">
        <v>3144</v>
      </c>
      <c r="T200" s="228">
        <v>7.8</v>
      </c>
      <c r="U200" s="229">
        <v>2.5000000000000001E-3</v>
      </c>
      <c r="V200" s="228">
        <v>0</v>
      </c>
      <c r="W200" s="228">
        <v>0</v>
      </c>
      <c r="X200" s="228">
        <v>0</v>
      </c>
      <c r="Y200" s="229">
        <v>0</v>
      </c>
      <c r="Z200" s="228">
        <v>1.3</v>
      </c>
      <c r="AA200" s="228">
        <v>-1.4</v>
      </c>
      <c r="AB200" s="228">
        <v>2.7</v>
      </c>
      <c r="AC200" s="229">
        <v>4.0000000000000002E-4</v>
      </c>
      <c r="AD200" s="228">
        <v>1.3</v>
      </c>
      <c r="AE200" s="228">
        <v>-1.4</v>
      </c>
      <c r="AF200" s="228">
        <v>2.7</v>
      </c>
      <c r="AG200" s="229">
        <v>4.0000000000000002E-4</v>
      </c>
      <c r="AH200" s="228">
        <v>15.3</v>
      </c>
      <c r="AI200" s="228">
        <v>13.6</v>
      </c>
      <c r="AJ200" s="228">
        <v>1.7</v>
      </c>
      <c r="AK200" s="229">
        <v>4.8999999999999998E-3</v>
      </c>
      <c r="AL200" s="228">
        <v>0</v>
      </c>
      <c r="AM200" s="228">
        <v>0</v>
      </c>
      <c r="AN200" s="228">
        <v>0</v>
      </c>
      <c r="AO200" s="229">
        <v>0</v>
      </c>
      <c r="AP200" s="231">
        <v>3108.34</v>
      </c>
      <c r="AQ200" s="231">
        <v>3125.43</v>
      </c>
      <c r="AR200" s="228">
        <v>0</v>
      </c>
      <c r="AS200" s="228">
        <v>460</v>
      </c>
      <c r="AT200" s="228">
        <v>508</v>
      </c>
      <c r="AU200" s="228">
        <v>-48</v>
      </c>
      <c r="AV200" s="229">
        <v>-9.4399999999999998E-2</v>
      </c>
      <c r="AW200" s="228">
        <v>426</v>
      </c>
      <c r="AX200" s="228">
        <v>468</v>
      </c>
      <c r="AY200" s="228">
        <v>-42</v>
      </c>
      <c r="AZ200" s="229">
        <v>-8.8900000000000007E-2</v>
      </c>
      <c r="BA200" s="228">
        <v>32</v>
      </c>
      <c r="BB200" s="228">
        <v>39</v>
      </c>
      <c r="BC200" s="228">
        <v>-7</v>
      </c>
      <c r="BD200" s="229">
        <v>-0.17150000000000001</v>
      </c>
      <c r="BE200" s="228">
        <v>0</v>
      </c>
      <c r="BF200" s="228">
        <v>0</v>
      </c>
      <c r="BG200" s="228">
        <v>0</v>
      </c>
      <c r="BH200" s="229">
        <v>0</v>
      </c>
      <c r="BI200" s="228">
        <v>957</v>
      </c>
      <c r="BJ200" s="228">
        <v>762</v>
      </c>
      <c r="BK200" s="228">
        <v>195</v>
      </c>
      <c r="BL200" s="229">
        <v>0.25629999999999997</v>
      </c>
      <c r="BM200" s="228">
        <v>633</v>
      </c>
      <c r="BN200" s="228">
        <v>560</v>
      </c>
      <c r="BO200" s="228">
        <v>73</v>
      </c>
      <c r="BP200" s="229">
        <v>0.1298</v>
      </c>
      <c r="BQ200" s="230">
        <v>2050</v>
      </c>
      <c r="BR200" s="230">
        <v>1830</v>
      </c>
      <c r="BS200" s="228">
        <v>220</v>
      </c>
      <c r="BT200" s="229">
        <v>0.1203</v>
      </c>
      <c r="BU200" s="230">
        <v>545930</v>
      </c>
      <c r="BV200" s="230">
        <v>521027</v>
      </c>
      <c r="BW200" s="230">
        <v>24903</v>
      </c>
      <c r="BX200" s="229">
        <v>4.7800000000000002E-2</v>
      </c>
      <c r="BY200" s="230">
        <v>1357</v>
      </c>
      <c r="BZ200" s="230">
        <v>1363</v>
      </c>
      <c r="CA200" s="228">
        <v>-6</v>
      </c>
      <c r="CB200" s="229">
        <v>-4.4000000000000003E-3</v>
      </c>
      <c r="CC200" s="230">
        <v>1312</v>
      </c>
      <c r="CD200" s="230">
        <v>1325</v>
      </c>
      <c r="CE200" s="228">
        <v>-13</v>
      </c>
      <c r="CF200" s="229">
        <v>-1.0200000000000001E-2</v>
      </c>
      <c r="CG200" s="228">
        <v>42</v>
      </c>
      <c r="CH200" s="228">
        <v>35</v>
      </c>
      <c r="CI200" s="228">
        <v>7</v>
      </c>
      <c r="CJ200" s="229">
        <v>0.2014</v>
      </c>
      <c r="CK200" s="228">
        <v>0</v>
      </c>
      <c r="CL200" s="228">
        <v>0</v>
      </c>
      <c r="CM200" s="228">
        <v>0</v>
      </c>
      <c r="CN200" s="229">
        <v>0</v>
      </c>
      <c r="CO200" s="228">
        <v>538</v>
      </c>
      <c r="CP200" s="228">
        <v>520</v>
      </c>
      <c r="CQ200" s="228">
        <v>17</v>
      </c>
      <c r="CR200" s="229">
        <v>3.3500000000000002E-2</v>
      </c>
      <c r="CS200" s="228">
        <v>351</v>
      </c>
      <c r="CT200" s="228">
        <v>353</v>
      </c>
      <c r="CU200" s="228">
        <v>-3</v>
      </c>
      <c r="CV200" s="229">
        <v>-7.1000000000000004E-3</v>
      </c>
      <c r="CW200" s="230">
        <v>2246</v>
      </c>
      <c r="CX200" s="230">
        <v>2237</v>
      </c>
      <c r="CY200" s="228">
        <v>9</v>
      </c>
      <c r="CZ200" s="229">
        <v>4.0000000000000001E-3</v>
      </c>
      <c r="DA200" s="228">
        <v>36.14</v>
      </c>
      <c r="DB200" s="228">
        <v>34.26</v>
      </c>
      <c r="DC200" s="228">
        <v>1.88</v>
      </c>
      <c r="DD200" s="228">
        <v>1.88</v>
      </c>
      <c r="DE200" s="228">
        <v>33.880000000000003</v>
      </c>
      <c r="DF200" s="228">
        <v>33.96</v>
      </c>
      <c r="DG200" s="228">
        <v>2.2599999999999998</v>
      </c>
      <c r="DH200" s="228">
        <v>-0.08</v>
      </c>
      <c r="DI200" s="228">
        <v>36.21</v>
      </c>
      <c r="DJ200" s="228">
        <v>34.5</v>
      </c>
      <c r="DK200" s="228">
        <v>1.71</v>
      </c>
      <c r="DL200" s="228">
        <v>1.71</v>
      </c>
      <c r="DM200" s="228">
        <v>36.020000000000003</v>
      </c>
      <c r="DN200" s="228">
        <v>33.93</v>
      </c>
      <c r="DO200" s="228">
        <v>2.09</v>
      </c>
      <c r="DP200" s="228">
        <v>2.09</v>
      </c>
      <c r="DQ200" s="228">
        <v>0.65</v>
      </c>
      <c r="DR200" s="228">
        <v>0.68</v>
      </c>
      <c r="DS200" s="228">
        <v>-0.03</v>
      </c>
      <c r="DT200" s="229">
        <v>-4.41E-2</v>
      </c>
      <c r="DU200" s="231">
        <v>3300</v>
      </c>
      <c r="DV200" s="231">
        <v>3100</v>
      </c>
      <c r="DW200" s="228">
        <v>0.66</v>
      </c>
      <c r="DX200" s="228">
        <v>0.74</v>
      </c>
      <c r="DY200" s="228">
        <v>-0.08</v>
      </c>
      <c r="DZ200" s="229">
        <v>-0.1081</v>
      </c>
      <c r="EA200" s="229">
        <v>3.1199999999999999E-2</v>
      </c>
      <c r="EB200" s="230">
        <v>112200</v>
      </c>
      <c r="EC200" s="229">
        <v>4.4999999999999997E-3</v>
      </c>
      <c r="ED200" s="229">
        <v>3.1199999999999999E-2</v>
      </c>
      <c r="EE200" s="228">
        <v>17.09</v>
      </c>
      <c r="EF200" s="229">
        <v>5.4999999999999997E-3</v>
      </c>
      <c r="EG200" s="230">
        <v>328617</v>
      </c>
      <c r="EH200" s="230">
        <v>293502</v>
      </c>
      <c r="EI200" s="229">
        <v>0.1196</v>
      </c>
      <c r="EJ200" s="229">
        <v>0.60189999999999999</v>
      </c>
      <c r="EK200" s="228">
        <v>992.01</v>
      </c>
      <c r="EL200" s="228">
        <v>626.76</v>
      </c>
      <c r="EM200" s="228">
        <v>455.81</v>
      </c>
      <c r="EN200" s="228">
        <v>0</v>
      </c>
      <c r="EO200" s="231">
        <v>2074.58</v>
      </c>
      <c r="EP200" s="231">
        <v>1874.8</v>
      </c>
      <c r="EQ200" s="228">
        <v>199.78</v>
      </c>
      <c r="ER200" s="229">
        <v>0.1066</v>
      </c>
      <c r="ES200" s="228">
        <v>562.19000000000005</v>
      </c>
      <c r="ET200" s="228">
        <v>340.83</v>
      </c>
      <c r="EU200" s="231">
        <v>1357.57</v>
      </c>
      <c r="EV200" s="231">
        <v>29488465</v>
      </c>
      <c r="EW200" s="231">
        <v>2260.59</v>
      </c>
      <c r="EX200" s="231">
        <v>2249.9299999999998</v>
      </c>
      <c r="EY200" s="228">
        <v>10.66</v>
      </c>
      <c r="EZ200" s="229">
        <v>4.7000000000000002E-3</v>
      </c>
      <c r="FA200" s="229">
        <v>0.2427</v>
      </c>
      <c r="FB200" s="227" t="s">
        <v>556</v>
      </c>
      <c r="FC200">
        <f t="shared" si="4"/>
        <v>0</v>
      </c>
    </row>
    <row r="201" spans="1:159" ht="17.25" thickBot="1" x14ac:dyDescent="0.3">
      <c r="A201" s="226">
        <v>45860</v>
      </c>
      <c r="B201" s="227" t="s">
        <v>170</v>
      </c>
      <c r="C201" s="227" t="s">
        <v>288</v>
      </c>
      <c r="D201" s="228">
        <v>350</v>
      </c>
      <c r="E201" s="228">
        <v>9</v>
      </c>
      <c r="F201" s="231">
        <v>1680.4</v>
      </c>
      <c r="G201" s="231">
        <v>1696.9</v>
      </c>
      <c r="H201" s="228">
        <v>-16.5</v>
      </c>
      <c r="I201" s="229">
        <v>-9.7000000000000003E-3</v>
      </c>
      <c r="J201" s="231">
        <v>1678</v>
      </c>
      <c r="K201" s="231">
        <v>1692.3</v>
      </c>
      <c r="L201" s="228">
        <v>-14.3</v>
      </c>
      <c r="M201" s="229">
        <v>-8.5000000000000006E-3</v>
      </c>
      <c r="N201" s="231">
        <v>1680.4</v>
      </c>
      <c r="O201" s="231">
        <v>1696.9</v>
      </c>
      <c r="P201" s="228">
        <v>-16.5</v>
      </c>
      <c r="Q201" s="229">
        <v>-9.7000000000000003E-3</v>
      </c>
      <c r="R201" s="231">
        <v>1689.3</v>
      </c>
      <c r="S201" s="231">
        <v>1704.9</v>
      </c>
      <c r="T201" s="228">
        <v>-15.6</v>
      </c>
      <c r="U201" s="229">
        <v>-9.1999999999999998E-3</v>
      </c>
      <c r="V201" s="228">
        <v>0</v>
      </c>
      <c r="W201" s="228">
        <v>0</v>
      </c>
      <c r="X201" s="228">
        <v>0</v>
      </c>
      <c r="Y201" s="229">
        <v>0</v>
      </c>
      <c r="Z201" s="228">
        <v>2.4</v>
      </c>
      <c r="AA201" s="228">
        <v>4.5999999999999996</v>
      </c>
      <c r="AB201" s="228">
        <v>-2.2000000000000002</v>
      </c>
      <c r="AC201" s="229">
        <v>1.4E-3</v>
      </c>
      <c r="AD201" s="228">
        <v>2.4</v>
      </c>
      <c r="AE201" s="228">
        <v>4.5999999999999996</v>
      </c>
      <c r="AF201" s="228">
        <v>-2.2000000000000002</v>
      </c>
      <c r="AG201" s="229">
        <v>1.4E-3</v>
      </c>
      <c r="AH201" s="228">
        <v>11.3</v>
      </c>
      <c r="AI201" s="228">
        <v>12.6</v>
      </c>
      <c r="AJ201" s="228">
        <v>-1.3</v>
      </c>
      <c r="AK201" s="229">
        <v>6.7000000000000002E-3</v>
      </c>
      <c r="AL201" s="228">
        <v>0</v>
      </c>
      <c r="AM201" s="228">
        <v>0</v>
      </c>
      <c r="AN201" s="228">
        <v>0</v>
      </c>
      <c r="AO201" s="229">
        <v>0</v>
      </c>
      <c r="AP201" s="231">
        <v>1681.37</v>
      </c>
      <c r="AQ201" s="231">
        <v>1690.34</v>
      </c>
      <c r="AR201" s="228">
        <v>0</v>
      </c>
      <c r="AS201" s="228">
        <v>208</v>
      </c>
      <c r="AT201" s="228">
        <v>222</v>
      </c>
      <c r="AU201" s="228">
        <v>-13</v>
      </c>
      <c r="AV201" s="229">
        <v>-6.0699999999999997E-2</v>
      </c>
      <c r="AW201" s="228">
        <v>177</v>
      </c>
      <c r="AX201" s="228">
        <v>180</v>
      </c>
      <c r="AY201" s="228">
        <v>-2</v>
      </c>
      <c r="AZ201" s="229">
        <v>-1.37E-2</v>
      </c>
      <c r="BA201" s="228">
        <v>30</v>
      </c>
      <c r="BB201" s="228">
        <v>41</v>
      </c>
      <c r="BC201" s="228">
        <v>-11</v>
      </c>
      <c r="BD201" s="229">
        <v>-0.26190000000000002</v>
      </c>
      <c r="BE201" s="228">
        <v>0</v>
      </c>
      <c r="BF201" s="228">
        <v>0</v>
      </c>
      <c r="BG201" s="228">
        <v>0</v>
      </c>
      <c r="BH201" s="229">
        <v>0</v>
      </c>
      <c r="BI201" s="230">
        <v>1379</v>
      </c>
      <c r="BJ201" s="230">
        <v>1134</v>
      </c>
      <c r="BK201" s="228">
        <v>245</v>
      </c>
      <c r="BL201" s="229">
        <v>0.21629999999999999</v>
      </c>
      <c r="BM201" s="228">
        <v>524</v>
      </c>
      <c r="BN201" s="228">
        <v>536</v>
      </c>
      <c r="BO201" s="228">
        <v>-12</v>
      </c>
      <c r="BP201" s="229">
        <v>-2.2599999999999999E-2</v>
      </c>
      <c r="BQ201" s="230">
        <v>2111</v>
      </c>
      <c r="BR201" s="230">
        <v>1892</v>
      </c>
      <c r="BS201" s="228">
        <v>220</v>
      </c>
      <c r="BT201" s="229">
        <v>0.1162</v>
      </c>
      <c r="BU201" s="230">
        <v>1261541</v>
      </c>
      <c r="BV201" s="230">
        <v>2407461</v>
      </c>
      <c r="BW201" s="230">
        <v>-1145920</v>
      </c>
      <c r="BX201" s="229">
        <v>-0.47599999999999998</v>
      </c>
      <c r="BY201" s="230">
        <v>3243</v>
      </c>
      <c r="BZ201" s="230">
        <v>3268</v>
      </c>
      <c r="CA201" s="228">
        <v>-25</v>
      </c>
      <c r="CB201" s="229">
        <v>-7.7000000000000002E-3</v>
      </c>
      <c r="CC201" s="230">
        <v>2927</v>
      </c>
      <c r="CD201" s="230">
        <v>2968</v>
      </c>
      <c r="CE201" s="228">
        <v>-41</v>
      </c>
      <c r="CF201" s="229">
        <v>-1.37E-2</v>
      </c>
      <c r="CG201" s="228">
        <v>309</v>
      </c>
      <c r="CH201" s="228">
        <v>294</v>
      </c>
      <c r="CI201" s="228">
        <v>15</v>
      </c>
      <c r="CJ201" s="229">
        <v>5.1799999999999999E-2</v>
      </c>
      <c r="CK201" s="228">
        <v>0</v>
      </c>
      <c r="CL201" s="228">
        <v>0</v>
      </c>
      <c r="CM201" s="228">
        <v>0</v>
      </c>
      <c r="CN201" s="229">
        <v>0</v>
      </c>
      <c r="CO201" s="230">
        <v>1634</v>
      </c>
      <c r="CP201" s="230">
        <v>1669</v>
      </c>
      <c r="CQ201" s="228">
        <v>-35</v>
      </c>
      <c r="CR201" s="229">
        <v>-2.0799999999999999E-2</v>
      </c>
      <c r="CS201" s="228">
        <v>607</v>
      </c>
      <c r="CT201" s="228">
        <v>609</v>
      </c>
      <c r="CU201" s="228">
        <v>-1</v>
      </c>
      <c r="CV201" s="229">
        <v>-2.2000000000000001E-3</v>
      </c>
      <c r="CW201" s="230">
        <v>5484</v>
      </c>
      <c r="CX201" s="230">
        <v>5546</v>
      </c>
      <c r="CY201" s="228">
        <v>-61</v>
      </c>
      <c r="CZ201" s="229">
        <v>-1.11E-2</v>
      </c>
      <c r="DA201" s="228">
        <v>18.239999999999998</v>
      </c>
      <c r="DB201" s="228">
        <v>18.23</v>
      </c>
      <c r="DC201" s="228">
        <v>0.01</v>
      </c>
      <c r="DD201" s="228">
        <v>0.01</v>
      </c>
      <c r="DE201" s="228">
        <v>24.3</v>
      </c>
      <c r="DF201" s="228">
        <v>24.33</v>
      </c>
      <c r="DG201" s="228">
        <v>-6.06</v>
      </c>
      <c r="DH201" s="228">
        <v>-0.03</v>
      </c>
      <c r="DI201" s="228">
        <v>18.14</v>
      </c>
      <c r="DJ201" s="228">
        <v>18.09</v>
      </c>
      <c r="DK201" s="228">
        <v>0.05</v>
      </c>
      <c r="DL201" s="228">
        <v>0.05</v>
      </c>
      <c r="DM201" s="228">
        <v>18.510000000000002</v>
      </c>
      <c r="DN201" s="228">
        <v>18.52</v>
      </c>
      <c r="DO201" s="228">
        <v>-0.01</v>
      </c>
      <c r="DP201" s="228">
        <v>-0.01</v>
      </c>
      <c r="DQ201" s="228">
        <v>0.37</v>
      </c>
      <c r="DR201" s="228">
        <v>0.36</v>
      </c>
      <c r="DS201" s="228">
        <v>0.01</v>
      </c>
      <c r="DT201" s="229">
        <v>2.7799999999999998E-2</v>
      </c>
      <c r="DU201" s="231">
        <v>1720</v>
      </c>
      <c r="DV201" s="231">
        <v>1600</v>
      </c>
      <c r="DW201" s="228">
        <v>0.38</v>
      </c>
      <c r="DX201" s="228">
        <v>0.47</v>
      </c>
      <c r="DY201" s="228">
        <v>-0.09</v>
      </c>
      <c r="DZ201" s="229">
        <v>-0.1915</v>
      </c>
      <c r="EA201" s="229">
        <v>9.5399999999999999E-2</v>
      </c>
      <c r="EB201" s="230">
        <v>1749650</v>
      </c>
      <c r="EC201" s="229">
        <v>5.3E-3</v>
      </c>
      <c r="ED201" s="229">
        <v>9.5399999999999999E-2</v>
      </c>
      <c r="EE201" s="228">
        <v>8.9700000000000006</v>
      </c>
      <c r="EF201" s="229">
        <v>5.3E-3</v>
      </c>
      <c r="EG201" s="230">
        <v>849923</v>
      </c>
      <c r="EH201" s="230">
        <v>1609738</v>
      </c>
      <c r="EI201" s="229">
        <v>-0.47199999999999998</v>
      </c>
      <c r="EJ201" s="229">
        <v>0.67369999999999997</v>
      </c>
      <c r="EK201" s="231">
        <v>1439.02</v>
      </c>
      <c r="EL201" s="228">
        <v>522.02</v>
      </c>
      <c r="EM201" s="228">
        <v>208.55</v>
      </c>
      <c r="EN201" s="228">
        <v>0</v>
      </c>
      <c r="EO201" s="231">
        <v>2169.58</v>
      </c>
      <c r="EP201" s="231">
        <v>1942.88</v>
      </c>
      <c r="EQ201" s="228">
        <v>226.71</v>
      </c>
      <c r="ER201" s="229">
        <v>0.1167</v>
      </c>
      <c r="ES201" s="231">
        <v>1689.55</v>
      </c>
      <c r="ET201" s="228">
        <v>586.24</v>
      </c>
      <c r="EU201" s="231">
        <v>3244.41</v>
      </c>
      <c r="EV201" s="231">
        <v>218440087</v>
      </c>
      <c r="EW201" s="231">
        <v>5520.2</v>
      </c>
      <c r="EX201" s="231">
        <v>5616.92</v>
      </c>
      <c r="EY201" s="228">
        <v>-96.72</v>
      </c>
      <c r="EZ201" s="229">
        <v>-1.72E-2</v>
      </c>
      <c r="FA201" s="229">
        <v>0.14940000000000001</v>
      </c>
      <c r="FB201" s="227" t="s">
        <v>568</v>
      </c>
      <c r="FC201">
        <f t="shared" si="4"/>
        <v>0</v>
      </c>
    </row>
    <row r="202" spans="1:159" ht="17.25" thickBot="1" x14ac:dyDescent="0.3">
      <c r="A202" s="226">
        <v>45860</v>
      </c>
      <c r="B202" s="227" t="s">
        <v>184</v>
      </c>
      <c r="C202" s="227" t="s">
        <v>575</v>
      </c>
      <c r="D202" s="228">
        <v>175</v>
      </c>
      <c r="E202" s="228">
        <v>9</v>
      </c>
      <c r="F202" s="231">
        <v>4090.5</v>
      </c>
      <c r="G202" s="231">
        <v>4202.6000000000004</v>
      </c>
      <c r="H202" s="228">
        <v>-112.1</v>
      </c>
      <c r="I202" s="229">
        <v>-2.6700000000000002E-2</v>
      </c>
      <c r="J202" s="231">
        <v>4088.1</v>
      </c>
      <c r="K202" s="231">
        <v>4200.2</v>
      </c>
      <c r="L202" s="228">
        <v>-112.1</v>
      </c>
      <c r="M202" s="229">
        <v>-2.6700000000000002E-2</v>
      </c>
      <c r="N202" s="231">
        <v>4090.5</v>
      </c>
      <c r="O202" s="231">
        <v>4202.6000000000004</v>
      </c>
      <c r="P202" s="228">
        <v>-112.1</v>
      </c>
      <c r="Q202" s="229">
        <v>-2.6700000000000002E-2</v>
      </c>
      <c r="R202" s="231">
        <v>4117.1000000000004</v>
      </c>
      <c r="S202" s="231">
        <v>4216.6000000000004</v>
      </c>
      <c r="T202" s="228">
        <v>-99.5</v>
      </c>
      <c r="U202" s="229">
        <v>-2.3599999999999999E-2</v>
      </c>
      <c r="V202" s="228">
        <v>0</v>
      </c>
      <c r="W202" s="228">
        <v>0</v>
      </c>
      <c r="X202" s="228">
        <v>0</v>
      </c>
      <c r="Y202" s="229">
        <v>0</v>
      </c>
      <c r="Z202" s="228">
        <v>2.4</v>
      </c>
      <c r="AA202" s="228">
        <v>2.4</v>
      </c>
      <c r="AB202" s="228">
        <v>0</v>
      </c>
      <c r="AC202" s="229">
        <v>5.9999999999999995E-4</v>
      </c>
      <c r="AD202" s="228">
        <v>2.4</v>
      </c>
      <c r="AE202" s="228">
        <v>2.4</v>
      </c>
      <c r="AF202" s="228">
        <v>0</v>
      </c>
      <c r="AG202" s="229">
        <v>5.9999999999999995E-4</v>
      </c>
      <c r="AH202" s="228">
        <v>29</v>
      </c>
      <c r="AI202" s="228">
        <v>16.399999999999999</v>
      </c>
      <c r="AJ202" s="228">
        <v>12.6</v>
      </c>
      <c r="AK202" s="229">
        <v>7.1000000000000004E-3</v>
      </c>
      <c r="AL202" s="228">
        <v>0</v>
      </c>
      <c r="AM202" s="228">
        <v>0</v>
      </c>
      <c r="AN202" s="228">
        <v>0</v>
      </c>
      <c r="AO202" s="229">
        <v>0</v>
      </c>
      <c r="AP202" s="231">
        <v>4113.55</v>
      </c>
      <c r="AQ202" s="231">
        <v>4119.33</v>
      </c>
      <c r="AR202" s="228">
        <v>0</v>
      </c>
      <c r="AS202" s="228">
        <v>402</v>
      </c>
      <c r="AT202" s="228">
        <v>285</v>
      </c>
      <c r="AU202" s="228">
        <v>117</v>
      </c>
      <c r="AV202" s="229">
        <v>0.41139999999999999</v>
      </c>
      <c r="AW202" s="228">
        <v>360</v>
      </c>
      <c r="AX202" s="228">
        <v>259</v>
      </c>
      <c r="AY202" s="228">
        <v>101</v>
      </c>
      <c r="AZ202" s="229">
        <v>0.39219999999999999</v>
      </c>
      <c r="BA202" s="228">
        <v>41</v>
      </c>
      <c r="BB202" s="228">
        <v>25</v>
      </c>
      <c r="BC202" s="228">
        <v>16</v>
      </c>
      <c r="BD202" s="229">
        <v>0.66759999999999997</v>
      </c>
      <c r="BE202" s="228">
        <v>0</v>
      </c>
      <c r="BF202" s="228">
        <v>0</v>
      </c>
      <c r="BG202" s="228">
        <v>0</v>
      </c>
      <c r="BH202" s="229">
        <v>0</v>
      </c>
      <c r="BI202" s="228">
        <v>499</v>
      </c>
      <c r="BJ202" s="228">
        <v>755</v>
      </c>
      <c r="BK202" s="228">
        <v>-256</v>
      </c>
      <c r="BL202" s="229">
        <v>-0.33939999999999998</v>
      </c>
      <c r="BM202" s="228">
        <v>300</v>
      </c>
      <c r="BN202" s="228">
        <v>216</v>
      </c>
      <c r="BO202" s="228">
        <v>84</v>
      </c>
      <c r="BP202" s="229">
        <v>0.38800000000000001</v>
      </c>
      <c r="BQ202" s="230">
        <v>1200</v>
      </c>
      <c r="BR202" s="230">
        <v>1256</v>
      </c>
      <c r="BS202" s="228">
        <v>-55</v>
      </c>
      <c r="BT202" s="229">
        <v>-4.3999999999999997E-2</v>
      </c>
      <c r="BU202" s="230">
        <v>442463</v>
      </c>
      <c r="BV202" s="230">
        <v>230872</v>
      </c>
      <c r="BW202" s="230">
        <v>211591</v>
      </c>
      <c r="BX202" s="229">
        <v>0.91649999999999998</v>
      </c>
      <c r="BY202" s="228">
        <v>598</v>
      </c>
      <c r="BZ202" s="228">
        <v>593</v>
      </c>
      <c r="CA202" s="228">
        <v>5</v>
      </c>
      <c r="CB202" s="229">
        <v>8.8999999999999999E-3</v>
      </c>
      <c r="CC202" s="228">
        <v>559</v>
      </c>
      <c r="CD202" s="228">
        <v>565</v>
      </c>
      <c r="CE202" s="228">
        <v>-6</v>
      </c>
      <c r="CF202" s="229">
        <v>-1.0800000000000001E-2</v>
      </c>
      <c r="CG202" s="228">
        <v>37</v>
      </c>
      <c r="CH202" s="228">
        <v>26</v>
      </c>
      <c r="CI202" s="228">
        <v>11</v>
      </c>
      <c r="CJ202" s="229">
        <v>0.42899999999999999</v>
      </c>
      <c r="CK202" s="228">
        <v>0</v>
      </c>
      <c r="CL202" s="228">
        <v>0</v>
      </c>
      <c r="CM202" s="228">
        <v>0</v>
      </c>
      <c r="CN202" s="229">
        <v>0</v>
      </c>
      <c r="CO202" s="228">
        <v>213</v>
      </c>
      <c r="CP202" s="228">
        <v>202</v>
      </c>
      <c r="CQ202" s="228">
        <v>11</v>
      </c>
      <c r="CR202" s="229">
        <v>5.57E-2</v>
      </c>
      <c r="CS202" s="228">
        <v>110</v>
      </c>
      <c r="CT202" s="228">
        <v>107</v>
      </c>
      <c r="CU202" s="228">
        <v>3</v>
      </c>
      <c r="CV202" s="229">
        <v>2.75E-2</v>
      </c>
      <c r="CW202" s="228">
        <v>921</v>
      </c>
      <c r="CX202" s="228">
        <v>902</v>
      </c>
      <c r="CY202" s="228">
        <v>19</v>
      </c>
      <c r="CZ202" s="229">
        <v>2.1600000000000001E-2</v>
      </c>
      <c r="DA202" s="228">
        <v>45.19</v>
      </c>
      <c r="DB202" s="228">
        <v>45.77</v>
      </c>
      <c r="DC202" s="228">
        <v>-0.57999999999999996</v>
      </c>
      <c r="DD202" s="228">
        <v>-0.57999999999999996</v>
      </c>
      <c r="DE202" s="228">
        <v>44.38</v>
      </c>
      <c r="DF202" s="228">
        <v>44.34</v>
      </c>
      <c r="DG202" s="228">
        <v>0.81</v>
      </c>
      <c r="DH202" s="228">
        <v>0.04</v>
      </c>
      <c r="DI202" s="228">
        <v>46.68</v>
      </c>
      <c r="DJ202" s="228">
        <v>45.98</v>
      </c>
      <c r="DK202" s="228">
        <v>0.7</v>
      </c>
      <c r="DL202" s="228">
        <v>0.7</v>
      </c>
      <c r="DM202" s="228">
        <v>42.73</v>
      </c>
      <c r="DN202" s="228">
        <v>45.04</v>
      </c>
      <c r="DO202" s="228">
        <v>-2.31</v>
      </c>
      <c r="DP202" s="228">
        <v>-2.31</v>
      </c>
      <c r="DQ202" s="228">
        <v>0.52</v>
      </c>
      <c r="DR202" s="228">
        <v>0.53</v>
      </c>
      <c r="DS202" s="228">
        <v>-0.01</v>
      </c>
      <c r="DT202" s="229">
        <v>-1.89E-2</v>
      </c>
      <c r="DU202" s="231">
        <v>4500</v>
      </c>
      <c r="DV202" s="231">
        <v>4000</v>
      </c>
      <c r="DW202" s="228">
        <v>0.6</v>
      </c>
      <c r="DX202" s="228">
        <v>0.28999999999999998</v>
      </c>
      <c r="DY202" s="228">
        <v>0.31</v>
      </c>
      <c r="DZ202" s="229">
        <v>1.069</v>
      </c>
      <c r="EA202" s="229">
        <v>6.2600000000000003E-2</v>
      </c>
      <c r="EB202" s="230">
        <v>64050</v>
      </c>
      <c r="EC202" s="229">
        <v>6.4999999999999997E-3</v>
      </c>
      <c r="ED202" s="229">
        <v>6.2600000000000003E-2</v>
      </c>
      <c r="EE202" s="228">
        <v>5.78</v>
      </c>
      <c r="EF202" s="229">
        <v>1.4E-3</v>
      </c>
      <c r="EG202" s="230">
        <v>213505</v>
      </c>
      <c r="EH202" s="230">
        <v>58280</v>
      </c>
      <c r="EI202" s="229">
        <v>2.6634000000000002</v>
      </c>
      <c r="EJ202" s="229">
        <v>0.48249999999999998</v>
      </c>
      <c r="EK202" s="228">
        <v>538.55999999999995</v>
      </c>
      <c r="EL202" s="228">
        <v>305.27</v>
      </c>
      <c r="EM202" s="228">
        <v>404.13</v>
      </c>
      <c r="EN202" s="228">
        <v>0</v>
      </c>
      <c r="EO202" s="231">
        <v>1247.96</v>
      </c>
      <c r="EP202" s="231">
        <v>1350.23</v>
      </c>
      <c r="EQ202" s="228">
        <v>-102.27</v>
      </c>
      <c r="ER202" s="229">
        <v>-7.5700000000000003E-2</v>
      </c>
      <c r="ES202" s="228">
        <v>232.67</v>
      </c>
      <c r="ET202" s="228">
        <v>111.89</v>
      </c>
      <c r="EU202" s="228">
        <v>598.54</v>
      </c>
      <c r="EV202" s="231">
        <v>12994611</v>
      </c>
      <c r="EW202" s="228">
        <v>943.11</v>
      </c>
      <c r="EX202" s="228">
        <v>942.93</v>
      </c>
      <c r="EY202" s="228">
        <v>0.18</v>
      </c>
      <c r="EZ202" s="229">
        <v>2.0000000000000001E-4</v>
      </c>
      <c r="FA202" s="229">
        <v>0.17330000000000001</v>
      </c>
      <c r="FB202" s="227" t="s">
        <v>567</v>
      </c>
      <c r="FC202">
        <f t="shared" si="4"/>
        <v>0</v>
      </c>
    </row>
    <row r="203" spans="1:159" ht="17.25" thickBot="1" x14ac:dyDescent="0.3">
      <c r="A203" s="226">
        <v>45860</v>
      </c>
      <c r="B203" s="227" t="s">
        <v>170</v>
      </c>
      <c r="C203" s="227" t="s">
        <v>520</v>
      </c>
      <c r="D203" s="228">
        <v>1000</v>
      </c>
      <c r="E203" s="228">
        <v>9</v>
      </c>
      <c r="F203" s="228">
        <v>676.7</v>
      </c>
      <c r="G203" s="228">
        <v>673.25</v>
      </c>
      <c r="H203" s="228">
        <v>3.45</v>
      </c>
      <c r="I203" s="229">
        <v>5.1000000000000004E-3</v>
      </c>
      <c r="J203" s="228">
        <v>676</v>
      </c>
      <c r="K203" s="228">
        <v>671.05</v>
      </c>
      <c r="L203" s="228">
        <v>4.95</v>
      </c>
      <c r="M203" s="229">
        <v>7.4000000000000003E-3</v>
      </c>
      <c r="N203" s="228">
        <v>676.7</v>
      </c>
      <c r="O203" s="228">
        <v>673.25</v>
      </c>
      <c r="P203" s="228">
        <v>3.45</v>
      </c>
      <c r="Q203" s="229">
        <v>5.1000000000000004E-3</v>
      </c>
      <c r="R203" s="228">
        <v>680.15</v>
      </c>
      <c r="S203" s="228">
        <v>675.35</v>
      </c>
      <c r="T203" s="228">
        <v>4.8</v>
      </c>
      <c r="U203" s="229">
        <v>7.1000000000000004E-3</v>
      </c>
      <c r="V203" s="228">
        <v>0</v>
      </c>
      <c r="W203" s="228">
        <v>0</v>
      </c>
      <c r="X203" s="228">
        <v>0</v>
      </c>
      <c r="Y203" s="229">
        <v>0</v>
      </c>
      <c r="Z203" s="228">
        <v>0.7</v>
      </c>
      <c r="AA203" s="228">
        <v>2.2000000000000002</v>
      </c>
      <c r="AB203" s="228">
        <v>-1.5</v>
      </c>
      <c r="AC203" s="229">
        <v>1E-3</v>
      </c>
      <c r="AD203" s="228">
        <v>0.7</v>
      </c>
      <c r="AE203" s="228">
        <v>2.2000000000000002</v>
      </c>
      <c r="AF203" s="228">
        <v>-1.5</v>
      </c>
      <c r="AG203" s="229">
        <v>1E-3</v>
      </c>
      <c r="AH203" s="228">
        <v>4.1500000000000004</v>
      </c>
      <c r="AI203" s="228">
        <v>4.3</v>
      </c>
      <c r="AJ203" s="228">
        <v>-0.15</v>
      </c>
      <c r="AK203" s="229">
        <v>6.1000000000000004E-3</v>
      </c>
      <c r="AL203" s="228">
        <v>0</v>
      </c>
      <c r="AM203" s="228">
        <v>0</v>
      </c>
      <c r="AN203" s="228">
        <v>0</v>
      </c>
      <c r="AO203" s="229">
        <v>0</v>
      </c>
      <c r="AP203" s="228">
        <v>677.44</v>
      </c>
      <c r="AQ203" s="228">
        <v>680.67</v>
      </c>
      <c r="AR203" s="228">
        <v>0</v>
      </c>
      <c r="AS203" s="228">
        <v>598</v>
      </c>
      <c r="AT203" s="228">
        <v>311</v>
      </c>
      <c r="AU203" s="228">
        <v>287</v>
      </c>
      <c r="AV203" s="229">
        <v>0.92249999999999999</v>
      </c>
      <c r="AW203" s="228">
        <v>497</v>
      </c>
      <c r="AX203" s="228">
        <v>285</v>
      </c>
      <c r="AY203" s="228">
        <v>212</v>
      </c>
      <c r="AZ203" s="229">
        <v>0.74260000000000004</v>
      </c>
      <c r="BA203" s="228">
        <v>94</v>
      </c>
      <c r="BB203" s="228">
        <v>25</v>
      </c>
      <c r="BC203" s="228">
        <v>69</v>
      </c>
      <c r="BD203" s="229">
        <v>2.7766000000000002</v>
      </c>
      <c r="BE203" s="228">
        <v>0</v>
      </c>
      <c r="BF203" s="228">
        <v>0</v>
      </c>
      <c r="BG203" s="228">
        <v>0</v>
      </c>
      <c r="BH203" s="229">
        <v>0</v>
      </c>
      <c r="BI203" s="228">
        <v>845</v>
      </c>
      <c r="BJ203" s="228">
        <v>652</v>
      </c>
      <c r="BK203" s="228">
        <v>192</v>
      </c>
      <c r="BL203" s="229">
        <v>0.29499999999999998</v>
      </c>
      <c r="BM203" s="228">
        <v>352</v>
      </c>
      <c r="BN203" s="228">
        <v>275</v>
      </c>
      <c r="BO203" s="228">
        <v>77</v>
      </c>
      <c r="BP203" s="229">
        <v>0.28050000000000003</v>
      </c>
      <c r="BQ203" s="230">
        <v>1795</v>
      </c>
      <c r="BR203" s="230">
        <v>1238</v>
      </c>
      <c r="BS203" s="228">
        <v>556</v>
      </c>
      <c r="BT203" s="229">
        <v>0.44929999999999998</v>
      </c>
      <c r="BU203" s="230">
        <v>1761189</v>
      </c>
      <c r="BV203" s="230">
        <v>1014394</v>
      </c>
      <c r="BW203" s="230">
        <v>746795</v>
      </c>
      <c r="BX203" s="229">
        <v>0.73619999999999997</v>
      </c>
      <c r="BY203" s="228">
        <v>755</v>
      </c>
      <c r="BZ203" s="228">
        <v>732</v>
      </c>
      <c r="CA203" s="228">
        <v>23</v>
      </c>
      <c r="CB203" s="229">
        <v>3.1399999999999997E-2</v>
      </c>
      <c r="CC203" s="228">
        <v>713</v>
      </c>
      <c r="CD203" s="228">
        <v>692</v>
      </c>
      <c r="CE203" s="228">
        <v>21</v>
      </c>
      <c r="CF203" s="229">
        <v>3.0099999999999998E-2</v>
      </c>
      <c r="CG203" s="228">
        <v>35</v>
      </c>
      <c r="CH203" s="228">
        <v>33</v>
      </c>
      <c r="CI203" s="228">
        <v>3</v>
      </c>
      <c r="CJ203" s="229">
        <v>8.9399999999999993E-2</v>
      </c>
      <c r="CK203" s="228">
        <v>0</v>
      </c>
      <c r="CL203" s="228">
        <v>0</v>
      </c>
      <c r="CM203" s="228">
        <v>0</v>
      </c>
      <c r="CN203" s="229">
        <v>0</v>
      </c>
      <c r="CO203" s="228">
        <v>214</v>
      </c>
      <c r="CP203" s="228">
        <v>201</v>
      </c>
      <c r="CQ203" s="228">
        <v>13</v>
      </c>
      <c r="CR203" s="229">
        <v>6.54E-2</v>
      </c>
      <c r="CS203" s="228">
        <v>157</v>
      </c>
      <c r="CT203" s="228">
        <v>147</v>
      </c>
      <c r="CU203" s="228">
        <v>10</v>
      </c>
      <c r="CV203" s="229">
        <v>7.0099999999999996E-2</v>
      </c>
      <c r="CW203" s="230">
        <v>1126</v>
      </c>
      <c r="CX203" s="230">
        <v>1080</v>
      </c>
      <c r="CY203" s="228">
        <v>46</v>
      </c>
      <c r="CZ203" s="229">
        <v>4.2999999999999997E-2</v>
      </c>
      <c r="DA203" s="228">
        <v>35.22</v>
      </c>
      <c r="DB203" s="228">
        <v>32.630000000000003</v>
      </c>
      <c r="DC203" s="228">
        <v>2.59</v>
      </c>
      <c r="DD203" s="228">
        <v>2.59</v>
      </c>
      <c r="DE203" s="228">
        <v>34.119999999999997</v>
      </c>
      <c r="DF203" s="228">
        <v>34.19</v>
      </c>
      <c r="DG203" s="228">
        <v>1.1000000000000001</v>
      </c>
      <c r="DH203" s="228">
        <v>-7.0000000000000007E-2</v>
      </c>
      <c r="DI203" s="228">
        <v>35.1</v>
      </c>
      <c r="DJ203" s="228">
        <v>32.11</v>
      </c>
      <c r="DK203" s="228">
        <v>2.99</v>
      </c>
      <c r="DL203" s="228">
        <v>2.99</v>
      </c>
      <c r="DM203" s="228">
        <v>35.51</v>
      </c>
      <c r="DN203" s="228">
        <v>33.869999999999997</v>
      </c>
      <c r="DO203" s="228">
        <v>1.64</v>
      </c>
      <c r="DP203" s="228">
        <v>1.64</v>
      </c>
      <c r="DQ203" s="228">
        <v>0.73</v>
      </c>
      <c r="DR203" s="228">
        <v>0.73</v>
      </c>
      <c r="DS203" s="228">
        <v>0</v>
      </c>
      <c r="DT203" s="229">
        <v>0</v>
      </c>
      <c r="DU203" s="228">
        <v>680</v>
      </c>
      <c r="DV203" s="228">
        <v>650</v>
      </c>
      <c r="DW203" s="228">
        <v>0.42</v>
      </c>
      <c r="DX203" s="228">
        <v>0.42</v>
      </c>
      <c r="DY203" s="228">
        <v>0</v>
      </c>
      <c r="DZ203" s="229">
        <v>0</v>
      </c>
      <c r="EA203" s="229">
        <v>4.6899999999999997E-2</v>
      </c>
      <c r="EB203" s="230">
        <v>481000</v>
      </c>
      <c r="EC203" s="229">
        <v>5.1000000000000004E-3</v>
      </c>
      <c r="ED203" s="229">
        <v>4.6899999999999997E-2</v>
      </c>
      <c r="EE203" s="228">
        <v>3.23</v>
      </c>
      <c r="EF203" s="229">
        <v>4.7999999999999996E-3</v>
      </c>
      <c r="EG203" s="230">
        <v>672342</v>
      </c>
      <c r="EH203" s="230">
        <v>468542</v>
      </c>
      <c r="EI203" s="229">
        <v>0.435</v>
      </c>
      <c r="EJ203" s="229">
        <v>0.38179999999999997</v>
      </c>
      <c r="EK203" s="228">
        <v>872.16</v>
      </c>
      <c r="EL203" s="228">
        <v>352.17</v>
      </c>
      <c r="EM203" s="228">
        <v>598.80999999999995</v>
      </c>
      <c r="EN203" s="228">
        <v>0</v>
      </c>
      <c r="EO203" s="231">
        <v>1823.14</v>
      </c>
      <c r="EP203" s="231">
        <v>1239.48</v>
      </c>
      <c r="EQ203" s="228">
        <v>583.66</v>
      </c>
      <c r="ER203" s="229">
        <v>0.47089999999999999</v>
      </c>
      <c r="ES203" s="228">
        <v>215.2</v>
      </c>
      <c r="ET203" s="228">
        <v>149.79</v>
      </c>
      <c r="EU203" s="228">
        <v>755.65</v>
      </c>
      <c r="EV203" s="231">
        <v>37816323</v>
      </c>
      <c r="EW203" s="231">
        <v>1120.6400000000001</v>
      </c>
      <c r="EX203" s="231">
        <v>1067.73</v>
      </c>
      <c r="EY203" s="228">
        <v>52.91</v>
      </c>
      <c r="EZ203" s="229">
        <v>4.9599999999999998E-2</v>
      </c>
      <c r="FA203" s="229">
        <v>0.44009999999999999</v>
      </c>
      <c r="FB203" s="227" t="s">
        <v>555</v>
      </c>
      <c r="FC203">
        <f t="shared" si="4"/>
        <v>0</v>
      </c>
    </row>
    <row r="204" spans="1:159" ht="17.25" thickBot="1" x14ac:dyDescent="0.3">
      <c r="A204" s="226">
        <v>45860</v>
      </c>
      <c r="B204" s="227" t="s">
        <v>498</v>
      </c>
      <c r="C204" s="227" t="s">
        <v>290</v>
      </c>
      <c r="D204" s="228">
        <v>650</v>
      </c>
      <c r="E204" s="228">
        <v>9</v>
      </c>
      <c r="F204" s="228">
        <v>964</v>
      </c>
      <c r="G204" s="228">
        <v>944.05</v>
      </c>
      <c r="H204" s="228">
        <v>19.95</v>
      </c>
      <c r="I204" s="229">
        <v>2.1100000000000001E-2</v>
      </c>
      <c r="J204" s="228">
        <v>962.65</v>
      </c>
      <c r="K204" s="228">
        <v>940.4</v>
      </c>
      <c r="L204" s="228">
        <v>22.25</v>
      </c>
      <c r="M204" s="229">
        <v>2.3699999999999999E-2</v>
      </c>
      <c r="N204" s="228">
        <v>964</v>
      </c>
      <c r="O204" s="228">
        <v>944.05</v>
      </c>
      <c r="P204" s="228">
        <v>19.95</v>
      </c>
      <c r="Q204" s="229">
        <v>2.1100000000000001E-2</v>
      </c>
      <c r="R204" s="228">
        <v>969.15</v>
      </c>
      <c r="S204" s="228">
        <v>948.5</v>
      </c>
      <c r="T204" s="228">
        <v>20.65</v>
      </c>
      <c r="U204" s="229">
        <v>2.18E-2</v>
      </c>
      <c r="V204" s="228">
        <v>0</v>
      </c>
      <c r="W204" s="228">
        <v>0</v>
      </c>
      <c r="X204" s="228">
        <v>0</v>
      </c>
      <c r="Y204" s="229">
        <v>0</v>
      </c>
      <c r="Z204" s="228">
        <v>1.35</v>
      </c>
      <c r="AA204" s="228">
        <v>3.65</v>
      </c>
      <c r="AB204" s="228">
        <v>-2.2999999999999998</v>
      </c>
      <c r="AC204" s="229">
        <v>1.4E-3</v>
      </c>
      <c r="AD204" s="228">
        <v>1.35</v>
      </c>
      <c r="AE204" s="228">
        <v>3.65</v>
      </c>
      <c r="AF204" s="228">
        <v>-2.2999999999999998</v>
      </c>
      <c r="AG204" s="229">
        <v>1.4E-3</v>
      </c>
      <c r="AH204" s="228">
        <v>6.5</v>
      </c>
      <c r="AI204" s="228">
        <v>8.1</v>
      </c>
      <c r="AJ204" s="228">
        <v>-1.6</v>
      </c>
      <c r="AK204" s="229">
        <v>6.7999999999999996E-3</v>
      </c>
      <c r="AL204" s="228">
        <v>0</v>
      </c>
      <c r="AM204" s="228">
        <v>0</v>
      </c>
      <c r="AN204" s="228">
        <v>0</v>
      </c>
      <c r="AO204" s="229">
        <v>0</v>
      </c>
      <c r="AP204" s="228">
        <v>956.93</v>
      </c>
      <c r="AQ204" s="228">
        <v>961.09</v>
      </c>
      <c r="AR204" s="228">
        <v>0</v>
      </c>
      <c r="AS204" s="228">
        <v>401</v>
      </c>
      <c r="AT204" s="228">
        <v>154</v>
      </c>
      <c r="AU204" s="228">
        <v>247</v>
      </c>
      <c r="AV204" s="229">
        <v>1.6096999999999999</v>
      </c>
      <c r="AW204" s="228">
        <v>333</v>
      </c>
      <c r="AX204" s="228">
        <v>130</v>
      </c>
      <c r="AY204" s="228">
        <v>203</v>
      </c>
      <c r="AZ204" s="229">
        <v>1.5545</v>
      </c>
      <c r="BA204" s="228">
        <v>64</v>
      </c>
      <c r="BB204" s="228">
        <v>22</v>
      </c>
      <c r="BC204" s="228">
        <v>42</v>
      </c>
      <c r="BD204" s="229">
        <v>1.8792</v>
      </c>
      <c r="BE204" s="228">
        <v>0</v>
      </c>
      <c r="BF204" s="228">
        <v>0</v>
      </c>
      <c r="BG204" s="228">
        <v>0</v>
      </c>
      <c r="BH204" s="229">
        <v>0</v>
      </c>
      <c r="BI204" s="230">
        <v>1271</v>
      </c>
      <c r="BJ204" s="228">
        <v>444</v>
      </c>
      <c r="BK204" s="228">
        <v>826</v>
      </c>
      <c r="BL204" s="229">
        <v>1.859</v>
      </c>
      <c r="BM204" s="228">
        <v>315</v>
      </c>
      <c r="BN204" s="228">
        <v>143</v>
      </c>
      <c r="BO204" s="228">
        <v>173</v>
      </c>
      <c r="BP204" s="229">
        <v>1.2104999999999999</v>
      </c>
      <c r="BQ204" s="230">
        <v>1987</v>
      </c>
      <c r="BR204" s="228">
        <v>741</v>
      </c>
      <c r="BS204" s="230">
        <v>1246</v>
      </c>
      <c r="BT204" s="229">
        <v>1.6825000000000001</v>
      </c>
      <c r="BU204" s="230">
        <v>1208144</v>
      </c>
      <c r="BV204" s="230">
        <v>416866</v>
      </c>
      <c r="BW204" s="230">
        <v>791278</v>
      </c>
      <c r="BX204" s="229">
        <v>1.8982000000000001</v>
      </c>
      <c r="BY204" s="228">
        <v>893</v>
      </c>
      <c r="BZ204" s="228">
        <v>904</v>
      </c>
      <c r="CA204" s="228">
        <v>-11</v>
      </c>
      <c r="CB204" s="229">
        <v>-1.2200000000000001E-2</v>
      </c>
      <c r="CC204" s="228">
        <v>798</v>
      </c>
      <c r="CD204" s="228">
        <v>824</v>
      </c>
      <c r="CE204" s="228">
        <v>-27</v>
      </c>
      <c r="CF204" s="229">
        <v>-3.2500000000000001E-2</v>
      </c>
      <c r="CG204" s="228">
        <v>90</v>
      </c>
      <c r="CH204" s="228">
        <v>75</v>
      </c>
      <c r="CI204" s="228">
        <v>15</v>
      </c>
      <c r="CJ204" s="229">
        <v>0.19919999999999999</v>
      </c>
      <c r="CK204" s="228">
        <v>0</v>
      </c>
      <c r="CL204" s="228">
        <v>0</v>
      </c>
      <c r="CM204" s="228">
        <v>0</v>
      </c>
      <c r="CN204" s="229">
        <v>0</v>
      </c>
      <c r="CO204" s="228">
        <v>606</v>
      </c>
      <c r="CP204" s="228">
        <v>586</v>
      </c>
      <c r="CQ204" s="228">
        <v>20</v>
      </c>
      <c r="CR204" s="229">
        <v>3.4700000000000002E-2</v>
      </c>
      <c r="CS204" s="228">
        <v>354</v>
      </c>
      <c r="CT204" s="228">
        <v>357</v>
      </c>
      <c r="CU204" s="228">
        <v>-3</v>
      </c>
      <c r="CV204" s="229">
        <v>-8.8000000000000005E-3</v>
      </c>
      <c r="CW204" s="230">
        <v>1853</v>
      </c>
      <c r="CX204" s="230">
        <v>1847</v>
      </c>
      <c r="CY204" s="228">
        <v>6</v>
      </c>
      <c r="CZ204" s="229">
        <v>3.3999999999999998E-3</v>
      </c>
      <c r="DA204" s="228">
        <v>32.64</v>
      </c>
      <c r="DB204" s="228">
        <v>30.65</v>
      </c>
      <c r="DC204" s="228">
        <v>1.99</v>
      </c>
      <c r="DD204" s="228">
        <v>1.99</v>
      </c>
      <c r="DE204" s="228">
        <v>35.659999999999997</v>
      </c>
      <c r="DF204" s="228">
        <v>35.630000000000003</v>
      </c>
      <c r="DG204" s="228">
        <v>-3.02</v>
      </c>
      <c r="DH204" s="228">
        <v>0.03</v>
      </c>
      <c r="DI204" s="228">
        <v>32.61</v>
      </c>
      <c r="DJ204" s="228">
        <v>30.63</v>
      </c>
      <c r="DK204" s="228">
        <v>1.98</v>
      </c>
      <c r="DL204" s="228">
        <v>1.98</v>
      </c>
      <c r="DM204" s="228">
        <v>32.75</v>
      </c>
      <c r="DN204" s="228">
        <v>30.73</v>
      </c>
      <c r="DO204" s="228">
        <v>2.02</v>
      </c>
      <c r="DP204" s="228">
        <v>2.02</v>
      </c>
      <c r="DQ204" s="228">
        <v>0.57999999999999996</v>
      </c>
      <c r="DR204" s="228">
        <v>0.61</v>
      </c>
      <c r="DS204" s="228">
        <v>-0.03</v>
      </c>
      <c r="DT204" s="229">
        <v>-4.9200000000000001E-2</v>
      </c>
      <c r="DU204" s="231">
        <v>1000</v>
      </c>
      <c r="DV204" s="228">
        <v>900</v>
      </c>
      <c r="DW204" s="228">
        <v>0.25</v>
      </c>
      <c r="DX204" s="228">
        <v>0.32</v>
      </c>
      <c r="DY204" s="228">
        <v>-7.0000000000000007E-2</v>
      </c>
      <c r="DZ204" s="229">
        <v>-0.21879999999999999</v>
      </c>
      <c r="EA204" s="229">
        <v>0.10100000000000001</v>
      </c>
      <c r="EB204" s="230">
        <v>780000</v>
      </c>
      <c r="EC204" s="229">
        <v>5.3E-3</v>
      </c>
      <c r="ED204" s="229">
        <v>0.10100000000000001</v>
      </c>
      <c r="EE204" s="228">
        <v>4.16</v>
      </c>
      <c r="EF204" s="229">
        <v>4.3E-3</v>
      </c>
      <c r="EG204" s="230">
        <v>567913</v>
      </c>
      <c r="EH204" s="230">
        <v>173072</v>
      </c>
      <c r="EI204" s="229">
        <v>2.2814000000000001</v>
      </c>
      <c r="EJ204" s="229">
        <v>0.47010000000000002</v>
      </c>
      <c r="EK204" s="231">
        <v>1304.18</v>
      </c>
      <c r="EL204" s="228">
        <v>308.33999999999997</v>
      </c>
      <c r="EM204" s="228">
        <v>398.35</v>
      </c>
      <c r="EN204" s="228">
        <v>0</v>
      </c>
      <c r="EO204" s="231">
        <v>2010.86</v>
      </c>
      <c r="EP204" s="228">
        <v>739.82</v>
      </c>
      <c r="EQ204" s="231">
        <v>1271.04</v>
      </c>
      <c r="ER204" s="229">
        <v>1.718</v>
      </c>
      <c r="ES204" s="228">
        <v>617.26</v>
      </c>
      <c r="ET204" s="228">
        <v>337.5</v>
      </c>
      <c r="EU204" s="228">
        <v>893.2</v>
      </c>
      <c r="EV204" s="231">
        <v>31601465</v>
      </c>
      <c r="EW204" s="231">
        <v>1847.96</v>
      </c>
      <c r="EX204" s="231">
        <v>1819.21</v>
      </c>
      <c r="EY204" s="228">
        <v>28.75</v>
      </c>
      <c r="EZ204" s="229">
        <v>1.5800000000000002E-2</v>
      </c>
      <c r="FA204" s="229">
        <v>0.60829999999999995</v>
      </c>
      <c r="FB204" s="227" t="s">
        <v>556</v>
      </c>
      <c r="FC204">
        <f t="shared" si="4"/>
        <v>0</v>
      </c>
    </row>
    <row r="205" spans="1:159" ht="17.25" thickBot="1" x14ac:dyDescent="0.3">
      <c r="A205" s="226">
        <v>45860</v>
      </c>
      <c r="B205" s="227" t="s">
        <v>188</v>
      </c>
      <c r="C205" s="227" t="s">
        <v>552</v>
      </c>
      <c r="D205" s="228">
        <v>350</v>
      </c>
      <c r="E205" s="228">
        <v>9</v>
      </c>
      <c r="F205" s="231">
        <v>1742.9</v>
      </c>
      <c r="G205" s="231">
        <v>1774</v>
      </c>
      <c r="H205" s="228">
        <v>-31.1</v>
      </c>
      <c r="I205" s="229">
        <v>-1.7500000000000002E-2</v>
      </c>
      <c r="J205" s="231">
        <v>1736.7</v>
      </c>
      <c r="K205" s="231">
        <v>1771.2</v>
      </c>
      <c r="L205" s="228">
        <v>-34.5</v>
      </c>
      <c r="M205" s="229">
        <v>-1.95E-2</v>
      </c>
      <c r="N205" s="231">
        <v>1742.9</v>
      </c>
      <c r="O205" s="231">
        <v>1774</v>
      </c>
      <c r="P205" s="228">
        <v>-31.1</v>
      </c>
      <c r="Q205" s="229">
        <v>-1.7500000000000002E-2</v>
      </c>
      <c r="R205" s="228">
        <v>0</v>
      </c>
      <c r="S205" s="228">
        <v>0</v>
      </c>
      <c r="T205" s="228">
        <v>0</v>
      </c>
      <c r="U205" s="229">
        <v>0</v>
      </c>
      <c r="V205" s="228">
        <v>0</v>
      </c>
      <c r="W205" s="228">
        <v>0</v>
      </c>
      <c r="X205" s="228">
        <v>0</v>
      </c>
      <c r="Y205" s="229">
        <v>0</v>
      </c>
      <c r="Z205" s="228">
        <v>6.2</v>
      </c>
      <c r="AA205" s="228">
        <v>2.8</v>
      </c>
      <c r="AB205" s="228">
        <v>3.4</v>
      </c>
      <c r="AC205" s="229">
        <v>3.5999999999999999E-3</v>
      </c>
      <c r="AD205" s="228">
        <v>6.2</v>
      </c>
      <c r="AE205" s="228">
        <v>2.8</v>
      </c>
      <c r="AF205" s="228">
        <v>3.4</v>
      </c>
      <c r="AG205" s="229">
        <v>3.5999999999999999E-3</v>
      </c>
      <c r="AH205" s="228">
        <v>0</v>
      </c>
      <c r="AI205" s="228">
        <v>0</v>
      </c>
      <c r="AJ205" s="228">
        <v>0</v>
      </c>
      <c r="AK205" s="229">
        <v>0</v>
      </c>
      <c r="AL205" s="228">
        <v>0</v>
      </c>
      <c r="AM205" s="228">
        <v>0</v>
      </c>
      <c r="AN205" s="228">
        <v>0</v>
      </c>
      <c r="AO205" s="229">
        <v>0</v>
      </c>
      <c r="AP205" s="231">
        <v>1755.52</v>
      </c>
      <c r="AQ205" s="228">
        <v>0</v>
      </c>
      <c r="AR205" s="228">
        <v>0</v>
      </c>
      <c r="AS205" s="228">
        <v>151</v>
      </c>
      <c r="AT205" s="228">
        <v>249</v>
      </c>
      <c r="AU205" s="228">
        <v>-98</v>
      </c>
      <c r="AV205" s="229">
        <v>-0.39460000000000001</v>
      </c>
      <c r="AW205" s="228">
        <v>151</v>
      </c>
      <c r="AX205" s="228">
        <v>249</v>
      </c>
      <c r="AY205" s="228">
        <v>-98</v>
      </c>
      <c r="AZ205" s="229">
        <v>-0.39460000000000001</v>
      </c>
      <c r="BA205" s="228">
        <v>0</v>
      </c>
      <c r="BB205" s="228">
        <v>0</v>
      </c>
      <c r="BC205" s="228">
        <v>0</v>
      </c>
      <c r="BD205" s="229">
        <v>0</v>
      </c>
      <c r="BE205" s="228">
        <v>0</v>
      </c>
      <c r="BF205" s="228">
        <v>0</v>
      </c>
      <c r="BG205" s="228">
        <v>0</v>
      </c>
      <c r="BH205" s="229">
        <v>0</v>
      </c>
      <c r="BI205" s="228">
        <v>670</v>
      </c>
      <c r="BJ205" s="230">
        <v>1666</v>
      </c>
      <c r="BK205" s="228">
        <v>-996</v>
      </c>
      <c r="BL205" s="229">
        <v>-0.59789999999999999</v>
      </c>
      <c r="BM205" s="228">
        <v>353</v>
      </c>
      <c r="BN205" s="228">
        <v>541</v>
      </c>
      <c r="BO205" s="228">
        <v>-188</v>
      </c>
      <c r="BP205" s="229">
        <v>-0.34799999999999998</v>
      </c>
      <c r="BQ205" s="230">
        <v>1173</v>
      </c>
      <c r="BR205" s="230">
        <v>2456</v>
      </c>
      <c r="BS205" s="230">
        <v>-1282</v>
      </c>
      <c r="BT205" s="229">
        <v>-0.5222</v>
      </c>
      <c r="BU205" s="230">
        <v>471818</v>
      </c>
      <c r="BV205" s="230">
        <v>688015</v>
      </c>
      <c r="BW205" s="230">
        <v>-216197</v>
      </c>
      <c r="BX205" s="229">
        <v>-0.31419999999999998</v>
      </c>
      <c r="BY205" s="228">
        <v>339</v>
      </c>
      <c r="BZ205" s="228">
        <v>354</v>
      </c>
      <c r="CA205" s="228">
        <v>-15</v>
      </c>
      <c r="CB205" s="229">
        <v>-4.2200000000000001E-2</v>
      </c>
      <c r="CC205" s="228">
        <v>339</v>
      </c>
      <c r="CD205" s="228">
        <v>354</v>
      </c>
      <c r="CE205" s="228">
        <v>-15</v>
      </c>
      <c r="CF205" s="229">
        <v>-4.2200000000000001E-2</v>
      </c>
      <c r="CG205" s="228">
        <v>0</v>
      </c>
      <c r="CH205" s="228">
        <v>0</v>
      </c>
      <c r="CI205" s="228">
        <v>0</v>
      </c>
      <c r="CJ205" s="229">
        <v>0</v>
      </c>
      <c r="CK205" s="228">
        <v>0</v>
      </c>
      <c r="CL205" s="228">
        <v>0</v>
      </c>
      <c r="CM205" s="228">
        <v>0</v>
      </c>
      <c r="CN205" s="229">
        <v>0</v>
      </c>
      <c r="CO205" s="228">
        <v>551</v>
      </c>
      <c r="CP205" s="228">
        <v>562</v>
      </c>
      <c r="CQ205" s="228">
        <v>-11</v>
      </c>
      <c r="CR205" s="229">
        <v>-1.9099999999999999E-2</v>
      </c>
      <c r="CS205" s="228">
        <v>279</v>
      </c>
      <c r="CT205" s="228">
        <v>326</v>
      </c>
      <c r="CU205" s="228">
        <v>-47</v>
      </c>
      <c r="CV205" s="229">
        <v>-0.14419999999999999</v>
      </c>
      <c r="CW205" s="230">
        <v>1169</v>
      </c>
      <c r="CX205" s="230">
        <v>1242</v>
      </c>
      <c r="CY205" s="228">
        <v>-73</v>
      </c>
      <c r="CZ205" s="229">
        <v>-5.8500000000000003E-2</v>
      </c>
      <c r="DA205" s="228">
        <v>27.42</v>
      </c>
      <c r="DB205" s="228">
        <v>27.41</v>
      </c>
      <c r="DC205" s="228">
        <v>0.01</v>
      </c>
      <c r="DD205" s="228">
        <v>0.01</v>
      </c>
      <c r="DE205" s="228">
        <v>33.39</v>
      </c>
      <c r="DF205" s="228">
        <v>33.39</v>
      </c>
      <c r="DG205" s="228">
        <v>-5.97</v>
      </c>
      <c r="DH205" s="228">
        <v>0</v>
      </c>
      <c r="DI205" s="228">
        <v>28</v>
      </c>
      <c r="DJ205" s="228">
        <v>27.13</v>
      </c>
      <c r="DK205" s="228">
        <v>0.87</v>
      </c>
      <c r="DL205" s="228">
        <v>0.87</v>
      </c>
      <c r="DM205" s="228">
        <v>26.32</v>
      </c>
      <c r="DN205" s="228">
        <v>28.27</v>
      </c>
      <c r="DO205" s="228">
        <v>-1.95</v>
      </c>
      <c r="DP205" s="228">
        <v>-1.95</v>
      </c>
      <c r="DQ205" s="228">
        <v>0.51</v>
      </c>
      <c r="DR205" s="228">
        <v>0.57999999999999996</v>
      </c>
      <c r="DS205" s="228">
        <v>-7.0000000000000007E-2</v>
      </c>
      <c r="DT205" s="229">
        <v>-0.1207</v>
      </c>
      <c r="DU205" s="231">
        <v>1800</v>
      </c>
      <c r="DV205" s="231">
        <v>1680</v>
      </c>
      <c r="DW205" s="228">
        <v>0.53</v>
      </c>
      <c r="DX205" s="228">
        <v>0.32</v>
      </c>
      <c r="DY205" s="228">
        <v>0.21</v>
      </c>
      <c r="DZ205" s="229">
        <v>0.65629999999999999</v>
      </c>
      <c r="EA205" s="229">
        <v>0</v>
      </c>
      <c r="EB205" s="228">
        <v>0</v>
      </c>
      <c r="EC205" s="229">
        <v>0</v>
      </c>
      <c r="ED205" s="229">
        <v>0</v>
      </c>
      <c r="EE205" s="228">
        <v>0</v>
      </c>
      <c r="EF205" s="229">
        <v>0</v>
      </c>
      <c r="EG205" s="230">
        <v>235495</v>
      </c>
      <c r="EH205" s="230">
        <v>174787</v>
      </c>
      <c r="EI205" s="229">
        <v>0.3473</v>
      </c>
      <c r="EJ205" s="229">
        <v>0.49909999999999999</v>
      </c>
      <c r="EK205" s="228">
        <v>704.86</v>
      </c>
      <c r="EL205" s="228">
        <v>353.23</v>
      </c>
      <c r="EM205" s="228">
        <v>151.76</v>
      </c>
      <c r="EN205" s="228">
        <v>0</v>
      </c>
      <c r="EO205" s="231">
        <v>1209.8499999999999</v>
      </c>
      <c r="EP205" s="231">
        <v>2562.85</v>
      </c>
      <c r="EQ205" s="231">
        <v>-1353</v>
      </c>
      <c r="ER205" s="229">
        <v>-0.52790000000000004</v>
      </c>
      <c r="ES205" s="228">
        <v>581.41</v>
      </c>
      <c r="ET205" s="228">
        <v>271.32</v>
      </c>
      <c r="EU205" s="228">
        <v>338.92</v>
      </c>
      <c r="EV205" s="231">
        <v>23447901</v>
      </c>
      <c r="EW205" s="231">
        <v>1191.6500000000001</v>
      </c>
      <c r="EX205" s="231">
        <v>1272.76</v>
      </c>
      <c r="EY205" s="228">
        <v>-81.11</v>
      </c>
      <c r="EZ205" s="229">
        <v>-6.3700000000000007E-2</v>
      </c>
      <c r="FA205" s="229">
        <v>0.28599999999999998</v>
      </c>
      <c r="FB205" s="227" t="s">
        <v>568</v>
      </c>
      <c r="FC205">
        <f t="shared" si="4"/>
        <v>0</v>
      </c>
    </row>
    <row r="206" spans="1:159" ht="17.25" thickBot="1" x14ac:dyDescent="0.3">
      <c r="A206" s="226">
        <v>45860</v>
      </c>
      <c r="B206" s="227" t="s">
        <v>168</v>
      </c>
      <c r="C206" s="227" t="s">
        <v>291</v>
      </c>
      <c r="D206" s="228">
        <v>550</v>
      </c>
      <c r="E206" s="228">
        <v>9</v>
      </c>
      <c r="F206" s="231">
        <v>1085.2</v>
      </c>
      <c r="G206" s="231">
        <v>1091.0999999999999</v>
      </c>
      <c r="H206" s="228">
        <v>-5.9</v>
      </c>
      <c r="I206" s="229">
        <v>-5.4000000000000003E-3</v>
      </c>
      <c r="J206" s="231">
        <v>1084.8</v>
      </c>
      <c r="K206" s="231">
        <v>1090.3</v>
      </c>
      <c r="L206" s="228">
        <v>-5.5</v>
      </c>
      <c r="M206" s="229">
        <v>-5.0000000000000001E-3</v>
      </c>
      <c r="N206" s="231">
        <v>1085.2</v>
      </c>
      <c r="O206" s="231">
        <v>1091.0999999999999</v>
      </c>
      <c r="P206" s="228">
        <v>-5.9</v>
      </c>
      <c r="Q206" s="229">
        <v>-5.4000000000000003E-3</v>
      </c>
      <c r="R206" s="231">
        <v>1091.2</v>
      </c>
      <c r="S206" s="231">
        <v>1096.8</v>
      </c>
      <c r="T206" s="228">
        <v>-5.6</v>
      </c>
      <c r="U206" s="229">
        <v>-5.1000000000000004E-3</v>
      </c>
      <c r="V206" s="228">
        <v>0</v>
      </c>
      <c r="W206" s="228">
        <v>0</v>
      </c>
      <c r="X206" s="228">
        <v>0</v>
      </c>
      <c r="Y206" s="229">
        <v>0</v>
      </c>
      <c r="Z206" s="228">
        <v>0.4</v>
      </c>
      <c r="AA206" s="228">
        <v>0.8</v>
      </c>
      <c r="AB206" s="228">
        <v>-0.4</v>
      </c>
      <c r="AC206" s="229">
        <v>4.0000000000000002E-4</v>
      </c>
      <c r="AD206" s="228">
        <v>0.4</v>
      </c>
      <c r="AE206" s="228">
        <v>0.8</v>
      </c>
      <c r="AF206" s="228">
        <v>-0.4</v>
      </c>
      <c r="AG206" s="229">
        <v>4.0000000000000002E-4</v>
      </c>
      <c r="AH206" s="228">
        <v>6.4</v>
      </c>
      <c r="AI206" s="228">
        <v>6.5</v>
      </c>
      <c r="AJ206" s="228">
        <v>-0.1</v>
      </c>
      <c r="AK206" s="229">
        <v>5.8999999999999999E-3</v>
      </c>
      <c r="AL206" s="228">
        <v>0</v>
      </c>
      <c r="AM206" s="228">
        <v>0</v>
      </c>
      <c r="AN206" s="228">
        <v>0</v>
      </c>
      <c r="AO206" s="229">
        <v>0</v>
      </c>
      <c r="AP206" s="231">
        <v>1083.57</v>
      </c>
      <c r="AQ206" s="231">
        <v>1089.48</v>
      </c>
      <c r="AR206" s="228">
        <v>0</v>
      </c>
      <c r="AS206" s="228">
        <v>176</v>
      </c>
      <c r="AT206" s="228">
        <v>240</v>
      </c>
      <c r="AU206" s="228">
        <v>-64</v>
      </c>
      <c r="AV206" s="229">
        <v>-0.26590000000000003</v>
      </c>
      <c r="AW206" s="228">
        <v>147</v>
      </c>
      <c r="AX206" s="228">
        <v>223</v>
      </c>
      <c r="AY206" s="228">
        <v>-76</v>
      </c>
      <c r="AZ206" s="229">
        <v>-0.34010000000000001</v>
      </c>
      <c r="BA206" s="228">
        <v>28</v>
      </c>
      <c r="BB206" s="228">
        <v>16</v>
      </c>
      <c r="BC206" s="228">
        <v>12</v>
      </c>
      <c r="BD206" s="229">
        <v>0.76980000000000004</v>
      </c>
      <c r="BE206" s="228">
        <v>0</v>
      </c>
      <c r="BF206" s="228">
        <v>0</v>
      </c>
      <c r="BG206" s="228">
        <v>0</v>
      </c>
      <c r="BH206" s="229">
        <v>0</v>
      </c>
      <c r="BI206" s="228">
        <v>322</v>
      </c>
      <c r="BJ206" s="228">
        <v>445</v>
      </c>
      <c r="BK206" s="228">
        <v>-123</v>
      </c>
      <c r="BL206" s="229">
        <v>-0.27710000000000001</v>
      </c>
      <c r="BM206" s="228">
        <v>229</v>
      </c>
      <c r="BN206" s="228">
        <v>375</v>
      </c>
      <c r="BO206" s="228">
        <v>-146</v>
      </c>
      <c r="BP206" s="229">
        <v>-0.38990000000000002</v>
      </c>
      <c r="BQ206" s="228">
        <v>726</v>
      </c>
      <c r="BR206" s="230">
        <v>1059</v>
      </c>
      <c r="BS206" s="228">
        <v>-333</v>
      </c>
      <c r="BT206" s="229">
        <v>-0.3145</v>
      </c>
      <c r="BU206" s="230">
        <v>984220</v>
      </c>
      <c r="BV206" s="230">
        <v>839483</v>
      </c>
      <c r="BW206" s="230">
        <v>144737</v>
      </c>
      <c r="BX206" s="229">
        <v>0.1724</v>
      </c>
      <c r="BY206" s="230">
        <v>1673</v>
      </c>
      <c r="BZ206" s="230">
        <v>1670</v>
      </c>
      <c r="CA206" s="228">
        <v>4</v>
      </c>
      <c r="CB206" s="229">
        <v>2.3E-3</v>
      </c>
      <c r="CC206" s="230">
        <v>1576</v>
      </c>
      <c r="CD206" s="230">
        <v>1592</v>
      </c>
      <c r="CE206" s="228">
        <v>-16</v>
      </c>
      <c r="CF206" s="229">
        <v>-1.0200000000000001E-2</v>
      </c>
      <c r="CG206" s="228">
        <v>92</v>
      </c>
      <c r="CH206" s="228">
        <v>72</v>
      </c>
      <c r="CI206" s="228">
        <v>20</v>
      </c>
      <c r="CJ206" s="229">
        <v>0.27539999999999998</v>
      </c>
      <c r="CK206" s="228">
        <v>0</v>
      </c>
      <c r="CL206" s="228">
        <v>0</v>
      </c>
      <c r="CM206" s="228">
        <v>0</v>
      </c>
      <c r="CN206" s="229">
        <v>0</v>
      </c>
      <c r="CO206" s="228">
        <v>605</v>
      </c>
      <c r="CP206" s="228">
        <v>601</v>
      </c>
      <c r="CQ206" s="228">
        <v>4</v>
      </c>
      <c r="CR206" s="229">
        <v>6.6E-3</v>
      </c>
      <c r="CS206" s="228">
        <v>409</v>
      </c>
      <c r="CT206" s="228">
        <v>390</v>
      </c>
      <c r="CU206" s="228">
        <v>18</v>
      </c>
      <c r="CV206" s="229">
        <v>4.7100000000000003E-2</v>
      </c>
      <c r="CW206" s="230">
        <v>2687</v>
      </c>
      <c r="CX206" s="230">
        <v>2661</v>
      </c>
      <c r="CY206" s="228">
        <v>26</v>
      </c>
      <c r="CZ206" s="229">
        <v>9.7999999999999997E-3</v>
      </c>
      <c r="DA206" s="228">
        <v>30.68</v>
      </c>
      <c r="DB206" s="228">
        <v>28.77</v>
      </c>
      <c r="DC206" s="228">
        <v>1.91</v>
      </c>
      <c r="DD206" s="228">
        <v>1.91</v>
      </c>
      <c r="DE206" s="228">
        <v>28.18</v>
      </c>
      <c r="DF206" s="228">
        <v>28.24</v>
      </c>
      <c r="DG206" s="228">
        <v>2.5</v>
      </c>
      <c r="DH206" s="228">
        <v>-0.06</v>
      </c>
      <c r="DI206" s="228">
        <v>30.92</v>
      </c>
      <c r="DJ206" s="228">
        <v>29.05</v>
      </c>
      <c r="DK206" s="228">
        <v>1.87</v>
      </c>
      <c r="DL206" s="228">
        <v>1.87</v>
      </c>
      <c r="DM206" s="228">
        <v>30.33</v>
      </c>
      <c r="DN206" s="228">
        <v>28.45</v>
      </c>
      <c r="DO206" s="228">
        <v>1.88</v>
      </c>
      <c r="DP206" s="228">
        <v>1.88</v>
      </c>
      <c r="DQ206" s="228">
        <v>0.68</v>
      </c>
      <c r="DR206" s="228">
        <v>0.65</v>
      </c>
      <c r="DS206" s="228">
        <v>0.03</v>
      </c>
      <c r="DT206" s="229">
        <v>4.6199999999999998E-2</v>
      </c>
      <c r="DU206" s="231">
        <v>1230</v>
      </c>
      <c r="DV206" s="228">
        <v>980</v>
      </c>
      <c r="DW206" s="228">
        <v>0.71</v>
      </c>
      <c r="DX206" s="228">
        <v>0.84</v>
      </c>
      <c r="DY206" s="228">
        <v>-0.13</v>
      </c>
      <c r="DZ206" s="229">
        <v>-0.15479999999999999</v>
      </c>
      <c r="EA206" s="229">
        <v>5.5199999999999999E-2</v>
      </c>
      <c r="EB206" s="230">
        <v>667150</v>
      </c>
      <c r="EC206" s="229">
        <v>5.4999999999999997E-3</v>
      </c>
      <c r="ED206" s="229">
        <v>5.5199999999999999E-2</v>
      </c>
      <c r="EE206" s="228">
        <v>5.91</v>
      </c>
      <c r="EF206" s="229">
        <v>5.4999999999999997E-3</v>
      </c>
      <c r="EG206" s="230">
        <v>661307</v>
      </c>
      <c r="EH206" s="230">
        <v>524736</v>
      </c>
      <c r="EI206" s="229">
        <v>0.26029999999999998</v>
      </c>
      <c r="EJ206" s="229">
        <v>0.67190000000000005</v>
      </c>
      <c r="EK206" s="228">
        <v>335.84</v>
      </c>
      <c r="EL206" s="228">
        <v>225.91</v>
      </c>
      <c r="EM206" s="228">
        <v>175.73</v>
      </c>
      <c r="EN206" s="228">
        <v>0</v>
      </c>
      <c r="EO206" s="228">
        <v>737.48</v>
      </c>
      <c r="EP206" s="231">
        <v>1078.52</v>
      </c>
      <c r="EQ206" s="228">
        <v>-341.04</v>
      </c>
      <c r="ER206" s="229">
        <v>-0.31619999999999998</v>
      </c>
      <c r="ES206" s="228">
        <v>647.20000000000005</v>
      </c>
      <c r="ET206" s="228">
        <v>391.48</v>
      </c>
      <c r="EU206" s="231">
        <v>1674.04</v>
      </c>
      <c r="EV206" s="231">
        <v>130936945</v>
      </c>
      <c r="EW206" s="231">
        <v>2712.72</v>
      </c>
      <c r="EX206" s="231">
        <v>2696.51</v>
      </c>
      <c r="EY206" s="228">
        <v>16.21</v>
      </c>
      <c r="EZ206" s="229">
        <v>6.0000000000000001E-3</v>
      </c>
      <c r="FA206" s="229">
        <v>0.18909999999999999</v>
      </c>
      <c r="FB206" s="227" t="s">
        <v>567</v>
      </c>
      <c r="FC206">
        <f t="shared" si="4"/>
        <v>0</v>
      </c>
    </row>
    <row r="207" spans="1:159" ht="17.25" thickBot="1" x14ac:dyDescent="0.3">
      <c r="A207" s="226">
        <v>45860</v>
      </c>
      <c r="B207" s="227" t="s">
        <v>221</v>
      </c>
      <c r="C207" s="227" t="s">
        <v>605</v>
      </c>
      <c r="D207" s="228">
        <v>100</v>
      </c>
      <c r="E207" s="228">
        <v>9</v>
      </c>
      <c r="F207" s="231">
        <v>6209.5</v>
      </c>
      <c r="G207" s="231">
        <v>6207.5</v>
      </c>
      <c r="H207" s="228">
        <v>2</v>
      </c>
      <c r="I207" s="229">
        <v>2.9999999999999997E-4</v>
      </c>
      <c r="J207" s="231">
        <v>6210</v>
      </c>
      <c r="K207" s="231">
        <v>6198.5</v>
      </c>
      <c r="L207" s="228">
        <v>11.5</v>
      </c>
      <c r="M207" s="229">
        <v>1.9E-3</v>
      </c>
      <c r="N207" s="231">
        <v>6209.5</v>
      </c>
      <c r="O207" s="231">
        <v>6207.5</v>
      </c>
      <c r="P207" s="228">
        <v>2</v>
      </c>
      <c r="Q207" s="229">
        <v>2.9999999999999997E-4</v>
      </c>
      <c r="R207" s="231">
        <v>6189.5</v>
      </c>
      <c r="S207" s="231">
        <v>6175</v>
      </c>
      <c r="T207" s="228">
        <v>14.5</v>
      </c>
      <c r="U207" s="229">
        <v>2.3E-3</v>
      </c>
      <c r="V207" s="228">
        <v>0</v>
      </c>
      <c r="W207" s="228">
        <v>0</v>
      </c>
      <c r="X207" s="228">
        <v>0</v>
      </c>
      <c r="Y207" s="229">
        <v>0</v>
      </c>
      <c r="Z207" s="228">
        <v>-0.5</v>
      </c>
      <c r="AA207" s="228">
        <v>9</v>
      </c>
      <c r="AB207" s="228">
        <v>-9.5</v>
      </c>
      <c r="AC207" s="229">
        <v>-1E-4</v>
      </c>
      <c r="AD207" s="228">
        <v>-0.5</v>
      </c>
      <c r="AE207" s="228">
        <v>9</v>
      </c>
      <c r="AF207" s="228">
        <v>-9.5</v>
      </c>
      <c r="AG207" s="229">
        <v>-1E-4</v>
      </c>
      <c r="AH207" s="228">
        <v>-20.5</v>
      </c>
      <c r="AI207" s="228">
        <v>-23.5</v>
      </c>
      <c r="AJ207" s="228">
        <v>3</v>
      </c>
      <c r="AK207" s="229">
        <v>-3.3E-3</v>
      </c>
      <c r="AL207" s="228">
        <v>0</v>
      </c>
      <c r="AM207" s="228">
        <v>0</v>
      </c>
      <c r="AN207" s="228">
        <v>0</v>
      </c>
      <c r="AO207" s="229">
        <v>0</v>
      </c>
      <c r="AP207" s="231">
        <v>6208.56</v>
      </c>
      <c r="AQ207" s="231">
        <v>6184.49</v>
      </c>
      <c r="AR207" s="228">
        <v>0</v>
      </c>
      <c r="AS207" s="228">
        <v>129</v>
      </c>
      <c r="AT207" s="228">
        <v>126</v>
      </c>
      <c r="AU207" s="228">
        <v>3</v>
      </c>
      <c r="AV207" s="229">
        <v>2.7199999999999998E-2</v>
      </c>
      <c r="AW207" s="228">
        <v>91</v>
      </c>
      <c r="AX207" s="228">
        <v>99</v>
      </c>
      <c r="AY207" s="228">
        <v>-8</v>
      </c>
      <c r="AZ207" s="229">
        <v>-8.3400000000000002E-2</v>
      </c>
      <c r="BA207" s="228">
        <v>38</v>
      </c>
      <c r="BB207" s="228">
        <v>26</v>
      </c>
      <c r="BC207" s="228">
        <v>12</v>
      </c>
      <c r="BD207" s="229">
        <v>0.46899999999999997</v>
      </c>
      <c r="BE207" s="228">
        <v>0</v>
      </c>
      <c r="BF207" s="228">
        <v>0</v>
      </c>
      <c r="BG207" s="228">
        <v>0</v>
      </c>
      <c r="BH207" s="229">
        <v>0</v>
      </c>
      <c r="BI207" s="228">
        <v>282</v>
      </c>
      <c r="BJ207" s="228">
        <v>485</v>
      </c>
      <c r="BK207" s="228">
        <v>-203</v>
      </c>
      <c r="BL207" s="229">
        <v>-0.41810000000000003</v>
      </c>
      <c r="BM207" s="228">
        <v>184</v>
      </c>
      <c r="BN207" s="228">
        <v>246</v>
      </c>
      <c r="BO207" s="228">
        <v>-61</v>
      </c>
      <c r="BP207" s="229">
        <v>-0.24940000000000001</v>
      </c>
      <c r="BQ207" s="228">
        <v>596</v>
      </c>
      <c r="BR207" s="228">
        <v>856</v>
      </c>
      <c r="BS207" s="228">
        <v>-260</v>
      </c>
      <c r="BT207" s="229">
        <v>-0.30430000000000001</v>
      </c>
      <c r="BU207" s="230">
        <v>135022</v>
      </c>
      <c r="BV207" s="230">
        <v>101138</v>
      </c>
      <c r="BW207" s="230">
        <v>33884</v>
      </c>
      <c r="BX207" s="229">
        <v>0.33500000000000002</v>
      </c>
      <c r="BY207" s="230">
        <v>1459</v>
      </c>
      <c r="BZ207" s="230">
        <v>1449</v>
      </c>
      <c r="CA207" s="228">
        <v>10</v>
      </c>
      <c r="CB207" s="229">
        <v>6.8999999999999999E-3</v>
      </c>
      <c r="CC207" s="230">
        <v>1081</v>
      </c>
      <c r="CD207" s="230">
        <v>1092</v>
      </c>
      <c r="CE207" s="228">
        <v>-10</v>
      </c>
      <c r="CF207" s="229">
        <v>-9.4000000000000004E-3</v>
      </c>
      <c r="CG207" s="228">
        <v>370</v>
      </c>
      <c r="CH207" s="228">
        <v>349</v>
      </c>
      <c r="CI207" s="228">
        <v>20</v>
      </c>
      <c r="CJ207" s="229">
        <v>5.79E-2</v>
      </c>
      <c r="CK207" s="228">
        <v>0</v>
      </c>
      <c r="CL207" s="228">
        <v>0</v>
      </c>
      <c r="CM207" s="228">
        <v>0</v>
      </c>
      <c r="CN207" s="229">
        <v>0</v>
      </c>
      <c r="CO207" s="228">
        <v>511</v>
      </c>
      <c r="CP207" s="228">
        <v>553</v>
      </c>
      <c r="CQ207" s="228">
        <v>-43</v>
      </c>
      <c r="CR207" s="229">
        <v>-7.7299999999999994E-2</v>
      </c>
      <c r="CS207" s="228">
        <v>451</v>
      </c>
      <c r="CT207" s="228">
        <v>495</v>
      </c>
      <c r="CU207" s="228">
        <v>-44</v>
      </c>
      <c r="CV207" s="229">
        <v>-8.8999999999999996E-2</v>
      </c>
      <c r="CW207" s="230">
        <v>2420</v>
      </c>
      <c r="CX207" s="230">
        <v>2497</v>
      </c>
      <c r="CY207" s="228">
        <v>-77</v>
      </c>
      <c r="CZ207" s="229">
        <v>-3.0800000000000001E-2</v>
      </c>
      <c r="DA207" s="228">
        <v>30</v>
      </c>
      <c r="DB207" s="228">
        <v>31.37</v>
      </c>
      <c r="DC207" s="228">
        <v>-1.37</v>
      </c>
      <c r="DD207" s="228">
        <v>-1.37</v>
      </c>
      <c r="DE207" s="228">
        <v>38.74</v>
      </c>
      <c r="DF207" s="228">
        <v>38.840000000000003</v>
      </c>
      <c r="DG207" s="228">
        <v>-8.74</v>
      </c>
      <c r="DH207" s="228">
        <v>-0.1</v>
      </c>
      <c r="DI207" s="228">
        <v>29.1</v>
      </c>
      <c r="DJ207" s="228">
        <v>29.83</v>
      </c>
      <c r="DK207" s="228">
        <v>-0.73</v>
      </c>
      <c r="DL207" s="228">
        <v>-0.73</v>
      </c>
      <c r="DM207" s="228">
        <v>31.37</v>
      </c>
      <c r="DN207" s="228">
        <v>34.4</v>
      </c>
      <c r="DO207" s="228">
        <v>-3.03</v>
      </c>
      <c r="DP207" s="228">
        <v>-3.03</v>
      </c>
      <c r="DQ207" s="228">
        <v>0.88</v>
      </c>
      <c r="DR207" s="228">
        <v>0.89</v>
      </c>
      <c r="DS207" s="228">
        <v>-0.01</v>
      </c>
      <c r="DT207" s="229">
        <v>-1.12E-2</v>
      </c>
      <c r="DU207" s="231">
        <v>6500</v>
      </c>
      <c r="DV207" s="231">
        <v>6000</v>
      </c>
      <c r="DW207" s="228">
        <v>0.65</v>
      </c>
      <c r="DX207" s="228">
        <v>0.51</v>
      </c>
      <c r="DY207" s="228">
        <v>0.14000000000000001</v>
      </c>
      <c r="DZ207" s="229">
        <v>0.27450000000000002</v>
      </c>
      <c r="EA207" s="229">
        <v>0.25340000000000001</v>
      </c>
      <c r="EB207" s="230">
        <v>562600</v>
      </c>
      <c r="EC207" s="229">
        <v>-3.2000000000000002E-3</v>
      </c>
      <c r="ED207" s="229">
        <v>0.25340000000000001</v>
      </c>
      <c r="EE207" s="228">
        <v>-24.07</v>
      </c>
      <c r="EF207" s="229">
        <v>-3.8999999999999998E-3</v>
      </c>
      <c r="EG207" s="230">
        <v>71645</v>
      </c>
      <c r="EH207" s="230">
        <v>31358</v>
      </c>
      <c r="EI207" s="229">
        <v>1.2847</v>
      </c>
      <c r="EJ207" s="229">
        <v>0.53059999999999996</v>
      </c>
      <c r="EK207" s="228">
        <v>297.52</v>
      </c>
      <c r="EL207" s="228">
        <v>174.58</v>
      </c>
      <c r="EM207" s="228">
        <v>128.93</v>
      </c>
      <c r="EN207" s="228">
        <v>0</v>
      </c>
      <c r="EO207" s="228">
        <v>601.02</v>
      </c>
      <c r="EP207" s="228">
        <v>865.98</v>
      </c>
      <c r="EQ207" s="228">
        <v>-264.95</v>
      </c>
      <c r="ER207" s="229">
        <v>-0.30599999999999999</v>
      </c>
      <c r="ES207" s="228">
        <v>531.69000000000005</v>
      </c>
      <c r="ET207" s="228">
        <v>426.9</v>
      </c>
      <c r="EU207" s="231">
        <v>1457.4</v>
      </c>
      <c r="EV207" s="231">
        <v>6987041</v>
      </c>
      <c r="EW207" s="231">
        <v>2416</v>
      </c>
      <c r="EX207" s="231">
        <v>2490</v>
      </c>
      <c r="EY207" s="228">
        <v>-74</v>
      </c>
      <c r="EZ207" s="229">
        <v>-2.9700000000000001E-2</v>
      </c>
      <c r="FA207" s="229">
        <v>0.55769999999999997</v>
      </c>
      <c r="FB207" s="227" t="s">
        <v>555</v>
      </c>
      <c r="FC207">
        <f t="shared" si="4"/>
        <v>0</v>
      </c>
    </row>
    <row r="208" spans="1:159" ht="17.25" thickBot="1" x14ac:dyDescent="0.3">
      <c r="A208" s="226">
        <v>45860</v>
      </c>
      <c r="B208" s="227" t="s">
        <v>162</v>
      </c>
      <c r="C208" s="227" t="s">
        <v>292</v>
      </c>
      <c r="D208" s="228">
        <v>800</v>
      </c>
      <c r="E208" s="228">
        <v>9</v>
      </c>
      <c r="F208" s="228">
        <v>674.75</v>
      </c>
      <c r="G208" s="228">
        <v>688.4</v>
      </c>
      <c r="H208" s="228">
        <v>-13.65</v>
      </c>
      <c r="I208" s="229">
        <v>-1.9800000000000002E-2</v>
      </c>
      <c r="J208" s="228">
        <v>673.4</v>
      </c>
      <c r="K208" s="228">
        <v>687.45</v>
      </c>
      <c r="L208" s="228">
        <v>-14.05</v>
      </c>
      <c r="M208" s="229">
        <v>-2.0400000000000001E-2</v>
      </c>
      <c r="N208" s="228">
        <v>674.75</v>
      </c>
      <c r="O208" s="228">
        <v>688.4</v>
      </c>
      <c r="P208" s="228">
        <v>-13.65</v>
      </c>
      <c r="Q208" s="229">
        <v>-1.9800000000000002E-2</v>
      </c>
      <c r="R208" s="228">
        <v>678.05</v>
      </c>
      <c r="S208" s="228">
        <v>691.9</v>
      </c>
      <c r="T208" s="228">
        <v>-13.85</v>
      </c>
      <c r="U208" s="229">
        <v>-0.02</v>
      </c>
      <c r="V208" s="228">
        <v>0</v>
      </c>
      <c r="W208" s="228">
        <v>0</v>
      </c>
      <c r="X208" s="228">
        <v>0</v>
      </c>
      <c r="Y208" s="229">
        <v>0</v>
      </c>
      <c r="Z208" s="228">
        <v>1.35</v>
      </c>
      <c r="AA208" s="228">
        <v>0.95</v>
      </c>
      <c r="AB208" s="228">
        <v>0.4</v>
      </c>
      <c r="AC208" s="229">
        <v>2E-3</v>
      </c>
      <c r="AD208" s="228">
        <v>1.35</v>
      </c>
      <c r="AE208" s="228">
        <v>0.95</v>
      </c>
      <c r="AF208" s="228">
        <v>0.4</v>
      </c>
      <c r="AG208" s="229">
        <v>2E-3</v>
      </c>
      <c r="AH208" s="228">
        <v>4.6500000000000004</v>
      </c>
      <c r="AI208" s="228">
        <v>4.45</v>
      </c>
      <c r="AJ208" s="228">
        <v>0.2</v>
      </c>
      <c r="AK208" s="229">
        <v>6.8999999999999999E-3</v>
      </c>
      <c r="AL208" s="228">
        <v>0</v>
      </c>
      <c r="AM208" s="228">
        <v>0</v>
      </c>
      <c r="AN208" s="228">
        <v>0</v>
      </c>
      <c r="AO208" s="229">
        <v>0</v>
      </c>
      <c r="AP208" s="228">
        <v>678.42</v>
      </c>
      <c r="AQ208" s="228">
        <v>681.91</v>
      </c>
      <c r="AR208" s="228">
        <v>0</v>
      </c>
      <c r="AS208" s="228">
        <v>882</v>
      </c>
      <c r="AT208" s="228">
        <v>906</v>
      </c>
      <c r="AU208" s="228">
        <v>-24</v>
      </c>
      <c r="AV208" s="229">
        <v>-2.6499999999999999E-2</v>
      </c>
      <c r="AW208" s="228">
        <v>656</v>
      </c>
      <c r="AX208" s="228">
        <v>759</v>
      </c>
      <c r="AY208" s="228">
        <v>-103</v>
      </c>
      <c r="AZ208" s="229">
        <v>-0.13539999999999999</v>
      </c>
      <c r="BA208" s="228">
        <v>201</v>
      </c>
      <c r="BB208" s="228">
        <v>125</v>
      </c>
      <c r="BC208" s="228">
        <v>76</v>
      </c>
      <c r="BD208" s="229">
        <v>0.60929999999999995</v>
      </c>
      <c r="BE208" s="228">
        <v>0</v>
      </c>
      <c r="BF208" s="228">
        <v>0</v>
      </c>
      <c r="BG208" s="228">
        <v>0</v>
      </c>
      <c r="BH208" s="229">
        <v>0</v>
      </c>
      <c r="BI208" s="230">
        <v>3249</v>
      </c>
      <c r="BJ208" s="230">
        <v>4713</v>
      </c>
      <c r="BK208" s="230">
        <v>-1464</v>
      </c>
      <c r="BL208" s="229">
        <v>-0.31069999999999998</v>
      </c>
      <c r="BM208" s="230">
        <v>1734</v>
      </c>
      <c r="BN208" s="230">
        <v>2639</v>
      </c>
      <c r="BO208" s="228">
        <v>-905</v>
      </c>
      <c r="BP208" s="229">
        <v>-0.34289999999999998</v>
      </c>
      <c r="BQ208" s="230">
        <v>5865</v>
      </c>
      <c r="BR208" s="230">
        <v>8258</v>
      </c>
      <c r="BS208" s="230">
        <v>-2393</v>
      </c>
      <c r="BT208" s="229">
        <v>-0.2898</v>
      </c>
      <c r="BU208" s="230">
        <v>8138472</v>
      </c>
      <c r="BV208" s="230">
        <v>7084041</v>
      </c>
      <c r="BW208" s="230">
        <v>1054431</v>
      </c>
      <c r="BX208" s="229">
        <v>0.14879999999999999</v>
      </c>
      <c r="BY208" s="230">
        <v>5429</v>
      </c>
      <c r="BZ208" s="230">
        <v>5307</v>
      </c>
      <c r="CA208" s="228">
        <v>122</v>
      </c>
      <c r="CB208" s="229">
        <v>2.29E-2</v>
      </c>
      <c r="CC208" s="230">
        <v>4537</v>
      </c>
      <c r="CD208" s="230">
        <v>4571</v>
      </c>
      <c r="CE208" s="228">
        <v>-34</v>
      </c>
      <c r="CF208" s="229">
        <v>-7.4000000000000003E-3</v>
      </c>
      <c r="CG208" s="228">
        <v>769</v>
      </c>
      <c r="CH208" s="228">
        <v>625</v>
      </c>
      <c r="CI208" s="228">
        <v>144</v>
      </c>
      <c r="CJ208" s="229">
        <v>0.23050000000000001</v>
      </c>
      <c r="CK208" s="228">
        <v>0</v>
      </c>
      <c r="CL208" s="228">
        <v>0</v>
      </c>
      <c r="CM208" s="228">
        <v>0</v>
      </c>
      <c r="CN208" s="229">
        <v>0</v>
      </c>
      <c r="CO208" s="230">
        <v>3295</v>
      </c>
      <c r="CP208" s="230">
        <v>3142</v>
      </c>
      <c r="CQ208" s="228">
        <v>153</v>
      </c>
      <c r="CR208" s="229">
        <v>4.8599999999999997E-2</v>
      </c>
      <c r="CS208" s="230">
        <v>2011</v>
      </c>
      <c r="CT208" s="230">
        <v>2001</v>
      </c>
      <c r="CU208" s="228">
        <v>10</v>
      </c>
      <c r="CV208" s="229">
        <v>5.0000000000000001E-3</v>
      </c>
      <c r="CW208" s="230">
        <v>10735</v>
      </c>
      <c r="CX208" s="230">
        <v>10450</v>
      </c>
      <c r="CY208" s="228">
        <v>285</v>
      </c>
      <c r="CZ208" s="229">
        <v>2.7199999999999998E-2</v>
      </c>
      <c r="DA208" s="228">
        <v>27.76</v>
      </c>
      <c r="DB208" s="228">
        <v>27.43</v>
      </c>
      <c r="DC208" s="228">
        <v>0.33</v>
      </c>
      <c r="DD208" s="228">
        <v>0.33</v>
      </c>
      <c r="DE208" s="228">
        <v>36.369999999999997</v>
      </c>
      <c r="DF208" s="228">
        <v>36.36</v>
      </c>
      <c r="DG208" s="228">
        <v>-8.61</v>
      </c>
      <c r="DH208" s="228">
        <v>0.01</v>
      </c>
      <c r="DI208" s="228">
        <v>28.37</v>
      </c>
      <c r="DJ208" s="228">
        <v>27.33</v>
      </c>
      <c r="DK208" s="228">
        <v>1.04</v>
      </c>
      <c r="DL208" s="228">
        <v>1.04</v>
      </c>
      <c r="DM208" s="228">
        <v>26.63</v>
      </c>
      <c r="DN208" s="228">
        <v>27.61</v>
      </c>
      <c r="DO208" s="228">
        <v>-0.98</v>
      </c>
      <c r="DP208" s="228">
        <v>-0.98</v>
      </c>
      <c r="DQ208" s="228">
        <v>0.61</v>
      </c>
      <c r="DR208" s="228">
        <v>0.64</v>
      </c>
      <c r="DS208" s="228">
        <v>-0.03</v>
      </c>
      <c r="DT208" s="229">
        <v>-4.6899999999999997E-2</v>
      </c>
      <c r="DU208" s="228">
        <v>700</v>
      </c>
      <c r="DV208" s="228">
        <v>680</v>
      </c>
      <c r="DW208" s="228">
        <v>0.53</v>
      </c>
      <c r="DX208" s="228">
        <v>0.56000000000000005</v>
      </c>
      <c r="DY208" s="228">
        <v>-0.03</v>
      </c>
      <c r="DZ208" s="229">
        <v>-5.3600000000000002E-2</v>
      </c>
      <c r="EA208" s="229">
        <v>0.14169999999999999</v>
      </c>
      <c r="EB208" s="230">
        <v>9261600</v>
      </c>
      <c r="EC208" s="229">
        <v>4.8999999999999998E-3</v>
      </c>
      <c r="ED208" s="229">
        <v>0.14169999999999999</v>
      </c>
      <c r="EE208" s="228">
        <v>3.49</v>
      </c>
      <c r="EF208" s="229">
        <v>5.1000000000000004E-3</v>
      </c>
      <c r="EG208" s="230">
        <v>4164635</v>
      </c>
      <c r="EH208" s="230">
        <v>2242117</v>
      </c>
      <c r="EI208" s="229">
        <v>0.85750000000000004</v>
      </c>
      <c r="EJ208" s="229">
        <v>0.51170000000000004</v>
      </c>
      <c r="EK208" s="231">
        <v>3431.26</v>
      </c>
      <c r="EL208" s="231">
        <v>1743.66</v>
      </c>
      <c r="EM208" s="228">
        <v>887.61</v>
      </c>
      <c r="EN208" s="228">
        <v>0</v>
      </c>
      <c r="EO208" s="231">
        <v>6062.53</v>
      </c>
      <c r="EP208" s="231">
        <v>8578.5</v>
      </c>
      <c r="EQ208" s="231">
        <v>-2515.9699999999998</v>
      </c>
      <c r="ER208" s="229">
        <v>-0.29330000000000001</v>
      </c>
      <c r="ES208" s="231">
        <v>3524.14</v>
      </c>
      <c r="ET208" s="231">
        <v>2027.81</v>
      </c>
      <c r="EU208" s="231">
        <v>5433.88</v>
      </c>
      <c r="EV208" s="231">
        <v>422796029</v>
      </c>
      <c r="EW208" s="231">
        <v>10985.84</v>
      </c>
      <c r="EX208" s="231">
        <v>10817.09</v>
      </c>
      <c r="EY208" s="228">
        <v>168.75</v>
      </c>
      <c r="EZ208" s="229">
        <v>1.5599999999999999E-2</v>
      </c>
      <c r="FA208" s="229">
        <v>0.37630000000000002</v>
      </c>
      <c r="FB208" s="227" t="s">
        <v>567</v>
      </c>
      <c r="FC208">
        <f t="shared" si="4"/>
        <v>0</v>
      </c>
    </row>
    <row r="209" spans="1:159" ht="17.25" thickBot="1" x14ac:dyDescent="0.3">
      <c r="A209" s="226">
        <v>45860</v>
      </c>
      <c r="B209" s="227" t="s">
        <v>161</v>
      </c>
      <c r="C209" s="227" t="s">
        <v>293</v>
      </c>
      <c r="D209" s="228">
        <v>1450</v>
      </c>
      <c r="E209" s="228">
        <v>9</v>
      </c>
      <c r="F209" s="228">
        <v>399.4</v>
      </c>
      <c r="G209" s="228">
        <v>402.3</v>
      </c>
      <c r="H209" s="228">
        <v>-2.9</v>
      </c>
      <c r="I209" s="229">
        <v>-7.1999999999999998E-3</v>
      </c>
      <c r="J209" s="228">
        <v>399.15</v>
      </c>
      <c r="K209" s="228">
        <v>401.85</v>
      </c>
      <c r="L209" s="228">
        <v>-2.7</v>
      </c>
      <c r="M209" s="229">
        <v>-6.7000000000000002E-3</v>
      </c>
      <c r="N209" s="228">
        <v>399.4</v>
      </c>
      <c r="O209" s="228">
        <v>402.3</v>
      </c>
      <c r="P209" s="228">
        <v>-2.9</v>
      </c>
      <c r="Q209" s="229">
        <v>-7.1999999999999998E-3</v>
      </c>
      <c r="R209" s="228">
        <v>401.55</v>
      </c>
      <c r="S209" s="228">
        <v>404.4</v>
      </c>
      <c r="T209" s="228">
        <v>-2.85</v>
      </c>
      <c r="U209" s="229">
        <v>-7.0000000000000001E-3</v>
      </c>
      <c r="V209" s="228">
        <v>0</v>
      </c>
      <c r="W209" s="228">
        <v>0</v>
      </c>
      <c r="X209" s="228">
        <v>0</v>
      </c>
      <c r="Y209" s="229">
        <v>0</v>
      </c>
      <c r="Z209" s="228">
        <v>0.25</v>
      </c>
      <c r="AA209" s="228">
        <v>0.45</v>
      </c>
      <c r="AB209" s="228">
        <v>-0.2</v>
      </c>
      <c r="AC209" s="229">
        <v>5.9999999999999995E-4</v>
      </c>
      <c r="AD209" s="228">
        <v>0.25</v>
      </c>
      <c r="AE209" s="228">
        <v>0.45</v>
      </c>
      <c r="AF209" s="228">
        <v>-0.2</v>
      </c>
      <c r="AG209" s="229">
        <v>5.9999999999999995E-4</v>
      </c>
      <c r="AH209" s="228">
        <v>2.4</v>
      </c>
      <c r="AI209" s="228">
        <v>2.5499999999999998</v>
      </c>
      <c r="AJ209" s="228">
        <v>-0.15</v>
      </c>
      <c r="AK209" s="229">
        <v>6.0000000000000001E-3</v>
      </c>
      <c r="AL209" s="228">
        <v>0</v>
      </c>
      <c r="AM209" s="228">
        <v>0</v>
      </c>
      <c r="AN209" s="228">
        <v>0</v>
      </c>
      <c r="AO209" s="229">
        <v>0</v>
      </c>
      <c r="AP209" s="228">
        <v>400.66</v>
      </c>
      <c r="AQ209" s="228">
        <v>402.92</v>
      </c>
      <c r="AR209" s="228">
        <v>0</v>
      </c>
      <c r="AS209" s="228">
        <v>353</v>
      </c>
      <c r="AT209" s="228">
        <v>697</v>
      </c>
      <c r="AU209" s="228">
        <v>-343</v>
      </c>
      <c r="AV209" s="229">
        <v>-0.49259999999999998</v>
      </c>
      <c r="AW209" s="228">
        <v>270</v>
      </c>
      <c r="AX209" s="228">
        <v>554</v>
      </c>
      <c r="AY209" s="228">
        <v>-283</v>
      </c>
      <c r="AZ209" s="229">
        <v>-0.5121</v>
      </c>
      <c r="BA209" s="228">
        <v>79</v>
      </c>
      <c r="BB209" s="228">
        <v>132</v>
      </c>
      <c r="BC209" s="228">
        <v>-53</v>
      </c>
      <c r="BD209" s="229">
        <v>-0.4027</v>
      </c>
      <c r="BE209" s="228">
        <v>0</v>
      </c>
      <c r="BF209" s="228">
        <v>0</v>
      </c>
      <c r="BG209" s="228">
        <v>0</v>
      </c>
      <c r="BH209" s="229">
        <v>0</v>
      </c>
      <c r="BI209" s="230">
        <v>1156</v>
      </c>
      <c r="BJ209" s="230">
        <v>2121</v>
      </c>
      <c r="BK209" s="228">
        <v>-965</v>
      </c>
      <c r="BL209" s="229">
        <v>-0.4551</v>
      </c>
      <c r="BM209" s="228">
        <v>551</v>
      </c>
      <c r="BN209" s="230">
        <v>1287</v>
      </c>
      <c r="BO209" s="228">
        <v>-736</v>
      </c>
      <c r="BP209" s="229">
        <v>-0.5716</v>
      </c>
      <c r="BQ209" s="230">
        <v>2060</v>
      </c>
      <c r="BR209" s="230">
        <v>4104</v>
      </c>
      <c r="BS209" s="230">
        <v>-2044</v>
      </c>
      <c r="BT209" s="229">
        <v>-0.498</v>
      </c>
      <c r="BU209" s="230">
        <v>4343029</v>
      </c>
      <c r="BV209" s="230">
        <v>7650178</v>
      </c>
      <c r="BW209" s="230">
        <v>-3307149</v>
      </c>
      <c r="BX209" s="229">
        <v>-0.43230000000000002</v>
      </c>
      <c r="BY209" s="230">
        <v>2700</v>
      </c>
      <c r="BZ209" s="230">
        <v>2659</v>
      </c>
      <c r="CA209" s="228">
        <v>41</v>
      </c>
      <c r="CB209" s="229">
        <v>1.5299999999999999E-2</v>
      </c>
      <c r="CC209" s="230">
        <v>2405</v>
      </c>
      <c r="CD209" s="230">
        <v>2418</v>
      </c>
      <c r="CE209" s="228">
        <v>-13</v>
      </c>
      <c r="CF209" s="229">
        <v>-5.4000000000000003E-3</v>
      </c>
      <c r="CG209" s="228">
        <v>257</v>
      </c>
      <c r="CH209" s="228">
        <v>205</v>
      </c>
      <c r="CI209" s="228">
        <v>52</v>
      </c>
      <c r="CJ209" s="229">
        <v>0.25230000000000002</v>
      </c>
      <c r="CK209" s="228">
        <v>0</v>
      </c>
      <c r="CL209" s="228">
        <v>0</v>
      </c>
      <c r="CM209" s="228">
        <v>0</v>
      </c>
      <c r="CN209" s="229">
        <v>0</v>
      </c>
      <c r="CO209" s="230">
        <v>1387</v>
      </c>
      <c r="CP209" s="230">
        <v>1362</v>
      </c>
      <c r="CQ209" s="228">
        <v>26</v>
      </c>
      <c r="CR209" s="229">
        <v>1.89E-2</v>
      </c>
      <c r="CS209" s="228">
        <v>924</v>
      </c>
      <c r="CT209" s="228">
        <v>931</v>
      </c>
      <c r="CU209" s="228">
        <v>-7</v>
      </c>
      <c r="CV209" s="229">
        <v>-7.4000000000000003E-3</v>
      </c>
      <c r="CW209" s="230">
        <v>5011</v>
      </c>
      <c r="CX209" s="230">
        <v>4951</v>
      </c>
      <c r="CY209" s="228">
        <v>60</v>
      </c>
      <c r="CZ209" s="229">
        <v>1.2E-2</v>
      </c>
      <c r="DA209" s="228">
        <v>25.31</v>
      </c>
      <c r="DB209" s="228">
        <v>24.96</v>
      </c>
      <c r="DC209" s="228">
        <v>0.35</v>
      </c>
      <c r="DD209" s="228">
        <v>0.35</v>
      </c>
      <c r="DE209" s="228">
        <v>36.89</v>
      </c>
      <c r="DF209" s="228">
        <v>36.97</v>
      </c>
      <c r="DG209" s="228">
        <v>-11.58</v>
      </c>
      <c r="DH209" s="228">
        <v>-0.08</v>
      </c>
      <c r="DI209" s="228">
        <v>25.93</v>
      </c>
      <c r="DJ209" s="228">
        <v>25.32</v>
      </c>
      <c r="DK209" s="228">
        <v>0.61</v>
      </c>
      <c r="DL209" s="228">
        <v>0.61</v>
      </c>
      <c r="DM209" s="228">
        <v>23.99</v>
      </c>
      <c r="DN209" s="228">
        <v>24.35</v>
      </c>
      <c r="DO209" s="228">
        <v>-0.36</v>
      </c>
      <c r="DP209" s="228">
        <v>-0.36</v>
      </c>
      <c r="DQ209" s="228">
        <v>0.67</v>
      </c>
      <c r="DR209" s="228">
        <v>0.68</v>
      </c>
      <c r="DS209" s="228">
        <v>-0.01</v>
      </c>
      <c r="DT209" s="229">
        <v>-1.47E-2</v>
      </c>
      <c r="DU209" s="228">
        <v>450</v>
      </c>
      <c r="DV209" s="228">
        <v>400</v>
      </c>
      <c r="DW209" s="228">
        <v>0.48</v>
      </c>
      <c r="DX209" s="228">
        <v>0.61</v>
      </c>
      <c r="DY209" s="228">
        <v>-0.13</v>
      </c>
      <c r="DZ209" s="229">
        <v>-0.21310000000000001</v>
      </c>
      <c r="EA209" s="229">
        <v>9.5200000000000007E-2</v>
      </c>
      <c r="EB209" s="230">
        <v>5137350</v>
      </c>
      <c r="EC209" s="229">
        <v>5.4000000000000003E-3</v>
      </c>
      <c r="ED209" s="229">
        <v>9.5200000000000007E-2</v>
      </c>
      <c r="EE209" s="228">
        <v>2.2599999999999998</v>
      </c>
      <c r="EF209" s="229">
        <v>5.5999999999999999E-3</v>
      </c>
      <c r="EG209" s="230">
        <v>1741810</v>
      </c>
      <c r="EH209" s="230">
        <v>2469408</v>
      </c>
      <c r="EI209" s="229">
        <v>-0.29459999999999997</v>
      </c>
      <c r="EJ209" s="229">
        <v>0.40110000000000001</v>
      </c>
      <c r="EK209" s="231">
        <v>1207.5</v>
      </c>
      <c r="EL209" s="228">
        <v>550.84</v>
      </c>
      <c r="EM209" s="228">
        <v>355.06</v>
      </c>
      <c r="EN209" s="228">
        <v>0</v>
      </c>
      <c r="EO209" s="231">
        <v>2113.4</v>
      </c>
      <c r="EP209" s="231">
        <v>4208.79</v>
      </c>
      <c r="EQ209" s="231">
        <v>-2095.39</v>
      </c>
      <c r="ER209" s="229">
        <v>-0.49790000000000001</v>
      </c>
      <c r="ES209" s="231">
        <v>1469.78</v>
      </c>
      <c r="ET209" s="228">
        <v>923.68</v>
      </c>
      <c r="EU209" s="231">
        <v>2701.59</v>
      </c>
      <c r="EV209" s="231">
        <v>339616396</v>
      </c>
      <c r="EW209" s="231">
        <v>5095.05</v>
      </c>
      <c r="EX209" s="231">
        <v>5053.72</v>
      </c>
      <c r="EY209" s="228">
        <v>41.33</v>
      </c>
      <c r="EZ209" s="229">
        <v>8.2000000000000007E-3</v>
      </c>
      <c r="FA209" s="229">
        <v>0.36940000000000001</v>
      </c>
      <c r="FB209" s="227" t="s">
        <v>567</v>
      </c>
      <c r="FC209">
        <f t="shared" si="4"/>
        <v>0</v>
      </c>
    </row>
    <row r="210" spans="1:159" ht="17.25" thickBot="1" x14ac:dyDescent="0.3">
      <c r="A210" s="226">
        <v>45860</v>
      </c>
      <c r="B210" s="227" t="s">
        <v>227</v>
      </c>
      <c r="C210" s="227" t="s">
        <v>294</v>
      </c>
      <c r="D210" s="228">
        <v>5500</v>
      </c>
      <c r="E210" s="228">
        <v>9</v>
      </c>
      <c r="F210" s="228">
        <v>163.5</v>
      </c>
      <c r="G210" s="228">
        <v>163.53</v>
      </c>
      <c r="H210" s="228">
        <v>-0.03</v>
      </c>
      <c r="I210" s="229">
        <v>-2.0000000000000001E-4</v>
      </c>
      <c r="J210" s="228">
        <v>163.04</v>
      </c>
      <c r="K210" s="228">
        <v>163.02000000000001</v>
      </c>
      <c r="L210" s="228">
        <v>0.02</v>
      </c>
      <c r="M210" s="229">
        <v>1E-4</v>
      </c>
      <c r="N210" s="228">
        <v>163.5</v>
      </c>
      <c r="O210" s="228">
        <v>163.53</v>
      </c>
      <c r="P210" s="228">
        <v>-0.03</v>
      </c>
      <c r="Q210" s="229">
        <v>-2.0000000000000001E-4</v>
      </c>
      <c r="R210" s="228">
        <v>164.31</v>
      </c>
      <c r="S210" s="228">
        <v>164.31</v>
      </c>
      <c r="T210" s="228">
        <v>0</v>
      </c>
      <c r="U210" s="229">
        <v>0</v>
      </c>
      <c r="V210" s="228">
        <v>0</v>
      </c>
      <c r="W210" s="228">
        <v>0</v>
      </c>
      <c r="X210" s="228">
        <v>0</v>
      </c>
      <c r="Y210" s="229">
        <v>0</v>
      </c>
      <c r="Z210" s="228">
        <v>0.46</v>
      </c>
      <c r="AA210" s="228">
        <v>0.51</v>
      </c>
      <c r="AB210" s="228">
        <v>-0.05</v>
      </c>
      <c r="AC210" s="229">
        <v>2.8E-3</v>
      </c>
      <c r="AD210" s="228">
        <v>0.46</v>
      </c>
      <c r="AE210" s="228">
        <v>0.51</v>
      </c>
      <c r="AF210" s="228">
        <v>-0.05</v>
      </c>
      <c r="AG210" s="229">
        <v>2.8E-3</v>
      </c>
      <c r="AH210" s="228">
        <v>1.27</v>
      </c>
      <c r="AI210" s="228">
        <v>1.29</v>
      </c>
      <c r="AJ210" s="228">
        <v>-0.02</v>
      </c>
      <c r="AK210" s="229">
        <v>7.7999999999999996E-3</v>
      </c>
      <c r="AL210" s="228">
        <v>0</v>
      </c>
      <c r="AM210" s="228">
        <v>0</v>
      </c>
      <c r="AN210" s="228">
        <v>0</v>
      </c>
      <c r="AO210" s="229">
        <v>0</v>
      </c>
      <c r="AP210" s="228">
        <v>164.06</v>
      </c>
      <c r="AQ210" s="228">
        <v>164.83</v>
      </c>
      <c r="AR210" s="228">
        <v>0</v>
      </c>
      <c r="AS210" s="228">
        <v>371</v>
      </c>
      <c r="AT210" s="228">
        <v>893</v>
      </c>
      <c r="AU210" s="228">
        <v>-522</v>
      </c>
      <c r="AV210" s="229">
        <v>-0.58450000000000002</v>
      </c>
      <c r="AW210" s="228">
        <v>310</v>
      </c>
      <c r="AX210" s="228">
        <v>734</v>
      </c>
      <c r="AY210" s="228">
        <v>-424</v>
      </c>
      <c r="AZ210" s="229">
        <v>-0.57740000000000002</v>
      </c>
      <c r="BA210" s="228">
        <v>55</v>
      </c>
      <c r="BB210" s="228">
        <v>144</v>
      </c>
      <c r="BC210" s="228">
        <v>-89</v>
      </c>
      <c r="BD210" s="229">
        <v>-0.61780000000000002</v>
      </c>
      <c r="BE210" s="228">
        <v>0</v>
      </c>
      <c r="BF210" s="228">
        <v>0</v>
      </c>
      <c r="BG210" s="228">
        <v>0</v>
      </c>
      <c r="BH210" s="229">
        <v>0</v>
      </c>
      <c r="BI210" s="230">
        <v>1846</v>
      </c>
      <c r="BJ210" s="230">
        <v>4456</v>
      </c>
      <c r="BK210" s="230">
        <v>-2610</v>
      </c>
      <c r="BL210" s="229">
        <v>-0.5857</v>
      </c>
      <c r="BM210" s="230">
        <v>1166</v>
      </c>
      <c r="BN210" s="230">
        <v>2581</v>
      </c>
      <c r="BO210" s="230">
        <v>-1415</v>
      </c>
      <c r="BP210" s="229">
        <v>-0.54810000000000003</v>
      </c>
      <c r="BQ210" s="230">
        <v>3383</v>
      </c>
      <c r="BR210" s="230">
        <v>7930</v>
      </c>
      <c r="BS210" s="230">
        <v>-4547</v>
      </c>
      <c r="BT210" s="229">
        <v>-0.57330000000000003</v>
      </c>
      <c r="BU210" s="230">
        <v>14653621</v>
      </c>
      <c r="BV210" s="230">
        <v>32631542</v>
      </c>
      <c r="BW210" s="230">
        <v>-17977921</v>
      </c>
      <c r="BX210" s="229">
        <v>-0.55089999999999995</v>
      </c>
      <c r="BY210" s="230">
        <v>3206</v>
      </c>
      <c r="BZ210" s="230">
        <v>3185</v>
      </c>
      <c r="CA210" s="228">
        <v>21</v>
      </c>
      <c r="CB210" s="229">
        <v>6.6E-3</v>
      </c>
      <c r="CC210" s="230">
        <v>2817</v>
      </c>
      <c r="CD210" s="230">
        <v>2812</v>
      </c>
      <c r="CE210" s="228">
        <v>4</v>
      </c>
      <c r="CF210" s="229">
        <v>1.5E-3</v>
      </c>
      <c r="CG210" s="228">
        <v>324</v>
      </c>
      <c r="CH210" s="228">
        <v>308</v>
      </c>
      <c r="CI210" s="228">
        <v>16</v>
      </c>
      <c r="CJ210" s="229">
        <v>5.2299999999999999E-2</v>
      </c>
      <c r="CK210" s="228">
        <v>0</v>
      </c>
      <c r="CL210" s="228">
        <v>0</v>
      </c>
      <c r="CM210" s="228">
        <v>0</v>
      </c>
      <c r="CN210" s="229">
        <v>0</v>
      </c>
      <c r="CO210" s="230">
        <v>2183</v>
      </c>
      <c r="CP210" s="230">
        <v>2263</v>
      </c>
      <c r="CQ210" s="228">
        <v>-80</v>
      </c>
      <c r="CR210" s="229">
        <v>-3.5499999999999997E-2</v>
      </c>
      <c r="CS210" s="230">
        <v>1632</v>
      </c>
      <c r="CT210" s="230">
        <v>1632</v>
      </c>
      <c r="CU210" s="228">
        <v>1</v>
      </c>
      <c r="CV210" s="229">
        <v>4.0000000000000002E-4</v>
      </c>
      <c r="CW210" s="230">
        <v>7021</v>
      </c>
      <c r="CX210" s="230">
        <v>7080</v>
      </c>
      <c r="CY210" s="228">
        <v>-59</v>
      </c>
      <c r="CZ210" s="229">
        <v>-8.3000000000000001E-3</v>
      </c>
      <c r="DA210" s="228">
        <v>26.25</v>
      </c>
      <c r="DB210" s="228">
        <v>26.86</v>
      </c>
      <c r="DC210" s="228">
        <v>-0.61</v>
      </c>
      <c r="DD210" s="228">
        <v>-0.61</v>
      </c>
      <c r="DE210" s="228">
        <v>35.340000000000003</v>
      </c>
      <c r="DF210" s="228">
        <v>35.43</v>
      </c>
      <c r="DG210" s="228">
        <v>-9.09</v>
      </c>
      <c r="DH210" s="228">
        <v>-0.09</v>
      </c>
      <c r="DI210" s="228">
        <v>26.11</v>
      </c>
      <c r="DJ210" s="228">
        <v>27.12</v>
      </c>
      <c r="DK210" s="228">
        <v>-1.01</v>
      </c>
      <c r="DL210" s="228">
        <v>-1.01</v>
      </c>
      <c r="DM210" s="228">
        <v>26.48</v>
      </c>
      <c r="DN210" s="228">
        <v>26.42</v>
      </c>
      <c r="DO210" s="228">
        <v>0.06</v>
      </c>
      <c r="DP210" s="228">
        <v>0.06</v>
      </c>
      <c r="DQ210" s="228">
        <v>0.75</v>
      </c>
      <c r="DR210" s="228">
        <v>0.72</v>
      </c>
      <c r="DS210" s="228">
        <v>0.03</v>
      </c>
      <c r="DT210" s="229">
        <v>4.1700000000000001E-2</v>
      </c>
      <c r="DU210" s="228">
        <v>170</v>
      </c>
      <c r="DV210" s="228">
        <v>160</v>
      </c>
      <c r="DW210" s="228">
        <v>0.63</v>
      </c>
      <c r="DX210" s="228">
        <v>0.57999999999999996</v>
      </c>
      <c r="DY210" s="228">
        <v>0.05</v>
      </c>
      <c r="DZ210" s="229">
        <v>8.6199999999999999E-2</v>
      </c>
      <c r="EA210" s="229">
        <v>0.10100000000000001</v>
      </c>
      <c r="EB210" s="230">
        <v>18821000</v>
      </c>
      <c r="EC210" s="229">
        <v>5.0000000000000001E-3</v>
      </c>
      <c r="ED210" s="229">
        <v>0.10100000000000001</v>
      </c>
      <c r="EE210" s="228">
        <v>0.77</v>
      </c>
      <c r="EF210" s="229">
        <v>4.7000000000000002E-3</v>
      </c>
      <c r="EG210" s="230">
        <v>7431577</v>
      </c>
      <c r="EH210" s="230">
        <v>14354002</v>
      </c>
      <c r="EI210" s="229">
        <v>-0.48230000000000001</v>
      </c>
      <c r="EJ210" s="229">
        <v>0.5071</v>
      </c>
      <c r="EK210" s="231">
        <v>1917.17</v>
      </c>
      <c r="EL210" s="231">
        <v>1140.1500000000001</v>
      </c>
      <c r="EM210" s="228">
        <v>372.79</v>
      </c>
      <c r="EN210" s="228">
        <v>0</v>
      </c>
      <c r="EO210" s="231">
        <v>3430.11</v>
      </c>
      <c r="EP210" s="231">
        <v>8089.88</v>
      </c>
      <c r="EQ210" s="231">
        <v>-4659.7700000000004</v>
      </c>
      <c r="ER210" s="229">
        <v>-0.57599999999999996</v>
      </c>
      <c r="ES210" s="231">
        <v>2245.6</v>
      </c>
      <c r="ET210" s="231">
        <v>1531.4</v>
      </c>
      <c r="EU210" s="231">
        <v>3208.66</v>
      </c>
      <c r="EV210" s="231">
        <v>1667987352</v>
      </c>
      <c r="EW210" s="231">
        <v>6985.65</v>
      </c>
      <c r="EX210" s="231">
        <v>7043.95</v>
      </c>
      <c r="EY210" s="228">
        <v>-58.3</v>
      </c>
      <c r="EZ210" s="229">
        <v>-8.3000000000000001E-3</v>
      </c>
      <c r="FA210" s="229">
        <v>0.25750000000000001</v>
      </c>
      <c r="FB210" s="227" t="s">
        <v>567</v>
      </c>
      <c r="FC210">
        <f t="shared" si="4"/>
        <v>0</v>
      </c>
    </row>
    <row r="211" spans="1:159" ht="17.25" thickBot="1" x14ac:dyDescent="0.3">
      <c r="A211" s="226">
        <v>45860</v>
      </c>
      <c r="B211" s="227" t="s">
        <v>221</v>
      </c>
      <c r="C211" s="227" t="s">
        <v>665</v>
      </c>
      <c r="D211" s="228">
        <v>800</v>
      </c>
      <c r="E211" s="228">
        <v>9</v>
      </c>
      <c r="F211" s="228">
        <v>715.6</v>
      </c>
      <c r="G211" s="228">
        <v>717.3</v>
      </c>
      <c r="H211" s="228">
        <v>-1.7</v>
      </c>
      <c r="I211" s="229">
        <v>-2.3999999999999998E-3</v>
      </c>
      <c r="J211" s="228">
        <v>715.6</v>
      </c>
      <c r="K211" s="228">
        <v>716.35</v>
      </c>
      <c r="L211" s="228">
        <v>-0.75</v>
      </c>
      <c r="M211" s="229">
        <v>-1E-3</v>
      </c>
      <c r="N211" s="228">
        <v>715.6</v>
      </c>
      <c r="O211" s="228">
        <v>717.3</v>
      </c>
      <c r="P211" s="228">
        <v>-1.7</v>
      </c>
      <c r="Q211" s="229">
        <v>-2.3999999999999998E-3</v>
      </c>
      <c r="R211" s="228">
        <v>719.1</v>
      </c>
      <c r="S211" s="228">
        <v>720.6</v>
      </c>
      <c r="T211" s="228">
        <v>-1.5</v>
      </c>
      <c r="U211" s="229">
        <v>-2.0999999999999999E-3</v>
      </c>
      <c r="V211" s="228">
        <v>0</v>
      </c>
      <c r="W211" s="228">
        <v>0</v>
      </c>
      <c r="X211" s="228">
        <v>0</v>
      </c>
      <c r="Y211" s="229">
        <v>0</v>
      </c>
      <c r="Z211" s="228">
        <v>0</v>
      </c>
      <c r="AA211" s="228">
        <v>0.95</v>
      </c>
      <c r="AB211" s="228">
        <v>-0.95</v>
      </c>
      <c r="AC211" s="229">
        <v>0</v>
      </c>
      <c r="AD211" s="228">
        <v>0</v>
      </c>
      <c r="AE211" s="228">
        <v>0.95</v>
      </c>
      <c r="AF211" s="228">
        <v>-0.95</v>
      </c>
      <c r="AG211" s="229">
        <v>0</v>
      </c>
      <c r="AH211" s="228">
        <v>3.5</v>
      </c>
      <c r="AI211" s="228">
        <v>4.25</v>
      </c>
      <c r="AJ211" s="228">
        <v>-0.75</v>
      </c>
      <c r="AK211" s="229">
        <v>4.8999999999999998E-3</v>
      </c>
      <c r="AL211" s="228">
        <v>0</v>
      </c>
      <c r="AM211" s="228">
        <v>0</v>
      </c>
      <c r="AN211" s="228">
        <v>0</v>
      </c>
      <c r="AO211" s="229">
        <v>0</v>
      </c>
      <c r="AP211" s="228">
        <v>715.86</v>
      </c>
      <c r="AQ211" s="228">
        <v>719.6</v>
      </c>
      <c r="AR211" s="228">
        <v>0</v>
      </c>
      <c r="AS211" s="228">
        <v>132</v>
      </c>
      <c r="AT211" s="228">
        <v>110</v>
      </c>
      <c r="AU211" s="228">
        <v>22</v>
      </c>
      <c r="AV211" s="229">
        <v>0.20030000000000001</v>
      </c>
      <c r="AW211" s="228">
        <v>87</v>
      </c>
      <c r="AX211" s="228">
        <v>82</v>
      </c>
      <c r="AY211" s="228">
        <v>5</v>
      </c>
      <c r="AZ211" s="229">
        <v>5.4800000000000001E-2</v>
      </c>
      <c r="BA211" s="228">
        <v>43</v>
      </c>
      <c r="BB211" s="228">
        <v>26</v>
      </c>
      <c r="BC211" s="228">
        <v>16</v>
      </c>
      <c r="BD211" s="229">
        <v>0.61170000000000002</v>
      </c>
      <c r="BE211" s="228">
        <v>0</v>
      </c>
      <c r="BF211" s="228">
        <v>0</v>
      </c>
      <c r="BG211" s="228">
        <v>0</v>
      </c>
      <c r="BH211" s="229">
        <v>0</v>
      </c>
      <c r="BI211" s="228">
        <v>294</v>
      </c>
      <c r="BJ211" s="228">
        <v>406</v>
      </c>
      <c r="BK211" s="228">
        <v>-112</v>
      </c>
      <c r="BL211" s="229">
        <v>-0.27529999999999999</v>
      </c>
      <c r="BM211" s="228">
        <v>99</v>
      </c>
      <c r="BN211" s="228">
        <v>110</v>
      </c>
      <c r="BO211" s="228">
        <v>-11</v>
      </c>
      <c r="BP211" s="229">
        <v>-9.9199999999999997E-2</v>
      </c>
      <c r="BQ211" s="228">
        <v>526</v>
      </c>
      <c r="BR211" s="228">
        <v>627</v>
      </c>
      <c r="BS211" s="228">
        <v>-101</v>
      </c>
      <c r="BT211" s="229">
        <v>-0.1605</v>
      </c>
      <c r="BU211" s="230">
        <v>798075</v>
      </c>
      <c r="BV211" s="230">
        <v>827867</v>
      </c>
      <c r="BW211" s="230">
        <v>-29792</v>
      </c>
      <c r="BX211" s="229">
        <v>-3.5999999999999997E-2</v>
      </c>
      <c r="BY211" s="228">
        <v>805</v>
      </c>
      <c r="BZ211" s="228">
        <v>802</v>
      </c>
      <c r="CA211" s="228">
        <v>3</v>
      </c>
      <c r="CB211" s="229">
        <v>3.8999999999999998E-3</v>
      </c>
      <c r="CC211" s="228">
        <v>652</v>
      </c>
      <c r="CD211" s="228">
        <v>672</v>
      </c>
      <c r="CE211" s="228">
        <v>-19</v>
      </c>
      <c r="CF211" s="229">
        <v>-2.8799999999999999E-2</v>
      </c>
      <c r="CG211" s="228">
        <v>132</v>
      </c>
      <c r="CH211" s="228">
        <v>110</v>
      </c>
      <c r="CI211" s="228">
        <v>22</v>
      </c>
      <c r="CJ211" s="229">
        <v>0.2009</v>
      </c>
      <c r="CK211" s="228">
        <v>0</v>
      </c>
      <c r="CL211" s="228">
        <v>0</v>
      </c>
      <c r="CM211" s="228">
        <v>0</v>
      </c>
      <c r="CN211" s="229">
        <v>0</v>
      </c>
      <c r="CO211" s="228">
        <v>520</v>
      </c>
      <c r="CP211" s="228">
        <v>521</v>
      </c>
      <c r="CQ211" s="228">
        <v>-1</v>
      </c>
      <c r="CR211" s="229">
        <v>-1.6000000000000001E-3</v>
      </c>
      <c r="CS211" s="228">
        <v>312</v>
      </c>
      <c r="CT211" s="228">
        <v>316</v>
      </c>
      <c r="CU211" s="228">
        <v>-4</v>
      </c>
      <c r="CV211" s="229">
        <v>-1.1599999999999999E-2</v>
      </c>
      <c r="CW211" s="230">
        <v>1637</v>
      </c>
      <c r="CX211" s="230">
        <v>1638</v>
      </c>
      <c r="CY211" s="228">
        <v>-1</v>
      </c>
      <c r="CZ211" s="229">
        <v>-8.9999999999999998E-4</v>
      </c>
      <c r="DA211" s="228">
        <v>24.97</v>
      </c>
      <c r="DB211" s="228">
        <v>25.77</v>
      </c>
      <c r="DC211" s="228">
        <v>-0.8</v>
      </c>
      <c r="DD211" s="228">
        <v>-0.8</v>
      </c>
      <c r="DE211" s="228">
        <v>33.090000000000003</v>
      </c>
      <c r="DF211" s="228">
        <v>33.17</v>
      </c>
      <c r="DG211" s="228">
        <v>-8.1199999999999992</v>
      </c>
      <c r="DH211" s="228">
        <v>-0.08</v>
      </c>
      <c r="DI211" s="228">
        <v>25.55</v>
      </c>
      <c r="DJ211" s="228">
        <v>25.88</v>
      </c>
      <c r="DK211" s="228">
        <v>-0.33</v>
      </c>
      <c r="DL211" s="228">
        <v>-0.33</v>
      </c>
      <c r="DM211" s="228">
        <v>23.27</v>
      </c>
      <c r="DN211" s="228">
        <v>25.36</v>
      </c>
      <c r="DO211" s="228">
        <v>-2.09</v>
      </c>
      <c r="DP211" s="228">
        <v>-2.09</v>
      </c>
      <c r="DQ211" s="228">
        <v>0.6</v>
      </c>
      <c r="DR211" s="228">
        <v>0.61</v>
      </c>
      <c r="DS211" s="228">
        <v>-0.01</v>
      </c>
      <c r="DT211" s="229">
        <v>-1.6400000000000001E-2</v>
      </c>
      <c r="DU211" s="228">
        <v>800</v>
      </c>
      <c r="DV211" s="228">
        <v>700</v>
      </c>
      <c r="DW211" s="228">
        <v>0.34</v>
      </c>
      <c r="DX211" s="228">
        <v>0.27</v>
      </c>
      <c r="DY211" s="228">
        <v>7.0000000000000007E-2</v>
      </c>
      <c r="DZ211" s="229">
        <v>0.25929999999999997</v>
      </c>
      <c r="EA211" s="229">
        <v>0.1641</v>
      </c>
      <c r="EB211" s="230">
        <v>1536800</v>
      </c>
      <c r="EC211" s="229">
        <v>4.8999999999999998E-3</v>
      </c>
      <c r="ED211" s="229">
        <v>0.1641</v>
      </c>
      <c r="EE211" s="228">
        <v>3.74</v>
      </c>
      <c r="EF211" s="229">
        <v>5.1999999999999998E-3</v>
      </c>
      <c r="EG211" s="230">
        <v>460010</v>
      </c>
      <c r="EH211" s="230">
        <v>362113</v>
      </c>
      <c r="EI211" s="229">
        <v>0.27029999999999998</v>
      </c>
      <c r="EJ211" s="229">
        <v>0.57640000000000002</v>
      </c>
      <c r="EK211" s="228">
        <v>308.54000000000002</v>
      </c>
      <c r="EL211" s="228">
        <v>98.74</v>
      </c>
      <c r="EM211" s="228">
        <v>132.72</v>
      </c>
      <c r="EN211" s="228">
        <v>0</v>
      </c>
      <c r="EO211" s="228">
        <v>540</v>
      </c>
      <c r="EP211" s="228">
        <v>641.6</v>
      </c>
      <c r="EQ211" s="228">
        <v>-101.59</v>
      </c>
      <c r="ER211" s="229">
        <v>-0.1583</v>
      </c>
      <c r="ES211" s="228">
        <v>547.95000000000005</v>
      </c>
      <c r="ET211" s="228">
        <v>305.94</v>
      </c>
      <c r="EU211" s="228">
        <v>805.83</v>
      </c>
      <c r="EV211" s="231">
        <v>36328758</v>
      </c>
      <c r="EW211" s="231">
        <v>1659.72</v>
      </c>
      <c r="EX211" s="231">
        <v>1663.28</v>
      </c>
      <c r="EY211" s="228">
        <v>-3.56</v>
      </c>
      <c r="EZ211" s="229">
        <v>-2.0999999999999999E-3</v>
      </c>
      <c r="FA211" s="229">
        <v>0.62970000000000004</v>
      </c>
      <c r="FB211" s="227" t="s">
        <v>567</v>
      </c>
      <c r="FC211">
        <f t="shared" si="4"/>
        <v>0</v>
      </c>
    </row>
    <row r="212" spans="1:159" ht="17.25" thickBot="1" x14ac:dyDescent="0.3">
      <c r="A212" s="226">
        <v>45860</v>
      </c>
      <c r="B212" s="227" t="s">
        <v>221</v>
      </c>
      <c r="C212" s="227" t="s">
        <v>295</v>
      </c>
      <c r="D212" s="228">
        <v>175</v>
      </c>
      <c r="E212" s="228">
        <v>9</v>
      </c>
      <c r="F212" s="231">
        <v>3166.8</v>
      </c>
      <c r="G212" s="231">
        <v>3168.9</v>
      </c>
      <c r="H212" s="228">
        <v>-2.1</v>
      </c>
      <c r="I212" s="229">
        <v>-6.9999999999999999E-4</v>
      </c>
      <c r="J212" s="231">
        <v>3159.6</v>
      </c>
      <c r="K212" s="231">
        <v>3158.2</v>
      </c>
      <c r="L212" s="228">
        <v>1.4</v>
      </c>
      <c r="M212" s="229">
        <v>4.0000000000000002E-4</v>
      </c>
      <c r="N212" s="231">
        <v>3166.8</v>
      </c>
      <c r="O212" s="231">
        <v>3168.9</v>
      </c>
      <c r="P212" s="228">
        <v>-2.1</v>
      </c>
      <c r="Q212" s="229">
        <v>-6.9999999999999999E-4</v>
      </c>
      <c r="R212" s="231">
        <v>3183.2</v>
      </c>
      <c r="S212" s="231">
        <v>3184.1</v>
      </c>
      <c r="T212" s="228">
        <v>-0.9</v>
      </c>
      <c r="U212" s="229">
        <v>-2.9999999999999997E-4</v>
      </c>
      <c r="V212" s="228">
        <v>0</v>
      </c>
      <c r="W212" s="228">
        <v>0</v>
      </c>
      <c r="X212" s="228">
        <v>0</v>
      </c>
      <c r="Y212" s="229">
        <v>0</v>
      </c>
      <c r="Z212" s="228">
        <v>7.2</v>
      </c>
      <c r="AA212" s="228">
        <v>10.7</v>
      </c>
      <c r="AB212" s="228">
        <v>-3.5</v>
      </c>
      <c r="AC212" s="229">
        <v>2.3E-3</v>
      </c>
      <c r="AD212" s="228">
        <v>7.2</v>
      </c>
      <c r="AE212" s="228">
        <v>10.7</v>
      </c>
      <c r="AF212" s="228">
        <v>-3.5</v>
      </c>
      <c r="AG212" s="229">
        <v>2.3E-3</v>
      </c>
      <c r="AH212" s="228">
        <v>23.6</v>
      </c>
      <c r="AI212" s="228">
        <v>25.9</v>
      </c>
      <c r="AJ212" s="228">
        <v>-2.2999999999999998</v>
      </c>
      <c r="AK212" s="229">
        <v>7.4999999999999997E-3</v>
      </c>
      <c r="AL212" s="228">
        <v>0</v>
      </c>
      <c r="AM212" s="228">
        <v>0</v>
      </c>
      <c r="AN212" s="228">
        <v>0</v>
      </c>
      <c r="AO212" s="229">
        <v>0</v>
      </c>
      <c r="AP212" s="231">
        <v>3173.61</v>
      </c>
      <c r="AQ212" s="231">
        <v>3190.04</v>
      </c>
      <c r="AR212" s="228">
        <v>0</v>
      </c>
      <c r="AS212" s="228">
        <v>884</v>
      </c>
      <c r="AT212" s="230">
        <v>1086</v>
      </c>
      <c r="AU212" s="228">
        <v>-203</v>
      </c>
      <c r="AV212" s="229">
        <v>-0.1865</v>
      </c>
      <c r="AW212" s="228">
        <v>592</v>
      </c>
      <c r="AX212" s="228">
        <v>686</v>
      </c>
      <c r="AY212" s="228">
        <v>-94</v>
      </c>
      <c r="AZ212" s="229">
        <v>-0.1376</v>
      </c>
      <c r="BA212" s="228">
        <v>236</v>
      </c>
      <c r="BB212" s="228">
        <v>362</v>
      </c>
      <c r="BC212" s="228">
        <v>-126</v>
      </c>
      <c r="BD212" s="229">
        <v>-0.34770000000000001</v>
      </c>
      <c r="BE212" s="228">
        <v>0</v>
      </c>
      <c r="BF212" s="228">
        <v>0</v>
      </c>
      <c r="BG212" s="228">
        <v>0</v>
      </c>
      <c r="BH212" s="229">
        <v>0</v>
      </c>
      <c r="BI212" s="230">
        <v>7059</v>
      </c>
      <c r="BJ212" s="230">
        <v>8928</v>
      </c>
      <c r="BK212" s="230">
        <v>-1869</v>
      </c>
      <c r="BL212" s="229">
        <v>-0.2094</v>
      </c>
      <c r="BM212" s="230">
        <v>2561</v>
      </c>
      <c r="BN212" s="230">
        <v>3750</v>
      </c>
      <c r="BO212" s="230">
        <v>-1189</v>
      </c>
      <c r="BP212" s="229">
        <v>-0.317</v>
      </c>
      <c r="BQ212" s="230">
        <v>10504</v>
      </c>
      <c r="BR212" s="230">
        <v>13764</v>
      </c>
      <c r="BS212" s="230">
        <v>-3260</v>
      </c>
      <c r="BT212" s="229">
        <v>-0.2369</v>
      </c>
      <c r="BU212" s="230">
        <v>3325121</v>
      </c>
      <c r="BV212" s="230">
        <v>3911113</v>
      </c>
      <c r="BW212" s="230">
        <v>-585992</v>
      </c>
      <c r="BX212" s="229">
        <v>-0.14979999999999999</v>
      </c>
      <c r="BY212" s="230">
        <v>9252</v>
      </c>
      <c r="BZ212" s="230">
        <v>9196</v>
      </c>
      <c r="CA212" s="228">
        <v>56</v>
      </c>
      <c r="CB212" s="229">
        <v>6.1000000000000004E-3</v>
      </c>
      <c r="CC212" s="230">
        <v>6915</v>
      </c>
      <c r="CD212" s="230">
        <v>7030</v>
      </c>
      <c r="CE212" s="228">
        <v>-115</v>
      </c>
      <c r="CF212" s="229">
        <v>-1.6400000000000001E-2</v>
      </c>
      <c r="CG212" s="230">
        <v>1877</v>
      </c>
      <c r="CH212" s="230">
        <v>1747</v>
      </c>
      <c r="CI212" s="228">
        <v>130</v>
      </c>
      <c r="CJ212" s="229">
        <v>7.4700000000000003E-2</v>
      </c>
      <c r="CK212" s="228">
        <v>0</v>
      </c>
      <c r="CL212" s="228">
        <v>0</v>
      </c>
      <c r="CM212" s="228">
        <v>0</v>
      </c>
      <c r="CN212" s="229">
        <v>0</v>
      </c>
      <c r="CO212" s="230">
        <v>8941</v>
      </c>
      <c r="CP212" s="230">
        <v>9154</v>
      </c>
      <c r="CQ212" s="228">
        <v>-213</v>
      </c>
      <c r="CR212" s="229">
        <v>-2.3300000000000001E-2</v>
      </c>
      <c r="CS212" s="230">
        <v>4484</v>
      </c>
      <c r="CT212" s="230">
        <v>4534</v>
      </c>
      <c r="CU212" s="228">
        <v>-50</v>
      </c>
      <c r="CV212" s="229">
        <v>-1.0999999999999999E-2</v>
      </c>
      <c r="CW212" s="230">
        <v>22677</v>
      </c>
      <c r="CX212" s="230">
        <v>22884</v>
      </c>
      <c r="CY212" s="228">
        <v>-207</v>
      </c>
      <c r="CZ212" s="229">
        <v>-8.9999999999999993E-3</v>
      </c>
      <c r="DA212" s="228">
        <v>20.87</v>
      </c>
      <c r="DB212" s="228">
        <v>21.58</v>
      </c>
      <c r="DC212" s="228">
        <v>-0.71</v>
      </c>
      <c r="DD212" s="228">
        <v>-0.71</v>
      </c>
      <c r="DE212" s="228">
        <v>24.85</v>
      </c>
      <c r="DF212" s="228">
        <v>24.92</v>
      </c>
      <c r="DG212" s="228">
        <v>-3.98</v>
      </c>
      <c r="DH212" s="228">
        <v>-7.0000000000000007E-2</v>
      </c>
      <c r="DI212" s="228">
        <v>21.37</v>
      </c>
      <c r="DJ212" s="228">
        <v>22.23</v>
      </c>
      <c r="DK212" s="228">
        <v>-0.86</v>
      </c>
      <c r="DL212" s="228">
        <v>-0.86</v>
      </c>
      <c r="DM212" s="228">
        <v>19.47</v>
      </c>
      <c r="DN212" s="228">
        <v>20.04</v>
      </c>
      <c r="DO212" s="228">
        <v>-0.56999999999999995</v>
      </c>
      <c r="DP212" s="228">
        <v>-0.56999999999999995</v>
      </c>
      <c r="DQ212" s="228">
        <v>0.5</v>
      </c>
      <c r="DR212" s="228">
        <v>0.5</v>
      </c>
      <c r="DS212" s="228">
        <v>0</v>
      </c>
      <c r="DT212" s="229">
        <v>0</v>
      </c>
      <c r="DU212" s="231">
        <v>3500</v>
      </c>
      <c r="DV212" s="231">
        <v>3200</v>
      </c>
      <c r="DW212" s="228">
        <v>0.36</v>
      </c>
      <c r="DX212" s="228">
        <v>0.42</v>
      </c>
      <c r="DY212" s="228">
        <v>-0.06</v>
      </c>
      <c r="DZ212" s="229">
        <v>-0.1429</v>
      </c>
      <c r="EA212" s="229">
        <v>0.2029</v>
      </c>
      <c r="EB212" s="230">
        <v>5515125</v>
      </c>
      <c r="EC212" s="229">
        <v>5.1999999999999998E-3</v>
      </c>
      <c r="ED212" s="229">
        <v>0.2029</v>
      </c>
      <c r="EE212" s="228">
        <v>16.43</v>
      </c>
      <c r="EF212" s="229">
        <v>5.1999999999999998E-3</v>
      </c>
      <c r="EG212" s="230">
        <v>2457814</v>
      </c>
      <c r="EH212" s="230">
        <v>3054325</v>
      </c>
      <c r="EI212" s="229">
        <v>-0.1953</v>
      </c>
      <c r="EJ212" s="229">
        <v>0.73919999999999997</v>
      </c>
      <c r="EK212" s="231">
        <v>7401.73</v>
      </c>
      <c r="EL212" s="231">
        <v>2557.35</v>
      </c>
      <c r="EM212" s="228">
        <v>887.51</v>
      </c>
      <c r="EN212" s="228">
        <v>0</v>
      </c>
      <c r="EO212" s="231">
        <v>10846.59</v>
      </c>
      <c r="EP212" s="231">
        <v>14267.73</v>
      </c>
      <c r="EQ212" s="231">
        <v>-3421.15</v>
      </c>
      <c r="ER212" s="229">
        <v>-0.23980000000000001</v>
      </c>
      <c r="ES212" s="231">
        <v>9646.3799999999992</v>
      </c>
      <c r="ET212" s="231">
        <v>4576.42</v>
      </c>
      <c r="EU212" s="231">
        <v>9266.7900000000009</v>
      </c>
      <c r="EV212" s="231">
        <v>204305778</v>
      </c>
      <c r="EW212" s="231">
        <v>23489.59</v>
      </c>
      <c r="EX212" s="231">
        <v>23732.3</v>
      </c>
      <c r="EY212" s="228">
        <v>-242.71</v>
      </c>
      <c r="EZ212" s="229">
        <v>-1.0200000000000001E-2</v>
      </c>
      <c r="FA212" s="229">
        <v>0.35049999999999998</v>
      </c>
      <c r="FB212" s="227" t="s">
        <v>567</v>
      </c>
      <c r="FC212">
        <f t="shared" si="4"/>
        <v>0</v>
      </c>
    </row>
    <row r="213" spans="1:159" ht="17.25" thickBot="1" x14ac:dyDescent="0.3">
      <c r="A213" s="226">
        <v>45860</v>
      </c>
      <c r="B213" s="227" t="s">
        <v>221</v>
      </c>
      <c r="C213" s="227" t="s">
        <v>296</v>
      </c>
      <c r="D213" s="228">
        <v>600</v>
      </c>
      <c r="E213" s="228">
        <v>9</v>
      </c>
      <c r="F213" s="231">
        <v>1548.2</v>
      </c>
      <c r="G213" s="231">
        <v>1545.4</v>
      </c>
      <c r="H213" s="228">
        <v>2.8</v>
      </c>
      <c r="I213" s="229">
        <v>1.8E-3</v>
      </c>
      <c r="J213" s="231">
        <v>1547.2</v>
      </c>
      <c r="K213" s="231">
        <v>1543.8</v>
      </c>
      <c r="L213" s="228">
        <v>3.4</v>
      </c>
      <c r="M213" s="229">
        <v>2.2000000000000001E-3</v>
      </c>
      <c r="N213" s="231">
        <v>1548.2</v>
      </c>
      <c r="O213" s="231">
        <v>1545.4</v>
      </c>
      <c r="P213" s="228">
        <v>2.8</v>
      </c>
      <c r="Q213" s="229">
        <v>1.8E-3</v>
      </c>
      <c r="R213" s="231">
        <v>1556.5</v>
      </c>
      <c r="S213" s="231">
        <v>1553.8</v>
      </c>
      <c r="T213" s="228">
        <v>2.7</v>
      </c>
      <c r="U213" s="229">
        <v>1.6999999999999999E-3</v>
      </c>
      <c r="V213" s="228">
        <v>0</v>
      </c>
      <c r="W213" s="228">
        <v>0</v>
      </c>
      <c r="X213" s="228">
        <v>0</v>
      </c>
      <c r="Y213" s="229">
        <v>0</v>
      </c>
      <c r="Z213" s="228">
        <v>1</v>
      </c>
      <c r="AA213" s="228">
        <v>1.6</v>
      </c>
      <c r="AB213" s="228">
        <v>-0.6</v>
      </c>
      <c r="AC213" s="229">
        <v>5.9999999999999995E-4</v>
      </c>
      <c r="AD213" s="228">
        <v>1</v>
      </c>
      <c r="AE213" s="228">
        <v>1.6</v>
      </c>
      <c r="AF213" s="228">
        <v>-0.6</v>
      </c>
      <c r="AG213" s="229">
        <v>5.9999999999999995E-4</v>
      </c>
      <c r="AH213" s="228">
        <v>9.3000000000000007</v>
      </c>
      <c r="AI213" s="228">
        <v>10</v>
      </c>
      <c r="AJ213" s="228">
        <v>-0.7</v>
      </c>
      <c r="AK213" s="229">
        <v>6.0000000000000001E-3</v>
      </c>
      <c r="AL213" s="228">
        <v>0</v>
      </c>
      <c r="AM213" s="228">
        <v>0</v>
      </c>
      <c r="AN213" s="228">
        <v>0</v>
      </c>
      <c r="AO213" s="229">
        <v>0</v>
      </c>
      <c r="AP213" s="231">
        <v>1548.81</v>
      </c>
      <c r="AQ213" s="231">
        <v>1558.29</v>
      </c>
      <c r="AR213" s="228">
        <v>0</v>
      </c>
      <c r="AS213" s="228">
        <v>297</v>
      </c>
      <c r="AT213" s="228">
        <v>392</v>
      </c>
      <c r="AU213" s="228">
        <v>-95</v>
      </c>
      <c r="AV213" s="229">
        <v>-0.2412</v>
      </c>
      <c r="AW213" s="228">
        <v>231</v>
      </c>
      <c r="AX213" s="228">
        <v>348</v>
      </c>
      <c r="AY213" s="228">
        <v>-117</v>
      </c>
      <c r="AZ213" s="229">
        <v>-0.33650000000000002</v>
      </c>
      <c r="BA213" s="228">
        <v>64</v>
      </c>
      <c r="BB213" s="228">
        <v>41</v>
      </c>
      <c r="BC213" s="228">
        <v>23</v>
      </c>
      <c r="BD213" s="229">
        <v>0.56789999999999996</v>
      </c>
      <c r="BE213" s="228">
        <v>0</v>
      </c>
      <c r="BF213" s="228">
        <v>0</v>
      </c>
      <c r="BG213" s="228">
        <v>0</v>
      </c>
      <c r="BH213" s="229">
        <v>0</v>
      </c>
      <c r="BI213" s="230">
        <v>1272</v>
      </c>
      <c r="BJ213" s="230">
        <v>1911</v>
      </c>
      <c r="BK213" s="228">
        <v>-639</v>
      </c>
      <c r="BL213" s="229">
        <v>-0.33429999999999999</v>
      </c>
      <c r="BM213" s="228">
        <v>418</v>
      </c>
      <c r="BN213" s="228">
        <v>724</v>
      </c>
      <c r="BO213" s="228">
        <v>-305</v>
      </c>
      <c r="BP213" s="229">
        <v>-0.42170000000000002</v>
      </c>
      <c r="BQ213" s="230">
        <v>1988</v>
      </c>
      <c r="BR213" s="230">
        <v>3027</v>
      </c>
      <c r="BS213" s="230">
        <v>-1039</v>
      </c>
      <c r="BT213" s="229">
        <v>-0.34310000000000002</v>
      </c>
      <c r="BU213" s="230">
        <v>1415337</v>
      </c>
      <c r="BV213" s="230">
        <v>1007980</v>
      </c>
      <c r="BW213" s="230">
        <v>407357</v>
      </c>
      <c r="BX213" s="229">
        <v>0.40410000000000001</v>
      </c>
      <c r="BY213" s="230">
        <v>2792</v>
      </c>
      <c r="BZ213" s="230">
        <v>2805</v>
      </c>
      <c r="CA213" s="228">
        <v>-13</v>
      </c>
      <c r="CB213" s="229">
        <v>-4.4999999999999997E-3</v>
      </c>
      <c r="CC213" s="230">
        <v>2480</v>
      </c>
      <c r="CD213" s="230">
        <v>2504</v>
      </c>
      <c r="CE213" s="228">
        <v>-24</v>
      </c>
      <c r="CF213" s="229">
        <v>-9.4999999999999998E-3</v>
      </c>
      <c r="CG213" s="228">
        <v>240</v>
      </c>
      <c r="CH213" s="228">
        <v>230</v>
      </c>
      <c r="CI213" s="228">
        <v>9</v>
      </c>
      <c r="CJ213" s="229">
        <v>3.9899999999999998E-2</v>
      </c>
      <c r="CK213" s="228">
        <v>0</v>
      </c>
      <c r="CL213" s="228">
        <v>0</v>
      </c>
      <c r="CM213" s="228">
        <v>0</v>
      </c>
      <c r="CN213" s="229">
        <v>0</v>
      </c>
      <c r="CO213" s="230">
        <v>2184</v>
      </c>
      <c r="CP213" s="230">
        <v>2322</v>
      </c>
      <c r="CQ213" s="228">
        <v>-138</v>
      </c>
      <c r="CR213" s="229">
        <v>-5.96E-2</v>
      </c>
      <c r="CS213" s="230">
        <v>1006</v>
      </c>
      <c r="CT213" s="230">
        <v>1043</v>
      </c>
      <c r="CU213" s="228">
        <v>-37</v>
      </c>
      <c r="CV213" s="229">
        <v>-3.5400000000000001E-2</v>
      </c>
      <c r="CW213" s="230">
        <v>5982</v>
      </c>
      <c r="CX213" s="230">
        <v>6170</v>
      </c>
      <c r="CY213" s="228">
        <v>-188</v>
      </c>
      <c r="CZ213" s="229">
        <v>-3.0499999999999999E-2</v>
      </c>
      <c r="DA213" s="228">
        <v>24.75</v>
      </c>
      <c r="DB213" s="228">
        <v>25.09</v>
      </c>
      <c r="DC213" s="228">
        <v>-0.34</v>
      </c>
      <c r="DD213" s="228">
        <v>-0.34</v>
      </c>
      <c r="DE213" s="228">
        <v>31.24</v>
      </c>
      <c r="DF213" s="228">
        <v>31.32</v>
      </c>
      <c r="DG213" s="228">
        <v>-6.49</v>
      </c>
      <c r="DH213" s="228">
        <v>-0.08</v>
      </c>
      <c r="DI213" s="228">
        <v>25.15</v>
      </c>
      <c r="DJ213" s="228">
        <v>25.7</v>
      </c>
      <c r="DK213" s="228">
        <v>-0.55000000000000004</v>
      </c>
      <c r="DL213" s="228">
        <v>-0.55000000000000004</v>
      </c>
      <c r="DM213" s="228">
        <v>23.52</v>
      </c>
      <c r="DN213" s="228">
        <v>23.5</v>
      </c>
      <c r="DO213" s="228">
        <v>0.02</v>
      </c>
      <c r="DP213" s="228">
        <v>0.02</v>
      </c>
      <c r="DQ213" s="228">
        <v>0.46</v>
      </c>
      <c r="DR213" s="228">
        <v>0.45</v>
      </c>
      <c r="DS213" s="228">
        <v>0.01</v>
      </c>
      <c r="DT213" s="229">
        <v>2.2200000000000001E-2</v>
      </c>
      <c r="DU213" s="231">
        <v>1600</v>
      </c>
      <c r="DV213" s="231">
        <v>1500</v>
      </c>
      <c r="DW213" s="228">
        <v>0.33</v>
      </c>
      <c r="DX213" s="228">
        <v>0.38</v>
      </c>
      <c r="DY213" s="228">
        <v>-0.05</v>
      </c>
      <c r="DZ213" s="229">
        <v>-0.13159999999999999</v>
      </c>
      <c r="EA213" s="229">
        <v>8.5800000000000001E-2</v>
      </c>
      <c r="EB213" s="230">
        <v>1488000</v>
      </c>
      <c r="EC213" s="229">
        <v>5.4000000000000003E-3</v>
      </c>
      <c r="ED213" s="229">
        <v>8.5800000000000001E-2</v>
      </c>
      <c r="EE213" s="228">
        <v>9.48</v>
      </c>
      <c r="EF213" s="229">
        <v>6.1000000000000004E-3</v>
      </c>
      <c r="EG213" s="230">
        <v>922220</v>
      </c>
      <c r="EH213" s="230">
        <v>448307</v>
      </c>
      <c r="EI213" s="229">
        <v>1.0570999999999999</v>
      </c>
      <c r="EJ213" s="229">
        <v>0.65159999999999996</v>
      </c>
      <c r="EK213" s="231">
        <v>1325.18</v>
      </c>
      <c r="EL213" s="228">
        <v>417</v>
      </c>
      <c r="EM213" s="228">
        <v>297.97000000000003</v>
      </c>
      <c r="EN213" s="228">
        <v>0</v>
      </c>
      <c r="EO213" s="231">
        <v>2040.15</v>
      </c>
      <c r="EP213" s="231">
        <v>3113.27</v>
      </c>
      <c r="EQ213" s="231">
        <v>-1073.1099999999999</v>
      </c>
      <c r="ER213" s="229">
        <v>-0.34470000000000001</v>
      </c>
      <c r="ES213" s="231">
        <v>2330.4299999999998</v>
      </c>
      <c r="ET213" s="228">
        <v>994.31</v>
      </c>
      <c r="EU213" s="231">
        <v>2794.38</v>
      </c>
      <c r="EV213" s="231">
        <v>127258876</v>
      </c>
      <c r="EW213" s="231">
        <v>6119.13</v>
      </c>
      <c r="EX213" s="231">
        <v>6310.19</v>
      </c>
      <c r="EY213" s="228">
        <v>-191.06</v>
      </c>
      <c r="EZ213" s="229">
        <v>-3.0300000000000001E-2</v>
      </c>
      <c r="FA213" s="229">
        <v>0.30359999999999998</v>
      </c>
      <c r="FB213" s="227" t="s">
        <v>556</v>
      </c>
      <c r="FC213">
        <f t="shared" si="4"/>
        <v>0</v>
      </c>
    </row>
    <row r="214" spans="1:159" ht="17.25" thickBot="1" x14ac:dyDescent="0.3">
      <c r="A214" s="226">
        <v>45860</v>
      </c>
      <c r="B214" s="227" t="s">
        <v>184</v>
      </c>
      <c r="C214" s="227" t="s">
        <v>596</v>
      </c>
      <c r="D214" s="228">
        <v>200</v>
      </c>
      <c r="E214" s="228">
        <v>9</v>
      </c>
      <c r="F214" s="231">
        <v>2948.6</v>
      </c>
      <c r="G214" s="231">
        <v>2943.8</v>
      </c>
      <c r="H214" s="228">
        <v>4.8</v>
      </c>
      <c r="I214" s="229">
        <v>1.6000000000000001E-3</v>
      </c>
      <c r="J214" s="231">
        <v>2949.5</v>
      </c>
      <c r="K214" s="231">
        <v>2939.4</v>
      </c>
      <c r="L214" s="228">
        <v>10.1</v>
      </c>
      <c r="M214" s="229">
        <v>3.3999999999999998E-3</v>
      </c>
      <c r="N214" s="231">
        <v>2948.6</v>
      </c>
      <c r="O214" s="231">
        <v>2943.8</v>
      </c>
      <c r="P214" s="228">
        <v>4.8</v>
      </c>
      <c r="Q214" s="229">
        <v>1.6000000000000001E-3</v>
      </c>
      <c r="R214" s="231">
        <v>2962</v>
      </c>
      <c r="S214" s="231">
        <v>2962.6</v>
      </c>
      <c r="T214" s="228">
        <v>-0.6</v>
      </c>
      <c r="U214" s="229">
        <v>-2.0000000000000001E-4</v>
      </c>
      <c r="V214" s="228">
        <v>0</v>
      </c>
      <c r="W214" s="228">
        <v>0</v>
      </c>
      <c r="X214" s="228">
        <v>0</v>
      </c>
      <c r="Y214" s="229">
        <v>0</v>
      </c>
      <c r="Z214" s="228">
        <v>-0.9</v>
      </c>
      <c r="AA214" s="228">
        <v>4.4000000000000004</v>
      </c>
      <c r="AB214" s="228">
        <v>-5.3</v>
      </c>
      <c r="AC214" s="229">
        <v>-2.9999999999999997E-4</v>
      </c>
      <c r="AD214" s="228">
        <v>-0.9</v>
      </c>
      <c r="AE214" s="228">
        <v>4.4000000000000004</v>
      </c>
      <c r="AF214" s="228">
        <v>-5.3</v>
      </c>
      <c r="AG214" s="229">
        <v>-2.9999999999999997E-4</v>
      </c>
      <c r="AH214" s="228">
        <v>12.5</v>
      </c>
      <c r="AI214" s="228">
        <v>23.2</v>
      </c>
      <c r="AJ214" s="228">
        <v>-10.7</v>
      </c>
      <c r="AK214" s="229">
        <v>4.1999999999999997E-3</v>
      </c>
      <c r="AL214" s="228">
        <v>0</v>
      </c>
      <c r="AM214" s="228">
        <v>0</v>
      </c>
      <c r="AN214" s="228">
        <v>0</v>
      </c>
      <c r="AO214" s="229">
        <v>0</v>
      </c>
      <c r="AP214" s="231">
        <v>2973.18</v>
      </c>
      <c r="AQ214" s="231">
        <v>2990.49</v>
      </c>
      <c r="AR214" s="228">
        <v>0</v>
      </c>
      <c r="AS214" s="228">
        <v>88</v>
      </c>
      <c r="AT214" s="228">
        <v>96</v>
      </c>
      <c r="AU214" s="228">
        <v>-9</v>
      </c>
      <c r="AV214" s="229">
        <v>-9.1200000000000003E-2</v>
      </c>
      <c r="AW214" s="228">
        <v>72</v>
      </c>
      <c r="AX214" s="228">
        <v>90</v>
      </c>
      <c r="AY214" s="228">
        <v>-18</v>
      </c>
      <c r="AZ214" s="229">
        <v>-0.20169999999999999</v>
      </c>
      <c r="BA214" s="228">
        <v>16</v>
      </c>
      <c r="BB214" s="228">
        <v>6</v>
      </c>
      <c r="BC214" s="228">
        <v>9</v>
      </c>
      <c r="BD214" s="229">
        <v>1.5047999999999999</v>
      </c>
      <c r="BE214" s="228">
        <v>0</v>
      </c>
      <c r="BF214" s="228">
        <v>0</v>
      </c>
      <c r="BG214" s="228">
        <v>0</v>
      </c>
      <c r="BH214" s="229">
        <v>0</v>
      </c>
      <c r="BI214" s="228">
        <v>419</v>
      </c>
      <c r="BJ214" s="228">
        <v>156</v>
      </c>
      <c r="BK214" s="228">
        <v>263</v>
      </c>
      <c r="BL214" s="229">
        <v>1.6895</v>
      </c>
      <c r="BM214" s="228">
        <v>70</v>
      </c>
      <c r="BN214" s="228">
        <v>23</v>
      </c>
      <c r="BO214" s="228">
        <v>47</v>
      </c>
      <c r="BP214" s="229">
        <v>2.0253000000000001</v>
      </c>
      <c r="BQ214" s="228">
        <v>577</v>
      </c>
      <c r="BR214" s="228">
        <v>276</v>
      </c>
      <c r="BS214" s="228">
        <v>302</v>
      </c>
      <c r="BT214" s="229">
        <v>1.0952</v>
      </c>
      <c r="BU214" s="230">
        <v>256452</v>
      </c>
      <c r="BV214" s="230">
        <v>295337</v>
      </c>
      <c r="BW214" s="230">
        <v>-38885</v>
      </c>
      <c r="BX214" s="229">
        <v>-0.13170000000000001</v>
      </c>
      <c r="BY214" s="228">
        <v>541</v>
      </c>
      <c r="BZ214" s="228">
        <v>551</v>
      </c>
      <c r="CA214" s="228">
        <v>-10</v>
      </c>
      <c r="CB214" s="229">
        <v>-1.8100000000000002E-2</v>
      </c>
      <c r="CC214" s="228">
        <v>520</v>
      </c>
      <c r="CD214" s="228">
        <v>532</v>
      </c>
      <c r="CE214" s="228">
        <v>-12</v>
      </c>
      <c r="CF214" s="229">
        <v>-2.2800000000000001E-2</v>
      </c>
      <c r="CG214" s="228">
        <v>19</v>
      </c>
      <c r="CH214" s="228">
        <v>17</v>
      </c>
      <c r="CI214" s="228">
        <v>2</v>
      </c>
      <c r="CJ214" s="229">
        <v>0.1246</v>
      </c>
      <c r="CK214" s="228">
        <v>0</v>
      </c>
      <c r="CL214" s="228">
        <v>0</v>
      </c>
      <c r="CM214" s="228">
        <v>0</v>
      </c>
      <c r="CN214" s="229">
        <v>0</v>
      </c>
      <c r="CO214" s="228">
        <v>218</v>
      </c>
      <c r="CP214" s="228">
        <v>189</v>
      </c>
      <c r="CQ214" s="228">
        <v>29</v>
      </c>
      <c r="CR214" s="229">
        <v>0.15129999999999999</v>
      </c>
      <c r="CS214" s="228">
        <v>115</v>
      </c>
      <c r="CT214" s="228">
        <v>118</v>
      </c>
      <c r="CU214" s="228">
        <v>-2</v>
      </c>
      <c r="CV214" s="229">
        <v>-1.8599999999999998E-2</v>
      </c>
      <c r="CW214" s="228">
        <v>875</v>
      </c>
      <c r="CX214" s="228">
        <v>858</v>
      </c>
      <c r="CY214" s="228">
        <v>17</v>
      </c>
      <c r="CZ214" s="229">
        <v>1.9199999999999998E-2</v>
      </c>
      <c r="DA214" s="228">
        <v>36.36</v>
      </c>
      <c r="DB214" s="228">
        <v>35.909999999999997</v>
      </c>
      <c r="DC214" s="228">
        <v>0.45</v>
      </c>
      <c r="DD214" s="228">
        <v>0.45</v>
      </c>
      <c r="DE214" s="228">
        <v>44.92</v>
      </c>
      <c r="DF214" s="228">
        <v>45.03</v>
      </c>
      <c r="DG214" s="228">
        <v>-8.56</v>
      </c>
      <c r="DH214" s="228">
        <v>-0.11</v>
      </c>
      <c r="DI214" s="228">
        <v>36.46</v>
      </c>
      <c r="DJ214" s="228">
        <v>35.950000000000003</v>
      </c>
      <c r="DK214" s="228">
        <v>0.51</v>
      </c>
      <c r="DL214" s="228">
        <v>0.51</v>
      </c>
      <c r="DM214" s="228">
        <v>35.729999999999997</v>
      </c>
      <c r="DN214" s="228">
        <v>35.590000000000003</v>
      </c>
      <c r="DO214" s="228">
        <v>0.14000000000000001</v>
      </c>
      <c r="DP214" s="228">
        <v>0.14000000000000001</v>
      </c>
      <c r="DQ214" s="228">
        <v>0.53</v>
      </c>
      <c r="DR214" s="228">
        <v>0.62</v>
      </c>
      <c r="DS214" s="228">
        <v>-0.09</v>
      </c>
      <c r="DT214" s="229">
        <v>-0.1452</v>
      </c>
      <c r="DU214" s="231">
        <v>3000</v>
      </c>
      <c r="DV214" s="231">
        <v>3000</v>
      </c>
      <c r="DW214" s="228">
        <v>0.17</v>
      </c>
      <c r="DX214" s="228">
        <v>0.15</v>
      </c>
      <c r="DY214" s="228">
        <v>0.02</v>
      </c>
      <c r="DZ214" s="229">
        <v>0.1333</v>
      </c>
      <c r="EA214" s="229">
        <v>3.5400000000000001E-2</v>
      </c>
      <c r="EB214" s="230">
        <v>57800</v>
      </c>
      <c r="EC214" s="229">
        <v>4.4999999999999997E-3</v>
      </c>
      <c r="ED214" s="229">
        <v>3.5400000000000001E-2</v>
      </c>
      <c r="EE214" s="228">
        <v>17.309999999999999</v>
      </c>
      <c r="EF214" s="229">
        <v>5.7999999999999996E-3</v>
      </c>
      <c r="EG214" s="230">
        <v>121058</v>
      </c>
      <c r="EH214" s="230">
        <v>208520</v>
      </c>
      <c r="EI214" s="229">
        <v>-0.4194</v>
      </c>
      <c r="EJ214" s="229">
        <v>0.47199999999999998</v>
      </c>
      <c r="EK214" s="228">
        <v>438.61</v>
      </c>
      <c r="EL214" s="228">
        <v>69.83</v>
      </c>
      <c r="EM214" s="228">
        <v>88.4</v>
      </c>
      <c r="EN214" s="228">
        <v>0</v>
      </c>
      <c r="EO214" s="228">
        <v>596.84</v>
      </c>
      <c r="EP214" s="228">
        <v>285.77999999999997</v>
      </c>
      <c r="EQ214" s="228">
        <v>311.06</v>
      </c>
      <c r="ER214" s="229">
        <v>1.0885</v>
      </c>
      <c r="ES214" s="228">
        <v>230.07</v>
      </c>
      <c r="ET214" s="228">
        <v>112.7</v>
      </c>
      <c r="EU214" s="228">
        <v>541.54</v>
      </c>
      <c r="EV214" s="231">
        <v>21630854</v>
      </c>
      <c r="EW214" s="228">
        <v>884.31</v>
      </c>
      <c r="EX214" s="228">
        <v>866.41</v>
      </c>
      <c r="EY214" s="228">
        <v>17.899999999999999</v>
      </c>
      <c r="EZ214" s="229">
        <v>2.07E-2</v>
      </c>
      <c r="FA214" s="229">
        <v>0.13719999999999999</v>
      </c>
      <c r="FB214" s="227" t="s">
        <v>556</v>
      </c>
      <c r="FC214">
        <f t="shared" si="4"/>
        <v>0</v>
      </c>
    </row>
    <row r="215" spans="1:159" ht="17.25" thickBot="1" x14ac:dyDescent="0.3">
      <c r="A215" s="226">
        <v>45860</v>
      </c>
      <c r="B215" s="227" t="s">
        <v>184</v>
      </c>
      <c r="C215" s="227" t="s">
        <v>664</v>
      </c>
      <c r="D215" s="228">
        <v>725</v>
      </c>
      <c r="E215" s="228">
        <v>9</v>
      </c>
      <c r="F215" s="228">
        <v>927.1</v>
      </c>
      <c r="G215" s="228">
        <v>940.7</v>
      </c>
      <c r="H215" s="228">
        <v>-13.6</v>
      </c>
      <c r="I215" s="229">
        <v>-1.4500000000000001E-2</v>
      </c>
      <c r="J215" s="228">
        <v>925.3</v>
      </c>
      <c r="K215" s="228">
        <v>937.35</v>
      </c>
      <c r="L215" s="228">
        <v>-12.05</v>
      </c>
      <c r="M215" s="229">
        <v>-1.29E-2</v>
      </c>
      <c r="N215" s="228">
        <v>927.1</v>
      </c>
      <c r="O215" s="228">
        <v>940.7</v>
      </c>
      <c r="P215" s="228">
        <v>-13.6</v>
      </c>
      <c r="Q215" s="229">
        <v>-1.4500000000000001E-2</v>
      </c>
      <c r="R215" s="228">
        <v>930.75</v>
      </c>
      <c r="S215" s="228">
        <v>944.5</v>
      </c>
      <c r="T215" s="228">
        <v>-13.75</v>
      </c>
      <c r="U215" s="229">
        <v>-1.46E-2</v>
      </c>
      <c r="V215" s="228">
        <v>0</v>
      </c>
      <c r="W215" s="228">
        <v>0</v>
      </c>
      <c r="X215" s="228">
        <v>0</v>
      </c>
      <c r="Y215" s="229">
        <v>0</v>
      </c>
      <c r="Z215" s="228">
        <v>1.8</v>
      </c>
      <c r="AA215" s="228">
        <v>3.35</v>
      </c>
      <c r="AB215" s="228">
        <v>-1.55</v>
      </c>
      <c r="AC215" s="229">
        <v>1.9E-3</v>
      </c>
      <c r="AD215" s="228">
        <v>1.8</v>
      </c>
      <c r="AE215" s="228">
        <v>3.35</v>
      </c>
      <c r="AF215" s="228">
        <v>-1.55</v>
      </c>
      <c r="AG215" s="229">
        <v>1.9E-3</v>
      </c>
      <c r="AH215" s="228">
        <v>5.45</v>
      </c>
      <c r="AI215" s="228">
        <v>7.15</v>
      </c>
      <c r="AJ215" s="228">
        <v>-1.7</v>
      </c>
      <c r="AK215" s="229">
        <v>5.8999999999999999E-3</v>
      </c>
      <c r="AL215" s="228">
        <v>0</v>
      </c>
      <c r="AM215" s="228">
        <v>0</v>
      </c>
      <c r="AN215" s="228">
        <v>0</v>
      </c>
      <c r="AO215" s="229">
        <v>0</v>
      </c>
      <c r="AP215" s="228">
        <v>936.93</v>
      </c>
      <c r="AQ215" s="228">
        <v>940.95</v>
      </c>
      <c r="AR215" s="228">
        <v>0</v>
      </c>
      <c r="AS215" s="228">
        <v>107</v>
      </c>
      <c r="AT215" s="228">
        <v>121</v>
      </c>
      <c r="AU215" s="228">
        <v>-14</v>
      </c>
      <c r="AV215" s="229">
        <v>-0.1186</v>
      </c>
      <c r="AW215" s="228">
        <v>83</v>
      </c>
      <c r="AX215" s="228">
        <v>106</v>
      </c>
      <c r="AY215" s="228">
        <v>-23</v>
      </c>
      <c r="AZ215" s="229">
        <v>-0.21410000000000001</v>
      </c>
      <c r="BA215" s="228">
        <v>22</v>
      </c>
      <c r="BB215" s="228">
        <v>15</v>
      </c>
      <c r="BC215" s="228">
        <v>7</v>
      </c>
      <c r="BD215" s="229">
        <v>0.4955</v>
      </c>
      <c r="BE215" s="228">
        <v>0</v>
      </c>
      <c r="BF215" s="228">
        <v>0</v>
      </c>
      <c r="BG215" s="228">
        <v>0</v>
      </c>
      <c r="BH215" s="229">
        <v>0</v>
      </c>
      <c r="BI215" s="228">
        <v>201</v>
      </c>
      <c r="BJ215" s="228">
        <v>342</v>
      </c>
      <c r="BK215" s="228">
        <v>-141</v>
      </c>
      <c r="BL215" s="229">
        <v>-0.4118</v>
      </c>
      <c r="BM215" s="228">
        <v>47</v>
      </c>
      <c r="BN215" s="228">
        <v>97</v>
      </c>
      <c r="BO215" s="228">
        <v>-50</v>
      </c>
      <c r="BP215" s="229">
        <v>-0.51690000000000003</v>
      </c>
      <c r="BQ215" s="228">
        <v>355</v>
      </c>
      <c r="BR215" s="228">
        <v>561</v>
      </c>
      <c r="BS215" s="228">
        <v>-206</v>
      </c>
      <c r="BT215" s="229">
        <v>-0.36659999999999998</v>
      </c>
      <c r="BU215" s="230">
        <v>834911</v>
      </c>
      <c r="BV215" s="230">
        <v>1071046</v>
      </c>
      <c r="BW215" s="230">
        <v>-236135</v>
      </c>
      <c r="BX215" s="229">
        <v>-0.2205</v>
      </c>
      <c r="BY215" s="228">
        <v>765</v>
      </c>
      <c r="BZ215" s="228">
        <v>738</v>
      </c>
      <c r="CA215" s="228">
        <v>28</v>
      </c>
      <c r="CB215" s="229">
        <v>3.7699999999999997E-2</v>
      </c>
      <c r="CC215" s="228">
        <v>652</v>
      </c>
      <c r="CD215" s="228">
        <v>634</v>
      </c>
      <c r="CE215" s="228">
        <v>18</v>
      </c>
      <c r="CF215" s="229">
        <v>2.9000000000000001E-2</v>
      </c>
      <c r="CG215" s="228">
        <v>107</v>
      </c>
      <c r="CH215" s="228">
        <v>99</v>
      </c>
      <c r="CI215" s="228">
        <v>8</v>
      </c>
      <c r="CJ215" s="229">
        <v>8.3400000000000002E-2</v>
      </c>
      <c r="CK215" s="228">
        <v>0</v>
      </c>
      <c r="CL215" s="228">
        <v>0</v>
      </c>
      <c r="CM215" s="228">
        <v>0</v>
      </c>
      <c r="CN215" s="229">
        <v>0</v>
      </c>
      <c r="CO215" s="228">
        <v>288</v>
      </c>
      <c r="CP215" s="228">
        <v>284</v>
      </c>
      <c r="CQ215" s="228">
        <v>4</v>
      </c>
      <c r="CR215" s="229">
        <v>1.37E-2</v>
      </c>
      <c r="CS215" s="228">
        <v>169</v>
      </c>
      <c r="CT215" s="228">
        <v>171</v>
      </c>
      <c r="CU215" s="228">
        <v>-3</v>
      </c>
      <c r="CV215" s="229">
        <v>-1.5699999999999999E-2</v>
      </c>
      <c r="CW215" s="230">
        <v>1222</v>
      </c>
      <c r="CX215" s="230">
        <v>1193</v>
      </c>
      <c r="CY215" s="228">
        <v>29</v>
      </c>
      <c r="CZ215" s="229">
        <v>2.4299999999999999E-2</v>
      </c>
      <c r="DA215" s="228">
        <v>40.18</v>
      </c>
      <c r="DB215" s="228">
        <v>40.97</v>
      </c>
      <c r="DC215" s="228">
        <v>-0.79</v>
      </c>
      <c r="DD215" s="228">
        <v>-0.79</v>
      </c>
      <c r="DE215" s="228">
        <v>60.18</v>
      </c>
      <c r="DF215" s="228">
        <v>60.3</v>
      </c>
      <c r="DG215" s="228">
        <v>-20</v>
      </c>
      <c r="DH215" s="228">
        <v>-0.12</v>
      </c>
      <c r="DI215" s="228">
        <v>40.47</v>
      </c>
      <c r="DJ215" s="228">
        <v>40.630000000000003</v>
      </c>
      <c r="DK215" s="228">
        <v>-0.16</v>
      </c>
      <c r="DL215" s="228">
        <v>-0.16</v>
      </c>
      <c r="DM215" s="228">
        <v>38.950000000000003</v>
      </c>
      <c r="DN215" s="228">
        <v>42.17</v>
      </c>
      <c r="DO215" s="228">
        <v>-3.22</v>
      </c>
      <c r="DP215" s="228">
        <v>-3.22</v>
      </c>
      <c r="DQ215" s="228">
        <v>0.59</v>
      </c>
      <c r="DR215" s="228">
        <v>0.6</v>
      </c>
      <c r="DS215" s="228">
        <v>-0.01</v>
      </c>
      <c r="DT215" s="229">
        <v>-1.67E-2</v>
      </c>
      <c r="DU215" s="231">
        <v>1000</v>
      </c>
      <c r="DV215" s="228">
        <v>900</v>
      </c>
      <c r="DW215" s="228">
        <v>0.23</v>
      </c>
      <c r="DX215" s="228">
        <v>0.28000000000000003</v>
      </c>
      <c r="DY215" s="228">
        <v>-0.05</v>
      </c>
      <c r="DZ215" s="229">
        <v>-0.17860000000000001</v>
      </c>
      <c r="EA215" s="229">
        <v>0.14030000000000001</v>
      </c>
      <c r="EB215" s="230">
        <v>1069375</v>
      </c>
      <c r="EC215" s="229">
        <v>3.8999999999999998E-3</v>
      </c>
      <c r="ED215" s="229">
        <v>0.14030000000000001</v>
      </c>
      <c r="EE215" s="228">
        <v>4.0199999999999996</v>
      </c>
      <c r="EF215" s="229">
        <v>4.3E-3</v>
      </c>
      <c r="EG215" s="230">
        <v>250627</v>
      </c>
      <c r="EH215" s="230">
        <v>227304</v>
      </c>
      <c r="EI215" s="229">
        <v>0.1026</v>
      </c>
      <c r="EJ215" s="229">
        <v>0.30020000000000002</v>
      </c>
      <c r="EK215" s="228">
        <v>216.27</v>
      </c>
      <c r="EL215" s="228">
        <v>45.66</v>
      </c>
      <c r="EM215" s="228">
        <v>108.18</v>
      </c>
      <c r="EN215" s="228">
        <v>0</v>
      </c>
      <c r="EO215" s="228">
        <v>370.12</v>
      </c>
      <c r="EP215" s="228">
        <v>583.29</v>
      </c>
      <c r="EQ215" s="228">
        <v>-213.17</v>
      </c>
      <c r="ER215" s="229">
        <v>-0.36549999999999999</v>
      </c>
      <c r="ES215" s="228">
        <v>305.99</v>
      </c>
      <c r="ET215" s="228">
        <v>162.65</v>
      </c>
      <c r="EU215" s="228">
        <v>765.91</v>
      </c>
      <c r="EV215" s="231">
        <v>16037381</v>
      </c>
      <c r="EW215" s="231">
        <v>1234.55</v>
      </c>
      <c r="EX215" s="231">
        <v>1215.8800000000001</v>
      </c>
      <c r="EY215" s="228">
        <v>18.670000000000002</v>
      </c>
      <c r="EZ215" s="229">
        <v>1.54E-2</v>
      </c>
      <c r="FA215" s="229">
        <v>0.82169999999999999</v>
      </c>
      <c r="FB215" s="227" t="s">
        <v>567</v>
      </c>
      <c r="FC215">
        <f t="shared" si="4"/>
        <v>0</v>
      </c>
    </row>
    <row r="216" spans="1:159" ht="17.25" thickBot="1" x14ac:dyDescent="0.3">
      <c r="A216" s="226">
        <v>45860</v>
      </c>
      <c r="B216" s="227" t="s">
        <v>168</v>
      </c>
      <c r="C216" s="227" t="s">
        <v>297</v>
      </c>
      <c r="D216" s="228">
        <v>175</v>
      </c>
      <c r="E216" s="228">
        <v>9</v>
      </c>
      <c r="F216" s="231">
        <v>3473.5</v>
      </c>
      <c r="G216" s="231">
        <v>3439.3</v>
      </c>
      <c r="H216" s="228">
        <v>34.200000000000003</v>
      </c>
      <c r="I216" s="229">
        <v>9.9000000000000008E-3</v>
      </c>
      <c r="J216" s="231">
        <v>3472.4</v>
      </c>
      <c r="K216" s="231">
        <v>3433</v>
      </c>
      <c r="L216" s="228">
        <v>39.4</v>
      </c>
      <c r="M216" s="229">
        <v>1.15E-2</v>
      </c>
      <c r="N216" s="231">
        <v>3473.5</v>
      </c>
      <c r="O216" s="231">
        <v>3439.3</v>
      </c>
      <c r="P216" s="228">
        <v>34.200000000000003</v>
      </c>
      <c r="Q216" s="229">
        <v>9.9000000000000008E-3</v>
      </c>
      <c r="R216" s="231">
        <v>3490.7</v>
      </c>
      <c r="S216" s="231">
        <v>3456.6</v>
      </c>
      <c r="T216" s="228">
        <v>34.1</v>
      </c>
      <c r="U216" s="229">
        <v>9.9000000000000008E-3</v>
      </c>
      <c r="V216" s="228">
        <v>0</v>
      </c>
      <c r="W216" s="228">
        <v>0</v>
      </c>
      <c r="X216" s="228">
        <v>0</v>
      </c>
      <c r="Y216" s="229">
        <v>0</v>
      </c>
      <c r="Z216" s="228">
        <v>1.1000000000000001</v>
      </c>
      <c r="AA216" s="228">
        <v>6.3</v>
      </c>
      <c r="AB216" s="228">
        <v>-5.2</v>
      </c>
      <c r="AC216" s="229">
        <v>2.9999999999999997E-4</v>
      </c>
      <c r="AD216" s="228">
        <v>1.1000000000000001</v>
      </c>
      <c r="AE216" s="228">
        <v>6.3</v>
      </c>
      <c r="AF216" s="228">
        <v>-5.2</v>
      </c>
      <c r="AG216" s="229">
        <v>2.9999999999999997E-4</v>
      </c>
      <c r="AH216" s="228">
        <v>18.3</v>
      </c>
      <c r="AI216" s="228">
        <v>23.6</v>
      </c>
      <c r="AJ216" s="228">
        <v>-5.3</v>
      </c>
      <c r="AK216" s="229">
        <v>5.3E-3</v>
      </c>
      <c r="AL216" s="228">
        <v>0</v>
      </c>
      <c r="AM216" s="228">
        <v>0</v>
      </c>
      <c r="AN216" s="228">
        <v>0</v>
      </c>
      <c r="AO216" s="229">
        <v>0</v>
      </c>
      <c r="AP216" s="231">
        <v>3471.47</v>
      </c>
      <c r="AQ216" s="231">
        <v>3489.9</v>
      </c>
      <c r="AR216" s="228">
        <v>0</v>
      </c>
      <c r="AS216" s="228">
        <v>794</v>
      </c>
      <c r="AT216" s="228">
        <v>450</v>
      </c>
      <c r="AU216" s="228">
        <v>344</v>
      </c>
      <c r="AV216" s="229">
        <v>0.7651</v>
      </c>
      <c r="AW216" s="228">
        <v>689</v>
      </c>
      <c r="AX216" s="228">
        <v>389</v>
      </c>
      <c r="AY216" s="228">
        <v>300</v>
      </c>
      <c r="AZ216" s="229">
        <v>0.77029999999999998</v>
      </c>
      <c r="BA216" s="228">
        <v>98</v>
      </c>
      <c r="BB216" s="228">
        <v>55</v>
      </c>
      <c r="BC216" s="228">
        <v>43</v>
      </c>
      <c r="BD216" s="229">
        <v>0.77680000000000005</v>
      </c>
      <c r="BE216" s="228">
        <v>0</v>
      </c>
      <c r="BF216" s="228">
        <v>0</v>
      </c>
      <c r="BG216" s="228">
        <v>0</v>
      </c>
      <c r="BH216" s="229">
        <v>0</v>
      </c>
      <c r="BI216" s="230">
        <v>5692</v>
      </c>
      <c r="BJ216" s="230">
        <v>2214</v>
      </c>
      <c r="BK216" s="230">
        <v>3479</v>
      </c>
      <c r="BL216" s="229">
        <v>1.5713999999999999</v>
      </c>
      <c r="BM216" s="230">
        <v>1955</v>
      </c>
      <c r="BN216" s="228">
        <v>892</v>
      </c>
      <c r="BO216" s="230">
        <v>1063</v>
      </c>
      <c r="BP216" s="229">
        <v>1.1916</v>
      </c>
      <c r="BQ216" s="230">
        <v>8441</v>
      </c>
      <c r="BR216" s="230">
        <v>3555</v>
      </c>
      <c r="BS216" s="230">
        <v>4886</v>
      </c>
      <c r="BT216" s="229">
        <v>1.3741000000000001</v>
      </c>
      <c r="BU216" s="230">
        <v>1846024</v>
      </c>
      <c r="BV216" s="230">
        <v>567979</v>
      </c>
      <c r="BW216" s="230">
        <v>1278045</v>
      </c>
      <c r="BX216" s="229">
        <v>2.2502</v>
      </c>
      <c r="BY216" s="230">
        <v>3854</v>
      </c>
      <c r="BZ216" s="230">
        <v>4027</v>
      </c>
      <c r="CA216" s="228">
        <v>-173</v>
      </c>
      <c r="CB216" s="229">
        <v>-4.2900000000000001E-2</v>
      </c>
      <c r="CC216" s="230">
        <v>3555</v>
      </c>
      <c r="CD216" s="230">
        <v>3740</v>
      </c>
      <c r="CE216" s="228">
        <v>-185</v>
      </c>
      <c r="CF216" s="229">
        <v>-4.9399999999999999E-2</v>
      </c>
      <c r="CG216" s="228">
        <v>219</v>
      </c>
      <c r="CH216" s="228">
        <v>206</v>
      </c>
      <c r="CI216" s="228">
        <v>13</v>
      </c>
      <c r="CJ216" s="229">
        <v>6.08E-2</v>
      </c>
      <c r="CK216" s="228">
        <v>0</v>
      </c>
      <c r="CL216" s="228">
        <v>0</v>
      </c>
      <c r="CM216" s="228">
        <v>0</v>
      </c>
      <c r="CN216" s="229">
        <v>0</v>
      </c>
      <c r="CO216" s="230">
        <v>2349</v>
      </c>
      <c r="CP216" s="230">
        <v>2487</v>
      </c>
      <c r="CQ216" s="228">
        <v>-137</v>
      </c>
      <c r="CR216" s="229">
        <v>-5.5300000000000002E-2</v>
      </c>
      <c r="CS216" s="230">
        <v>1204</v>
      </c>
      <c r="CT216" s="230">
        <v>1236</v>
      </c>
      <c r="CU216" s="228">
        <v>-32</v>
      </c>
      <c r="CV216" s="229">
        <v>-2.58E-2</v>
      </c>
      <c r="CW216" s="230">
        <v>7408</v>
      </c>
      <c r="CX216" s="230">
        <v>7750</v>
      </c>
      <c r="CY216" s="228">
        <v>-342</v>
      </c>
      <c r="CZ216" s="229">
        <v>-4.41E-2</v>
      </c>
      <c r="DA216" s="228">
        <v>20</v>
      </c>
      <c r="DB216" s="228">
        <v>20.66</v>
      </c>
      <c r="DC216" s="228">
        <v>-0.66</v>
      </c>
      <c r="DD216" s="228">
        <v>-0.66</v>
      </c>
      <c r="DE216" s="228">
        <v>27.54</v>
      </c>
      <c r="DF216" s="228">
        <v>27.57</v>
      </c>
      <c r="DG216" s="228">
        <v>-7.54</v>
      </c>
      <c r="DH216" s="228">
        <v>-0.03</v>
      </c>
      <c r="DI216" s="228">
        <v>20.010000000000002</v>
      </c>
      <c r="DJ216" s="228">
        <v>20.86</v>
      </c>
      <c r="DK216" s="228">
        <v>-0.85</v>
      </c>
      <c r="DL216" s="228">
        <v>-0.85</v>
      </c>
      <c r="DM216" s="228">
        <v>19.96</v>
      </c>
      <c r="DN216" s="228">
        <v>20.16</v>
      </c>
      <c r="DO216" s="228">
        <v>-0.2</v>
      </c>
      <c r="DP216" s="228">
        <v>-0.2</v>
      </c>
      <c r="DQ216" s="228">
        <v>0.51</v>
      </c>
      <c r="DR216" s="228">
        <v>0.5</v>
      </c>
      <c r="DS216" s="228">
        <v>0.01</v>
      </c>
      <c r="DT216" s="229">
        <v>0.02</v>
      </c>
      <c r="DU216" s="231">
        <v>3500</v>
      </c>
      <c r="DV216" s="231">
        <v>3400</v>
      </c>
      <c r="DW216" s="228">
        <v>0.34</v>
      </c>
      <c r="DX216" s="228">
        <v>0.4</v>
      </c>
      <c r="DY216" s="228">
        <v>-0.06</v>
      </c>
      <c r="DZ216" s="229">
        <v>-0.15</v>
      </c>
      <c r="EA216" s="229">
        <v>5.67E-2</v>
      </c>
      <c r="EB216" s="230">
        <v>593075</v>
      </c>
      <c r="EC216" s="229">
        <v>5.0000000000000001E-3</v>
      </c>
      <c r="ED216" s="229">
        <v>5.67E-2</v>
      </c>
      <c r="EE216" s="228">
        <v>18.43</v>
      </c>
      <c r="EF216" s="229">
        <v>5.3E-3</v>
      </c>
      <c r="EG216" s="230">
        <v>1011501</v>
      </c>
      <c r="EH216" s="230">
        <v>313148</v>
      </c>
      <c r="EI216" s="229">
        <v>2.2301000000000002</v>
      </c>
      <c r="EJ216" s="229">
        <v>0.54790000000000005</v>
      </c>
      <c r="EK216" s="231">
        <v>5839.36</v>
      </c>
      <c r="EL216" s="231">
        <v>1929.77</v>
      </c>
      <c r="EM216" s="228">
        <v>794.11</v>
      </c>
      <c r="EN216" s="228">
        <v>0</v>
      </c>
      <c r="EO216" s="231">
        <v>8563.25</v>
      </c>
      <c r="EP216" s="231">
        <v>3569.28</v>
      </c>
      <c r="EQ216" s="231">
        <v>4993.97</v>
      </c>
      <c r="ER216" s="229">
        <v>1.3992</v>
      </c>
      <c r="ES216" s="231">
        <v>2476.11</v>
      </c>
      <c r="ET216" s="231">
        <v>1183.47</v>
      </c>
      <c r="EU216" s="231">
        <v>3855.87</v>
      </c>
      <c r="EV216" s="231">
        <v>83488668</v>
      </c>
      <c r="EW216" s="231">
        <v>7515.45</v>
      </c>
      <c r="EX216" s="231">
        <v>7811.35</v>
      </c>
      <c r="EY216" s="228">
        <v>-295.89999999999998</v>
      </c>
      <c r="EZ216" s="229">
        <v>-3.7900000000000003E-2</v>
      </c>
      <c r="FA216" s="229">
        <v>0.25540000000000002</v>
      </c>
      <c r="FB216" s="227" t="s">
        <v>556</v>
      </c>
      <c r="FC216">
        <f t="shared" si="4"/>
        <v>0</v>
      </c>
    </row>
    <row r="217" spans="1:159" ht="17.25" thickBot="1" x14ac:dyDescent="0.3">
      <c r="A217" s="226">
        <v>45860</v>
      </c>
      <c r="B217" s="227" t="s">
        <v>170</v>
      </c>
      <c r="C217" s="227" t="s">
        <v>298</v>
      </c>
      <c r="D217" s="228">
        <v>250</v>
      </c>
      <c r="E217" s="228">
        <v>9</v>
      </c>
      <c r="F217" s="231">
        <v>3507.9</v>
      </c>
      <c r="G217" s="231">
        <v>3534.8</v>
      </c>
      <c r="H217" s="228">
        <v>-26.9</v>
      </c>
      <c r="I217" s="229">
        <v>-7.6E-3</v>
      </c>
      <c r="J217" s="231">
        <v>3503.5</v>
      </c>
      <c r="K217" s="231">
        <v>3524</v>
      </c>
      <c r="L217" s="228">
        <v>-20.5</v>
      </c>
      <c r="M217" s="229">
        <v>-5.7999999999999996E-3</v>
      </c>
      <c r="N217" s="231">
        <v>3507.9</v>
      </c>
      <c r="O217" s="231">
        <v>3534.8</v>
      </c>
      <c r="P217" s="228">
        <v>-26.9</v>
      </c>
      <c r="Q217" s="229">
        <v>-7.6E-3</v>
      </c>
      <c r="R217" s="231">
        <v>3522.9</v>
      </c>
      <c r="S217" s="231">
        <v>3546.6</v>
      </c>
      <c r="T217" s="228">
        <v>-23.7</v>
      </c>
      <c r="U217" s="229">
        <v>-6.7000000000000002E-3</v>
      </c>
      <c r="V217" s="228">
        <v>0</v>
      </c>
      <c r="W217" s="228">
        <v>0</v>
      </c>
      <c r="X217" s="228">
        <v>0</v>
      </c>
      <c r="Y217" s="229">
        <v>0</v>
      </c>
      <c r="Z217" s="228">
        <v>4.4000000000000004</v>
      </c>
      <c r="AA217" s="228">
        <v>10.8</v>
      </c>
      <c r="AB217" s="228">
        <v>-6.4</v>
      </c>
      <c r="AC217" s="229">
        <v>1.2999999999999999E-3</v>
      </c>
      <c r="AD217" s="228">
        <v>4.4000000000000004</v>
      </c>
      <c r="AE217" s="228">
        <v>10.8</v>
      </c>
      <c r="AF217" s="228">
        <v>-6.4</v>
      </c>
      <c r="AG217" s="229">
        <v>1.2999999999999999E-3</v>
      </c>
      <c r="AH217" s="228">
        <v>19.399999999999999</v>
      </c>
      <c r="AI217" s="228">
        <v>22.6</v>
      </c>
      <c r="AJ217" s="228">
        <v>-3.2</v>
      </c>
      <c r="AK217" s="229">
        <v>5.4999999999999997E-3</v>
      </c>
      <c r="AL217" s="228">
        <v>0</v>
      </c>
      <c r="AM217" s="228">
        <v>0</v>
      </c>
      <c r="AN217" s="228">
        <v>0</v>
      </c>
      <c r="AO217" s="229">
        <v>0</v>
      </c>
      <c r="AP217" s="231">
        <v>3498.69</v>
      </c>
      <c r="AQ217" s="231">
        <v>3510.81</v>
      </c>
      <c r="AR217" s="228">
        <v>0</v>
      </c>
      <c r="AS217" s="228">
        <v>135</v>
      </c>
      <c r="AT217" s="228">
        <v>88</v>
      </c>
      <c r="AU217" s="228">
        <v>47</v>
      </c>
      <c r="AV217" s="229">
        <v>0.54</v>
      </c>
      <c r="AW217" s="228">
        <v>121</v>
      </c>
      <c r="AX217" s="228">
        <v>79</v>
      </c>
      <c r="AY217" s="228">
        <v>42</v>
      </c>
      <c r="AZ217" s="229">
        <v>0.53459999999999996</v>
      </c>
      <c r="BA217" s="228">
        <v>14</v>
      </c>
      <c r="BB217" s="228">
        <v>9</v>
      </c>
      <c r="BC217" s="228">
        <v>5</v>
      </c>
      <c r="BD217" s="229">
        <v>0.58760000000000001</v>
      </c>
      <c r="BE217" s="228">
        <v>0</v>
      </c>
      <c r="BF217" s="228">
        <v>0</v>
      </c>
      <c r="BG217" s="228">
        <v>0</v>
      </c>
      <c r="BH217" s="229">
        <v>0</v>
      </c>
      <c r="BI217" s="228">
        <v>312</v>
      </c>
      <c r="BJ217" s="228">
        <v>236</v>
      </c>
      <c r="BK217" s="228">
        <v>77</v>
      </c>
      <c r="BL217" s="229">
        <v>0.32550000000000001</v>
      </c>
      <c r="BM217" s="228">
        <v>172</v>
      </c>
      <c r="BN217" s="228">
        <v>83</v>
      </c>
      <c r="BO217" s="228">
        <v>90</v>
      </c>
      <c r="BP217" s="229">
        <v>1.0849</v>
      </c>
      <c r="BQ217" s="228">
        <v>620</v>
      </c>
      <c r="BR217" s="228">
        <v>406</v>
      </c>
      <c r="BS217" s="228">
        <v>214</v>
      </c>
      <c r="BT217" s="229">
        <v>0.52629999999999999</v>
      </c>
      <c r="BU217" s="230">
        <v>562096</v>
      </c>
      <c r="BV217" s="230">
        <v>500724</v>
      </c>
      <c r="BW217" s="230">
        <v>61372</v>
      </c>
      <c r="BX217" s="229">
        <v>0.1226</v>
      </c>
      <c r="BY217" s="228">
        <v>825</v>
      </c>
      <c r="BZ217" s="228">
        <v>847</v>
      </c>
      <c r="CA217" s="228">
        <v>-22</v>
      </c>
      <c r="CB217" s="229">
        <v>-2.6100000000000002E-2</v>
      </c>
      <c r="CC217" s="228">
        <v>803</v>
      </c>
      <c r="CD217" s="228">
        <v>824</v>
      </c>
      <c r="CE217" s="228">
        <v>-22</v>
      </c>
      <c r="CF217" s="229">
        <v>-2.63E-2</v>
      </c>
      <c r="CG217" s="228">
        <v>21</v>
      </c>
      <c r="CH217" s="228">
        <v>22</v>
      </c>
      <c r="CI217" s="228">
        <v>-1</v>
      </c>
      <c r="CJ217" s="229">
        <v>-2.7900000000000001E-2</v>
      </c>
      <c r="CK217" s="228">
        <v>0</v>
      </c>
      <c r="CL217" s="228">
        <v>0</v>
      </c>
      <c r="CM217" s="228">
        <v>0</v>
      </c>
      <c r="CN217" s="229">
        <v>0</v>
      </c>
      <c r="CO217" s="228">
        <v>451</v>
      </c>
      <c r="CP217" s="228">
        <v>448</v>
      </c>
      <c r="CQ217" s="228">
        <v>2</v>
      </c>
      <c r="CR217" s="229">
        <v>4.8999999999999998E-3</v>
      </c>
      <c r="CS217" s="228">
        <v>226</v>
      </c>
      <c r="CT217" s="228">
        <v>224</v>
      </c>
      <c r="CU217" s="228">
        <v>2</v>
      </c>
      <c r="CV217" s="229">
        <v>8.9999999999999993E-3</v>
      </c>
      <c r="CW217" s="230">
        <v>1502</v>
      </c>
      <c r="CX217" s="230">
        <v>1520</v>
      </c>
      <c r="CY217" s="228">
        <v>-18</v>
      </c>
      <c r="CZ217" s="229">
        <v>-1.18E-2</v>
      </c>
      <c r="DA217" s="228">
        <v>24.07</v>
      </c>
      <c r="DB217" s="228">
        <v>23.68</v>
      </c>
      <c r="DC217" s="228">
        <v>0.39</v>
      </c>
      <c r="DD217" s="228">
        <v>0.39</v>
      </c>
      <c r="DE217" s="228">
        <v>27.32</v>
      </c>
      <c r="DF217" s="228">
        <v>27.38</v>
      </c>
      <c r="DG217" s="228">
        <v>-3.25</v>
      </c>
      <c r="DH217" s="228">
        <v>-0.06</v>
      </c>
      <c r="DI217" s="228">
        <v>24.35</v>
      </c>
      <c r="DJ217" s="228">
        <v>23.11</v>
      </c>
      <c r="DK217" s="228">
        <v>1.24</v>
      </c>
      <c r="DL217" s="228">
        <v>1.24</v>
      </c>
      <c r="DM217" s="228">
        <v>23.56</v>
      </c>
      <c r="DN217" s="228">
        <v>25.33</v>
      </c>
      <c r="DO217" s="228">
        <v>-1.77</v>
      </c>
      <c r="DP217" s="228">
        <v>-1.77</v>
      </c>
      <c r="DQ217" s="228">
        <v>0.5</v>
      </c>
      <c r="DR217" s="228">
        <v>0.5</v>
      </c>
      <c r="DS217" s="228">
        <v>0</v>
      </c>
      <c r="DT217" s="229">
        <v>0</v>
      </c>
      <c r="DU217" s="231">
        <v>3600</v>
      </c>
      <c r="DV217" s="231">
        <v>3400</v>
      </c>
      <c r="DW217" s="228">
        <v>0.55000000000000004</v>
      </c>
      <c r="DX217" s="228">
        <v>0.35</v>
      </c>
      <c r="DY217" s="228">
        <v>0.2</v>
      </c>
      <c r="DZ217" s="229">
        <v>0.57140000000000002</v>
      </c>
      <c r="EA217" s="229">
        <v>2.5899999999999999E-2</v>
      </c>
      <c r="EB217" s="230">
        <v>62750</v>
      </c>
      <c r="EC217" s="229">
        <v>4.3E-3</v>
      </c>
      <c r="ED217" s="229">
        <v>2.5899999999999999E-2</v>
      </c>
      <c r="EE217" s="228">
        <v>12.12</v>
      </c>
      <c r="EF217" s="229">
        <v>3.5000000000000001E-3</v>
      </c>
      <c r="EG217" s="230">
        <v>423607</v>
      </c>
      <c r="EH217" s="230">
        <v>395869</v>
      </c>
      <c r="EI217" s="229">
        <v>7.0099999999999996E-2</v>
      </c>
      <c r="EJ217" s="229">
        <v>0.75360000000000005</v>
      </c>
      <c r="EK217" s="228">
        <v>325.14999999999998</v>
      </c>
      <c r="EL217" s="228">
        <v>169.68</v>
      </c>
      <c r="EM217" s="228">
        <v>134.75</v>
      </c>
      <c r="EN217" s="228">
        <v>0</v>
      </c>
      <c r="EO217" s="228">
        <v>629.59</v>
      </c>
      <c r="EP217" s="228">
        <v>414.44</v>
      </c>
      <c r="EQ217" s="228">
        <v>215.14</v>
      </c>
      <c r="ER217" s="229">
        <v>0.51910000000000001</v>
      </c>
      <c r="ES217" s="228">
        <v>452.89</v>
      </c>
      <c r="ET217" s="228">
        <v>212.26</v>
      </c>
      <c r="EU217" s="228">
        <v>825.42</v>
      </c>
      <c r="EV217" s="231">
        <v>21452008</v>
      </c>
      <c r="EW217" s="231">
        <v>1490.58</v>
      </c>
      <c r="EX217" s="231">
        <v>1514.81</v>
      </c>
      <c r="EY217" s="228">
        <v>-24.23</v>
      </c>
      <c r="EZ217" s="229">
        <v>-1.6E-2</v>
      </c>
      <c r="FA217" s="229">
        <v>0.1996</v>
      </c>
      <c r="FB217" s="227" t="s">
        <v>568</v>
      </c>
      <c r="FC217">
        <f t="shared" si="4"/>
        <v>0</v>
      </c>
    </row>
    <row r="218" spans="1:159" ht="17.25" thickBot="1" x14ac:dyDescent="0.3">
      <c r="A218" s="226">
        <v>45860</v>
      </c>
      <c r="B218" s="227" t="s">
        <v>161</v>
      </c>
      <c r="C218" s="227" t="s">
        <v>299</v>
      </c>
      <c r="D218" s="228">
        <v>375</v>
      </c>
      <c r="E218" s="228">
        <v>9</v>
      </c>
      <c r="F218" s="231">
        <v>1346.1</v>
      </c>
      <c r="G218" s="231">
        <v>1370.9</v>
      </c>
      <c r="H218" s="228">
        <v>-24.8</v>
      </c>
      <c r="I218" s="229">
        <v>-1.8100000000000002E-2</v>
      </c>
      <c r="J218" s="231">
        <v>1342.8</v>
      </c>
      <c r="K218" s="231">
        <v>1367.6</v>
      </c>
      <c r="L218" s="228">
        <v>-24.8</v>
      </c>
      <c r="M218" s="229">
        <v>-1.8100000000000002E-2</v>
      </c>
      <c r="N218" s="231">
        <v>1346.1</v>
      </c>
      <c r="O218" s="231">
        <v>1370.9</v>
      </c>
      <c r="P218" s="228">
        <v>-24.8</v>
      </c>
      <c r="Q218" s="229">
        <v>-1.8100000000000002E-2</v>
      </c>
      <c r="R218" s="231">
        <v>1352.8</v>
      </c>
      <c r="S218" s="231">
        <v>1378.2</v>
      </c>
      <c r="T218" s="228">
        <v>-25.4</v>
      </c>
      <c r="U218" s="229">
        <v>-1.84E-2</v>
      </c>
      <c r="V218" s="228">
        <v>0</v>
      </c>
      <c r="W218" s="228">
        <v>0</v>
      </c>
      <c r="X218" s="228">
        <v>0</v>
      </c>
      <c r="Y218" s="229">
        <v>0</v>
      </c>
      <c r="Z218" s="228">
        <v>3.3</v>
      </c>
      <c r="AA218" s="228">
        <v>3.3</v>
      </c>
      <c r="AB218" s="228">
        <v>0</v>
      </c>
      <c r="AC218" s="229">
        <v>2.5000000000000001E-3</v>
      </c>
      <c r="AD218" s="228">
        <v>3.3</v>
      </c>
      <c r="AE218" s="228">
        <v>3.3</v>
      </c>
      <c r="AF218" s="228">
        <v>0</v>
      </c>
      <c r="AG218" s="229">
        <v>2.5000000000000001E-3</v>
      </c>
      <c r="AH218" s="228">
        <v>10</v>
      </c>
      <c r="AI218" s="228">
        <v>10.6</v>
      </c>
      <c r="AJ218" s="228">
        <v>-0.6</v>
      </c>
      <c r="AK218" s="229">
        <v>7.4000000000000003E-3</v>
      </c>
      <c r="AL218" s="228">
        <v>0</v>
      </c>
      <c r="AM218" s="228">
        <v>0</v>
      </c>
      <c r="AN218" s="228">
        <v>0</v>
      </c>
      <c r="AO218" s="229">
        <v>0</v>
      </c>
      <c r="AP218" s="231">
        <v>1353.74</v>
      </c>
      <c r="AQ218" s="231">
        <v>1358.2</v>
      </c>
      <c r="AR218" s="228">
        <v>0</v>
      </c>
      <c r="AS218" s="228">
        <v>60</v>
      </c>
      <c r="AT218" s="228">
        <v>42</v>
      </c>
      <c r="AU218" s="228">
        <v>18</v>
      </c>
      <c r="AV218" s="229">
        <v>0.4274</v>
      </c>
      <c r="AW218" s="228">
        <v>48</v>
      </c>
      <c r="AX218" s="228">
        <v>36</v>
      </c>
      <c r="AY218" s="228">
        <v>11</v>
      </c>
      <c r="AZ218" s="229">
        <v>0.31240000000000001</v>
      </c>
      <c r="BA218" s="228">
        <v>12</v>
      </c>
      <c r="BB218" s="228">
        <v>5</v>
      </c>
      <c r="BC218" s="228">
        <v>7</v>
      </c>
      <c r="BD218" s="229">
        <v>1.3267</v>
      </c>
      <c r="BE218" s="228">
        <v>0</v>
      </c>
      <c r="BF218" s="228">
        <v>0</v>
      </c>
      <c r="BG218" s="228">
        <v>0</v>
      </c>
      <c r="BH218" s="229">
        <v>0</v>
      </c>
      <c r="BI218" s="228">
        <v>110</v>
      </c>
      <c r="BJ218" s="228">
        <v>138</v>
      </c>
      <c r="BK218" s="228">
        <v>-28</v>
      </c>
      <c r="BL218" s="229">
        <v>-0.20200000000000001</v>
      </c>
      <c r="BM218" s="228">
        <v>40</v>
      </c>
      <c r="BN218" s="228">
        <v>88</v>
      </c>
      <c r="BO218" s="228">
        <v>-48</v>
      </c>
      <c r="BP218" s="229">
        <v>-0.54500000000000004</v>
      </c>
      <c r="BQ218" s="228">
        <v>209</v>
      </c>
      <c r="BR218" s="228">
        <v>267</v>
      </c>
      <c r="BS218" s="228">
        <v>-58</v>
      </c>
      <c r="BT218" s="229">
        <v>-0.2162</v>
      </c>
      <c r="BU218" s="230">
        <v>360174</v>
      </c>
      <c r="BV218" s="230">
        <v>276531</v>
      </c>
      <c r="BW218" s="230">
        <v>83643</v>
      </c>
      <c r="BX218" s="229">
        <v>0.30249999999999999</v>
      </c>
      <c r="BY218" s="228">
        <v>336</v>
      </c>
      <c r="BZ218" s="228">
        <v>327</v>
      </c>
      <c r="CA218" s="228">
        <v>9</v>
      </c>
      <c r="CB218" s="229">
        <v>2.64E-2</v>
      </c>
      <c r="CC218" s="228">
        <v>315</v>
      </c>
      <c r="CD218" s="228">
        <v>308</v>
      </c>
      <c r="CE218" s="228">
        <v>7</v>
      </c>
      <c r="CF218" s="229">
        <v>2.2499999999999999E-2</v>
      </c>
      <c r="CG218" s="228">
        <v>20</v>
      </c>
      <c r="CH218" s="228">
        <v>18</v>
      </c>
      <c r="CI218" s="228">
        <v>2</v>
      </c>
      <c r="CJ218" s="229">
        <v>8.8599999999999998E-2</v>
      </c>
      <c r="CK218" s="228">
        <v>0</v>
      </c>
      <c r="CL218" s="228">
        <v>0</v>
      </c>
      <c r="CM218" s="228">
        <v>0</v>
      </c>
      <c r="CN218" s="229">
        <v>0</v>
      </c>
      <c r="CO218" s="228">
        <v>156</v>
      </c>
      <c r="CP218" s="228">
        <v>167</v>
      </c>
      <c r="CQ218" s="228">
        <v>-11</v>
      </c>
      <c r="CR218" s="229">
        <v>-6.5799999999999997E-2</v>
      </c>
      <c r="CS218" s="228">
        <v>74</v>
      </c>
      <c r="CT218" s="228">
        <v>73</v>
      </c>
      <c r="CU218" s="228">
        <v>1</v>
      </c>
      <c r="CV218" s="229">
        <v>1.7399999999999999E-2</v>
      </c>
      <c r="CW218" s="228">
        <v>565</v>
      </c>
      <c r="CX218" s="228">
        <v>566</v>
      </c>
      <c r="CY218" s="228">
        <v>-1</v>
      </c>
      <c r="CZ218" s="229">
        <v>-1.9E-3</v>
      </c>
      <c r="DA218" s="228">
        <v>37.47</v>
      </c>
      <c r="DB218" s="228">
        <v>38.99</v>
      </c>
      <c r="DC218" s="228">
        <v>-1.52</v>
      </c>
      <c r="DD218" s="228">
        <v>-1.52</v>
      </c>
      <c r="DE218" s="228">
        <v>46.04</v>
      </c>
      <c r="DF218" s="228">
        <v>46.09</v>
      </c>
      <c r="DG218" s="228">
        <v>-8.57</v>
      </c>
      <c r="DH218" s="228">
        <v>-0.05</v>
      </c>
      <c r="DI218" s="228">
        <v>36.99</v>
      </c>
      <c r="DJ218" s="228">
        <v>36.99</v>
      </c>
      <c r="DK218" s="228">
        <v>0</v>
      </c>
      <c r="DL218" s="228">
        <v>0</v>
      </c>
      <c r="DM218" s="228">
        <v>38.78</v>
      </c>
      <c r="DN218" s="228">
        <v>42.15</v>
      </c>
      <c r="DO218" s="228">
        <v>-3.37</v>
      </c>
      <c r="DP218" s="228">
        <v>-3.37</v>
      </c>
      <c r="DQ218" s="228">
        <v>0.47</v>
      </c>
      <c r="DR218" s="228">
        <v>0.44</v>
      </c>
      <c r="DS218" s="228">
        <v>0.03</v>
      </c>
      <c r="DT218" s="229">
        <v>6.8199999999999997E-2</v>
      </c>
      <c r="DU218" s="231">
        <v>1500</v>
      </c>
      <c r="DV218" s="231">
        <v>1400</v>
      </c>
      <c r="DW218" s="228">
        <v>0.36</v>
      </c>
      <c r="DX218" s="228">
        <v>0.63</v>
      </c>
      <c r="DY218" s="228">
        <v>-0.27</v>
      </c>
      <c r="DZ218" s="229">
        <v>-0.42859999999999998</v>
      </c>
      <c r="EA218" s="229">
        <v>5.91E-2</v>
      </c>
      <c r="EB218" s="230">
        <v>135375</v>
      </c>
      <c r="EC218" s="229">
        <v>5.0000000000000001E-3</v>
      </c>
      <c r="ED218" s="229">
        <v>5.91E-2</v>
      </c>
      <c r="EE218" s="228">
        <v>4.46</v>
      </c>
      <c r="EF218" s="229">
        <v>3.3E-3</v>
      </c>
      <c r="EG218" s="230">
        <v>169122</v>
      </c>
      <c r="EH218" s="230">
        <v>131599</v>
      </c>
      <c r="EI218" s="229">
        <v>0.28510000000000002</v>
      </c>
      <c r="EJ218" s="229">
        <v>0.46960000000000002</v>
      </c>
      <c r="EK218" s="228">
        <v>119.11</v>
      </c>
      <c r="EL218" s="228">
        <v>38.25</v>
      </c>
      <c r="EM218" s="228">
        <v>59.89</v>
      </c>
      <c r="EN218" s="228">
        <v>0</v>
      </c>
      <c r="EO218" s="228">
        <v>217.26</v>
      </c>
      <c r="EP218" s="228">
        <v>272.89</v>
      </c>
      <c r="EQ218" s="228">
        <v>-55.63</v>
      </c>
      <c r="ER218" s="229">
        <v>-0.2039</v>
      </c>
      <c r="ES218" s="228">
        <v>171.47</v>
      </c>
      <c r="ET218" s="228">
        <v>73.069999999999993</v>
      </c>
      <c r="EU218" s="228">
        <v>335.96</v>
      </c>
      <c r="EV218" s="231">
        <v>49292045</v>
      </c>
      <c r="EW218" s="228">
        <v>580.5</v>
      </c>
      <c r="EX218" s="228">
        <v>588.83000000000004</v>
      </c>
      <c r="EY218" s="228">
        <v>-8.33</v>
      </c>
      <c r="EZ218" s="229">
        <v>-1.41E-2</v>
      </c>
      <c r="FA218" s="229">
        <v>8.5199999999999998E-2</v>
      </c>
      <c r="FB218" s="227" t="s">
        <v>567</v>
      </c>
      <c r="FC218">
        <f t="shared" si="4"/>
        <v>0</v>
      </c>
    </row>
    <row r="219" spans="1:159" ht="17.25" thickBot="1" x14ac:dyDescent="0.3">
      <c r="A219" s="226">
        <v>45860</v>
      </c>
      <c r="B219" s="227" t="s">
        <v>197</v>
      </c>
      <c r="C219" s="227" t="s">
        <v>482</v>
      </c>
      <c r="D219" s="228">
        <v>100</v>
      </c>
      <c r="E219" s="228">
        <v>9</v>
      </c>
      <c r="F219" s="231">
        <v>5372.5</v>
      </c>
      <c r="G219" s="231">
        <v>5394.5</v>
      </c>
      <c r="H219" s="228">
        <v>-22</v>
      </c>
      <c r="I219" s="229">
        <v>-4.1000000000000003E-3</v>
      </c>
      <c r="J219" s="231">
        <v>5360.5</v>
      </c>
      <c r="K219" s="231">
        <v>5376</v>
      </c>
      <c r="L219" s="228">
        <v>-15.5</v>
      </c>
      <c r="M219" s="229">
        <v>-2.8999999999999998E-3</v>
      </c>
      <c r="N219" s="231">
        <v>5372.5</v>
      </c>
      <c r="O219" s="231">
        <v>5394.5</v>
      </c>
      <c r="P219" s="228">
        <v>-22</v>
      </c>
      <c r="Q219" s="229">
        <v>-4.1000000000000003E-3</v>
      </c>
      <c r="R219" s="231">
        <v>5398.5</v>
      </c>
      <c r="S219" s="231">
        <v>5420</v>
      </c>
      <c r="T219" s="228">
        <v>-21.5</v>
      </c>
      <c r="U219" s="229">
        <v>-4.0000000000000001E-3</v>
      </c>
      <c r="V219" s="228">
        <v>0</v>
      </c>
      <c r="W219" s="228">
        <v>0</v>
      </c>
      <c r="X219" s="228">
        <v>0</v>
      </c>
      <c r="Y219" s="229">
        <v>0</v>
      </c>
      <c r="Z219" s="228">
        <v>12</v>
      </c>
      <c r="AA219" s="228">
        <v>18.5</v>
      </c>
      <c r="AB219" s="228">
        <v>-6.5</v>
      </c>
      <c r="AC219" s="229">
        <v>2.2000000000000001E-3</v>
      </c>
      <c r="AD219" s="228">
        <v>12</v>
      </c>
      <c r="AE219" s="228">
        <v>18.5</v>
      </c>
      <c r="AF219" s="228">
        <v>-6.5</v>
      </c>
      <c r="AG219" s="229">
        <v>2.2000000000000001E-3</v>
      </c>
      <c r="AH219" s="228">
        <v>38</v>
      </c>
      <c r="AI219" s="228">
        <v>44</v>
      </c>
      <c r="AJ219" s="228">
        <v>-6</v>
      </c>
      <c r="AK219" s="229">
        <v>7.1000000000000004E-3</v>
      </c>
      <c r="AL219" s="228">
        <v>0</v>
      </c>
      <c r="AM219" s="228">
        <v>0</v>
      </c>
      <c r="AN219" s="228">
        <v>0</v>
      </c>
      <c r="AO219" s="229">
        <v>0</v>
      </c>
      <c r="AP219" s="231">
        <v>5414.3</v>
      </c>
      <c r="AQ219" s="231">
        <v>5435.19</v>
      </c>
      <c r="AR219" s="228">
        <v>0</v>
      </c>
      <c r="AS219" s="228">
        <v>364</v>
      </c>
      <c r="AT219" s="228">
        <v>278</v>
      </c>
      <c r="AU219" s="228">
        <v>86</v>
      </c>
      <c r="AV219" s="229">
        <v>0.30959999999999999</v>
      </c>
      <c r="AW219" s="228">
        <v>290</v>
      </c>
      <c r="AX219" s="228">
        <v>233</v>
      </c>
      <c r="AY219" s="228">
        <v>56</v>
      </c>
      <c r="AZ219" s="229">
        <v>0.24160000000000001</v>
      </c>
      <c r="BA219" s="228">
        <v>71</v>
      </c>
      <c r="BB219" s="228">
        <v>40</v>
      </c>
      <c r="BC219" s="228">
        <v>30</v>
      </c>
      <c r="BD219" s="229">
        <v>0.751</v>
      </c>
      <c r="BE219" s="228">
        <v>0</v>
      </c>
      <c r="BF219" s="228">
        <v>0</v>
      </c>
      <c r="BG219" s="228">
        <v>0</v>
      </c>
      <c r="BH219" s="229">
        <v>0</v>
      </c>
      <c r="BI219" s="230">
        <v>3360</v>
      </c>
      <c r="BJ219" s="230">
        <v>2382</v>
      </c>
      <c r="BK219" s="228">
        <v>978</v>
      </c>
      <c r="BL219" s="229">
        <v>0.41060000000000002</v>
      </c>
      <c r="BM219" s="228">
        <v>928</v>
      </c>
      <c r="BN219" s="228">
        <v>608</v>
      </c>
      <c r="BO219" s="228">
        <v>320</v>
      </c>
      <c r="BP219" s="229">
        <v>0.52529999999999999</v>
      </c>
      <c r="BQ219" s="230">
        <v>4652</v>
      </c>
      <c r="BR219" s="230">
        <v>3268</v>
      </c>
      <c r="BS219" s="230">
        <v>1384</v>
      </c>
      <c r="BT219" s="229">
        <v>0.4234</v>
      </c>
      <c r="BU219" s="230">
        <v>517102</v>
      </c>
      <c r="BV219" s="230">
        <v>418243</v>
      </c>
      <c r="BW219" s="230">
        <v>98859</v>
      </c>
      <c r="BX219" s="229">
        <v>0.2364</v>
      </c>
      <c r="BY219" s="230">
        <v>4438</v>
      </c>
      <c r="BZ219" s="230">
        <v>4448</v>
      </c>
      <c r="CA219" s="228">
        <v>-9</v>
      </c>
      <c r="CB219" s="229">
        <v>-2.0999999999999999E-3</v>
      </c>
      <c r="CC219" s="230">
        <v>4021</v>
      </c>
      <c r="CD219" s="230">
        <v>4062</v>
      </c>
      <c r="CE219" s="228">
        <v>-41</v>
      </c>
      <c r="CF219" s="229">
        <v>-1.01E-2</v>
      </c>
      <c r="CG219" s="228">
        <v>368</v>
      </c>
      <c r="CH219" s="228">
        <v>338</v>
      </c>
      <c r="CI219" s="228">
        <v>31</v>
      </c>
      <c r="CJ219" s="229">
        <v>9.0999999999999998E-2</v>
      </c>
      <c r="CK219" s="228">
        <v>0</v>
      </c>
      <c r="CL219" s="228">
        <v>0</v>
      </c>
      <c r="CM219" s="228">
        <v>0</v>
      </c>
      <c r="CN219" s="229">
        <v>0</v>
      </c>
      <c r="CO219" s="230">
        <v>4373</v>
      </c>
      <c r="CP219" s="230">
        <v>4454</v>
      </c>
      <c r="CQ219" s="228">
        <v>-81</v>
      </c>
      <c r="CR219" s="229">
        <v>-1.8100000000000002E-2</v>
      </c>
      <c r="CS219" s="230">
        <v>1849</v>
      </c>
      <c r="CT219" s="230">
        <v>1825</v>
      </c>
      <c r="CU219" s="228">
        <v>25</v>
      </c>
      <c r="CV219" s="229">
        <v>1.3599999999999999E-2</v>
      </c>
      <c r="CW219" s="230">
        <v>10661</v>
      </c>
      <c r="CX219" s="230">
        <v>10726</v>
      </c>
      <c r="CY219" s="228">
        <v>-65</v>
      </c>
      <c r="CZ219" s="229">
        <v>-6.1000000000000004E-3</v>
      </c>
      <c r="DA219" s="228">
        <v>36.64</v>
      </c>
      <c r="DB219" s="228">
        <v>38.299999999999997</v>
      </c>
      <c r="DC219" s="228">
        <v>-1.66</v>
      </c>
      <c r="DD219" s="228">
        <v>-1.66</v>
      </c>
      <c r="DE219" s="228">
        <v>49.29</v>
      </c>
      <c r="DF219" s="228">
        <v>49.41</v>
      </c>
      <c r="DG219" s="228">
        <v>-12.65</v>
      </c>
      <c r="DH219" s="228">
        <v>-0.12</v>
      </c>
      <c r="DI219" s="228">
        <v>37.409999999999997</v>
      </c>
      <c r="DJ219" s="228">
        <v>39.130000000000003</v>
      </c>
      <c r="DK219" s="228">
        <v>-1.72</v>
      </c>
      <c r="DL219" s="228">
        <v>-1.72</v>
      </c>
      <c r="DM219" s="228">
        <v>33.85</v>
      </c>
      <c r="DN219" s="228">
        <v>35.049999999999997</v>
      </c>
      <c r="DO219" s="228">
        <v>-1.2</v>
      </c>
      <c r="DP219" s="228">
        <v>-1.2</v>
      </c>
      <c r="DQ219" s="228">
        <v>0.42</v>
      </c>
      <c r="DR219" s="228">
        <v>0.41</v>
      </c>
      <c r="DS219" s="228">
        <v>0.01</v>
      </c>
      <c r="DT219" s="229">
        <v>2.4400000000000002E-2</v>
      </c>
      <c r="DU219" s="231">
        <v>6000</v>
      </c>
      <c r="DV219" s="231">
        <v>5500</v>
      </c>
      <c r="DW219" s="228">
        <v>0.28000000000000003</v>
      </c>
      <c r="DX219" s="228">
        <v>0.26</v>
      </c>
      <c r="DY219" s="228">
        <v>0.02</v>
      </c>
      <c r="DZ219" s="229">
        <v>7.6899999999999996E-2</v>
      </c>
      <c r="EA219" s="229">
        <v>8.3000000000000004E-2</v>
      </c>
      <c r="EB219" s="230">
        <v>628500</v>
      </c>
      <c r="EC219" s="229">
        <v>4.7999999999999996E-3</v>
      </c>
      <c r="ED219" s="229">
        <v>8.3000000000000004E-2</v>
      </c>
      <c r="EE219" s="228">
        <v>20.89</v>
      </c>
      <c r="EF219" s="229">
        <v>3.8999999999999998E-3</v>
      </c>
      <c r="EG219" s="230">
        <v>301778</v>
      </c>
      <c r="EH219" s="230">
        <v>251458</v>
      </c>
      <c r="EI219" s="229">
        <v>0.2001</v>
      </c>
      <c r="EJ219" s="229">
        <v>0.58360000000000001</v>
      </c>
      <c r="EK219" s="231">
        <v>3649.74</v>
      </c>
      <c r="EL219" s="228">
        <v>911.45</v>
      </c>
      <c r="EM219" s="228">
        <v>366.75</v>
      </c>
      <c r="EN219" s="228">
        <v>0</v>
      </c>
      <c r="EO219" s="231">
        <v>4927.9399999999996</v>
      </c>
      <c r="EP219" s="231">
        <v>3498.32</v>
      </c>
      <c r="EQ219" s="231">
        <v>1429.62</v>
      </c>
      <c r="ER219" s="229">
        <v>0.40870000000000001</v>
      </c>
      <c r="ES219" s="231">
        <v>4841.21</v>
      </c>
      <c r="ET219" s="231">
        <v>1884.44</v>
      </c>
      <c r="EU219" s="231">
        <v>4440.4799999999996</v>
      </c>
      <c r="EV219" s="231">
        <v>44787316</v>
      </c>
      <c r="EW219" s="231">
        <v>11166.14</v>
      </c>
      <c r="EX219" s="231">
        <v>11275.22</v>
      </c>
      <c r="EY219" s="228">
        <v>-109.08</v>
      </c>
      <c r="EZ219" s="229">
        <v>-9.7000000000000003E-3</v>
      </c>
      <c r="FA219" s="229">
        <v>0.44309999999999999</v>
      </c>
      <c r="FB219" s="227" t="s">
        <v>568</v>
      </c>
      <c r="FC219">
        <f t="shared" si="4"/>
        <v>0</v>
      </c>
    </row>
    <row r="220" spans="1:159" ht="17.25" thickBot="1" x14ac:dyDescent="0.3">
      <c r="A220" s="226">
        <v>45860</v>
      </c>
      <c r="B220" s="227" t="s">
        <v>162</v>
      </c>
      <c r="C220" s="227" t="s">
        <v>300</v>
      </c>
      <c r="D220" s="228">
        <v>350</v>
      </c>
      <c r="E220" s="228">
        <v>9</v>
      </c>
      <c r="F220" s="231">
        <v>2802.1</v>
      </c>
      <c r="G220" s="231">
        <v>2845.5</v>
      </c>
      <c r="H220" s="228">
        <v>-43.4</v>
      </c>
      <c r="I220" s="229">
        <v>-1.5299999999999999E-2</v>
      </c>
      <c r="J220" s="231">
        <v>2795.4</v>
      </c>
      <c r="K220" s="231">
        <v>2835.5</v>
      </c>
      <c r="L220" s="228">
        <v>-40.1</v>
      </c>
      <c r="M220" s="229">
        <v>-1.41E-2</v>
      </c>
      <c r="N220" s="231">
        <v>2802.1</v>
      </c>
      <c r="O220" s="231">
        <v>2845.5</v>
      </c>
      <c r="P220" s="228">
        <v>-43.4</v>
      </c>
      <c r="Q220" s="229">
        <v>-1.5299999999999999E-2</v>
      </c>
      <c r="R220" s="231">
        <v>2806.3</v>
      </c>
      <c r="S220" s="231">
        <v>2845.6</v>
      </c>
      <c r="T220" s="228">
        <v>-39.299999999999997</v>
      </c>
      <c r="U220" s="229">
        <v>-1.38E-2</v>
      </c>
      <c r="V220" s="228">
        <v>0</v>
      </c>
      <c r="W220" s="228">
        <v>0</v>
      </c>
      <c r="X220" s="228">
        <v>0</v>
      </c>
      <c r="Y220" s="229">
        <v>0</v>
      </c>
      <c r="Z220" s="228">
        <v>6.7</v>
      </c>
      <c r="AA220" s="228">
        <v>10</v>
      </c>
      <c r="AB220" s="228">
        <v>-3.3</v>
      </c>
      <c r="AC220" s="229">
        <v>2.3999999999999998E-3</v>
      </c>
      <c r="AD220" s="228">
        <v>6.7</v>
      </c>
      <c r="AE220" s="228">
        <v>10</v>
      </c>
      <c r="AF220" s="228">
        <v>-3.3</v>
      </c>
      <c r="AG220" s="229">
        <v>2.3999999999999998E-3</v>
      </c>
      <c r="AH220" s="228">
        <v>10.9</v>
      </c>
      <c r="AI220" s="228">
        <v>10.1</v>
      </c>
      <c r="AJ220" s="228">
        <v>0.8</v>
      </c>
      <c r="AK220" s="229">
        <v>3.8999999999999998E-3</v>
      </c>
      <c r="AL220" s="228">
        <v>0</v>
      </c>
      <c r="AM220" s="228">
        <v>0</v>
      </c>
      <c r="AN220" s="228">
        <v>0</v>
      </c>
      <c r="AO220" s="229">
        <v>0</v>
      </c>
      <c r="AP220" s="231">
        <v>2809.52</v>
      </c>
      <c r="AQ220" s="231">
        <v>2812.55</v>
      </c>
      <c r="AR220" s="228">
        <v>0</v>
      </c>
      <c r="AS220" s="228">
        <v>257</v>
      </c>
      <c r="AT220" s="228">
        <v>245</v>
      </c>
      <c r="AU220" s="228">
        <v>11</v>
      </c>
      <c r="AV220" s="229">
        <v>4.6399999999999997E-2</v>
      </c>
      <c r="AW220" s="228">
        <v>205</v>
      </c>
      <c r="AX220" s="228">
        <v>222</v>
      </c>
      <c r="AY220" s="228">
        <v>-17</v>
      </c>
      <c r="AZ220" s="229">
        <v>-7.7299999999999994E-2</v>
      </c>
      <c r="BA220" s="228">
        <v>51</v>
      </c>
      <c r="BB220" s="228">
        <v>22</v>
      </c>
      <c r="BC220" s="228">
        <v>28</v>
      </c>
      <c r="BD220" s="229">
        <v>1.2888999999999999</v>
      </c>
      <c r="BE220" s="228">
        <v>0</v>
      </c>
      <c r="BF220" s="228">
        <v>0</v>
      </c>
      <c r="BG220" s="228">
        <v>0</v>
      </c>
      <c r="BH220" s="229">
        <v>0</v>
      </c>
      <c r="BI220" s="228">
        <v>629</v>
      </c>
      <c r="BJ220" s="228">
        <v>471</v>
      </c>
      <c r="BK220" s="228">
        <v>158</v>
      </c>
      <c r="BL220" s="229">
        <v>0.3357</v>
      </c>
      <c r="BM220" s="228">
        <v>395</v>
      </c>
      <c r="BN220" s="228">
        <v>228</v>
      </c>
      <c r="BO220" s="228">
        <v>166</v>
      </c>
      <c r="BP220" s="229">
        <v>0.7288</v>
      </c>
      <c r="BQ220" s="230">
        <v>1281</v>
      </c>
      <c r="BR220" s="228">
        <v>945</v>
      </c>
      <c r="BS220" s="228">
        <v>336</v>
      </c>
      <c r="BT220" s="229">
        <v>0.35549999999999998</v>
      </c>
      <c r="BU220" s="230">
        <v>362229</v>
      </c>
      <c r="BV220" s="230">
        <v>507085</v>
      </c>
      <c r="BW220" s="230">
        <v>-144856</v>
      </c>
      <c r="BX220" s="229">
        <v>-0.28570000000000001</v>
      </c>
      <c r="BY220" s="230">
        <v>2060</v>
      </c>
      <c r="BZ220" s="230">
        <v>2062</v>
      </c>
      <c r="CA220" s="228">
        <v>-2</v>
      </c>
      <c r="CB220" s="229">
        <v>-1E-3</v>
      </c>
      <c r="CC220" s="230">
        <v>1857</v>
      </c>
      <c r="CD220" s="230">
        <v>1867</v>
      </c>
      <c r="CE220" s="228">
        <v>-9</v>
      </c>
      <c r="CF220" s="229">
        <v>-5.0000000000000001E-3</v>
      </c>
      <c r="CG220" s="228">
        <v>197</v>
      </c>
      <c r="CH220" s="228">
        <v>189</v>
      </c>
      <c r="CI220" s="228">
        <v>7</v>
      </c>
      <c r="CJ220" s="229">
        <v>3.8300000000000001E-2</v>
      </c>
      <c r="CK220" s="228">
        <v>0</v>
      </c>
      <c r="CL220" s="228">
        <v>0</v>
      </c>
      <c r="CM220" s="228">
        <v>0</v>
      </c>
      <c r="CN220" s="229">
        <v>0</v>
      </c>
      <c r="CO220" s="228">
        <v>770</v>
      </c>
      <c r="CP220" s="228">
        <v>752</v>
      </c>
      <c r="CQ220" s="228">
        <v>19</v>
      </c>
      <c r="CR220" s="229">
        <v>2.4799999999999999E-2</v>
      </c>
      <c r="CS220" s="228">
        <v>480</v>
      </c>
      <c r="CT220" s="228">
        <v>464</v>
      </c>
      <c r="CU220" s="228">
        <v>16</v>
      </c>
      <c r="CV220" s="229">
        <v>3.5499999999999997E-2</v>
      </c>
      <c r="CW220" s="230">
        <v>3311</v>
      </c>
      <c r="CX220" s="230">
        <v>3278</v>
      </c>
      <c r="CY220" s="228">
        <v>33</v>
      </c>
      <c r="CZ220" s="229">
        <v>1.01E-2</v>
      </c>
      <c r="DA220" s="228">
        <v>26.91</v>
      </c>
      <c r="DB220" s="228">
        <v>26.68</v>
      </c>
      <c r="DC220" s="228">
        <v>0.23</v>
      </c>
      <c r="DD220" s="228">
        <v>0.23</v>
      </c>
      <c r="DE220" s="228">
        <v>32.71</v>
      </c>
      <c r="DF220" s="228">
        <v>32.74</v>
      </c>
      <c r="DG220" s="228">
        <v>-5.8</v>
      </c>
      <c r="DH220" s="228">
        <v>-0.03</v>
      </c>
      <c r="DI220" s="228">
        <v>27.66</v>
      </c>
      <c r="DJ220" s="228">
        <v>27.07</v>
      </c>
      <c r="DK220" s="228">
        <v>0.59</v>
      </c>
      <c r="DL220" s="228">
        <v>0.59</v>
      </c>
      <c r="DM220" s="228">
        <v>25.72</v>
      </c>
      <c r="DN220" s="228">
        <v>25.89</v>
      </c>
      <c r="DO220" s="228">
        <v>-0.17</v>
      </c>
      <c r="DP220" s="228">
        <v>-0.17</v>
      </c>
      <c r="DQ220" s="228">
        <v>0.62</v>
      </c>
      <c r="DR220" s="228">
        <v>0.62</v>
      </c>
      <c r="DS220" s="228">
        <v>0</v>
      </c>
      <c r="DT220" s="229">
        <v>0</v>
      </c>
      <c r="DU220" s="231">
        <v>3000</v>
      </c>
      <c r="DV220" s="231">
        <v>2800</v>
      </c>
      <c r="DW220" s="228">
        <v>0.63</v>
      </c>
      <c r="DX220" s="228">
        <v>0.48</v>
      </c>
      <c r="DY220" s="228">
        <v>0.15</v>
      </c>
      <c r="DZ220" s="229">
        <v>0.3125</v>
      </c>
      <c r="EA220" s="229">
        <v>9.5399999999999999E-2</v>
      </c>
      <c r="EB220" s="230">
        <v>675850</v>
      </c>
      <c r="EC220" s="229">
        <v>1.5E-3</v>
      </c>
      <c r="ED220" s="229">
        <v>9.5399999999999999E-2</v>
      </c>
      <c r="EE220" s="228">
        <v>3.03</v>
      </c>
      <c r="EF220" s="229">
        <v>1.1000000000000001E-3</v>
      </c>
      <c r="EG220" s="230">
        <v>188309</v>
      </c>
      <c r="EH220" s="230">
        <v>330648</v>
      </c>
      <c r="EI220" s="229">
        <v>-0.43049999999999999</v>
      </c>
      <c r="EJ220" s="229">
        <v>0.51990000000000003</v>
      </c>
      <c r="EK220" s="228">
        <v>661.36</v>
      </c>
      <c r="EL220" s="228">
        <v>395.12</v>
      </c>
      <c r="EM220" s="228">
        <v>257.5</v>
      </c>
      <c r="EN220" s="228">
        <v>0</v>
      </c>
      <c r="EO220" s="231">
        <v>1313.98</v>
      </c>
      <c r="EP220" s="228">
        <v>980.95</v>
      </c>
      <c r="EQ220" s="228">
        <v>333.03</v>
      </c>
      <c r="ER220" s="229">
        <v>0.33950000000000002</v>
      </c>
      <c r="ES220" s="228">
        <v>815.65</v>
      </c>
      <c r="ET220" s="228">
        <v>474.36</v>
      </c>
      <c r="EU220" s="231">
        <v>2060.54</v>
      </c>
      <c r="EV220" s="231">
        <v>47184665</v>
      </c>
      <c r="EW220" s="231">
        <v>3350.55</v>
      </c>
      <c r="EX220" s="231">
        <v>3351.83</v>
      </c>
      <c r="EY220" s="228">
        <v>-1.28</v>
      </c>
      <c r="EZ220" s="229">
        <v>-4.0000000000000002E-4</v>
      </c>
      <c r="FA220" s="229">
        <v>0.25040000000000001</v>
      </c>
      <c r="FB220" s="227" t="s">
        <v>568</v>
      </c>
      <c r="FC220">
        <f t="shared" si="4"/>
        <v>0</v>
      </c>
    </row>
    <row r="221" spans="1:159" ht="17.25" thickBot="1" x14ac:dyDescent="0.3">
      <c r="A221" s="226">
        <v>45860</v>
      </c>
      <c r="B221" s="227" t="s">
        <v>157</v>
      </c>
      <c r="C221" s="227" t="s">
        <v>302</v>
      </c>
      <c r="D221" s="228">
        <v>50</v>
      </c>
      <c r="E221" s="228">
        <v>9</v>
      </c>
      <c r="F221" s="231">
        <v>12400</v>
      </c>
      <c r="G221" s="231">
        <v>12581</v>
      </c>
      <c r="H221" s="228">
        <v>-181</v>
      </c>
      <c r="I221" s="229">
        <v>-1.44E-2</v>
      </c>
      <c r="J221" s="231">
        <v>12452</v>
      </c>
      <c r="K221" s="231">
        <v>12577</v>
      </c>
      <c r="L221" s="228">
        <v>-125</v>
      </c>
      <c r="M221" s="229">
        <v>-9.9000000000000008E-3</v>
      </c>
      <c r="N221" s="231">
        <v>12400</v>
      </c>
      <c r="O221" s="231">
        <v>12581</v>
      </c>
      <c r="P221" s="228">
        <v>-181</v>
      </c>
      <c r="Q221" s="229">
        <v>-1.44E-2</v>
      </c>
      <c r="R221" s="231">
        <v>12456</v>
      </c>
      <c r="S221" s="231">
        <v>12601</v>
      </c>
      <c r="T221" s="228">
        <v>-145</v>
      </c>
      <c r="U221" s="229">
        <v>-1.15E-2</v>
      </c>
      <c r="V221" s="228">
        <v>0</v>
      </c>
      <c r="W221" s="228">
        <v>0</v>
      </c>
      <c r="X221" s="228">
        <v>0</v>
      </c>
      <c r="Y221" s="229">
        <v>0</v>
      </c>
      <c r="Z221" s="228">
        <v>-52</v>
      </c>
      <c r="AA221" s="228">
        <v>4</v>
      </c>
      <c r="AB221" s="228">
        <v>-56</v>
      </c>
      <c r="AC221" s="229">
        <v>-4.1999999999999997E-3</v>
      </c>
      <c r="AD221" s="228">
        <v>-52</v>
      </c>
      <c r="AE221" s="228">
        <v>4</v>
      </c>
      <c r="AF221" s="228">
        <v>-56</v>
      </c>
      <c r="AG221" s="229">
        <v>-4.1999999999999997E-3</v>
      </c>
      <c r="AH221" s="228">
        <v>4</v>
      </c>
      <c r="AI221" s="228">
        <v>24</v>
      </c>
      <c r="AJ221" s="228">
        <v>-20</v>
      </c>
      <c r="AK221" s="229">
        <v>2.9999999999999997E-4</v>
      </c>
      <c r="AL221" s="228">
        <v>0</v>
      </c>
      <c r="AM221" s="228">
        <v>0</v>
      </c>
      <c r="AN221" s="228">
        <v>0</v>
      </c>
      <c r="AO221" s="229">
        <v>0</v>
      </c>
      <c r="AP221" s="231">
        <v>12412.7</v>
      </c>
      <c r="AQ221" s="231">
        <v>12471.31</v>
      </c>
      <c r="AR221" s="228">
        <v>0</v>
      </c>
      <c r="AS221" s="230">
        <v>1063</v>
      </c>
      <c r="AT221" s="230">
        <v>1224</v>
      </c>
      <c r="AU221" s="228">
        <v>-161</v>
      </c>
      <c r="AV221" s="229">
        <v>-0.1313</v>
      </c>
      <c r="AW221" s="228">
        <v>908</v>
      </c>
      <c r="AX221" s="230">
        <v>1084</v>
      </c>
      <c r="AY221" s="228">
        <v>-176</v>
      </c>
      <c r="AZ221" s="229">
        <v>-0.1628</v>
      </c>
      <c r="BA221" s="228">
        <v>148</v>
      </c>
      <c r="BB221" s="228">
        <v>135</v>
      </c>
      <c r="BC221" s="228">
        <v>14</v>
      </c>
      <c r="BD221" s="229">
        <v>0.1017</v>
      </c>
      <c r="BE221" s="228">
        <v>0</v>
      </c>
      <c r="BF221" s="228">
        <v>0</v>
      </c>
      <c r="BG221" s="228">
        <v>0</v>
      </c>
      <c r="BH221" s="229">
        <v>0</v>
      </c>
      <c r="BI221" s="230">
        <v>8833</v>
      </c>
      <c r="BJ221" s="230">
        <v>10020</v>
      </c>
      <c r="BK221" s="230">
        <v>-1187</v>
      </c>
      <c r="BL221" s="229">
        <v>-0.11849999999999999</v>
      </c>
      <c r="BM221" s="230">
        <v>3273</v>
      </c>
      <c r="BN221" s="230">
        <v>3819</v>
      </c>
      <c r="BO221" s="228">
        <v>-546</v>
      </c>
      <c r="BP221" s="229">
        <v>-0.1429</v>
      </c>
      <c r="BQ221" s="230">
        <v>13169</v>
      </c>
      <c r="BR221" s="230">
        <v>15062</v>
      </c>
      <c r="BS221" s="230">
        <v>-1893</v>
      </c>
      <c r="BT221" s="229">
        <v>-0.12570000000000001</v>
      </c>
      <c r="BU221" s="230">
        <v>543768</v>
      </c>
      <c r="BV221" s="230">
        <v>530218</v>
      </c>
      <c r="BW221" s="230">
        <v>13550</v>
      </c>
      <c r="BX221" s="229">
        <v>2.5600000000000001E-2</v>
      </c>
      <c r="BY221" s="230">
        <v>3305</v>
      </c>
      <c r="BZ221" s="230">
        <v>3399</v>
      </c>
      <c r="CA221" s="228">
        <v>-93</v>
      </c>
      <c r="CB221" s="229">
        <v>-2.75E-2</v>
      </c>
      <c r="CC221" s="230">
        <v>1412</v>
      </c>
      <c r="CD221" s="230">
        <v>1512</v>
      </c>
      <c r="CE221" s="228">
        <v>-100</v>
      </c>
      <c r="CF221" s="229">
        <v>-6.6100000000000006E-2</v>
      </c>
      <c r="CG221" s="230">
        <v>1886</v>
      </c>
      <c r="CH221" s="230">
        <v>1880</v>
      </c>
      <c r="CI221" s="228">
        <v>6</v>
      </c>
      <c r="CJ221" s="229">
        <v>3.0000000000000001E-3</v>
      </c>
      <c r="CK221" s="228">
        <v>0</v>
      </c>
      <c r="CL221" s="228">
        <v>0</v>
      </c>
      <c r="CM221" s="228">
        <v>0</v>
      </c>
      <c r="CN221" s="229">
        <v>0</v>
      </c>
      <c r="CO221" s="230">
        <v>2373</v>
      </c>
      <c r="CP221" s="230">
        <v>1837</v>
      </c>
      <c r="CQ221" s="228">
        <v>535</v>
      </c>
      <c r="CR221" s="229">
        <v>0.29139999999999999</v>
      </c>
      <c r="CS221" s="230">
        <v>1006</v>
      </c>
      <c r="CT221" s="230">
        <v>1081</v>
      </c>
      <c r="CU221" s="228">
        <v>-75</v>
      </c>
      <c r="CV221" s="229">
        <v>-6.9400000000000003E-2</v>
      </c>
      <c r="CW221" s="230">
        <v>6685</v>
      </c>
      <c r="CX221" s="230">
        <v>6317</v>
      </c>
      <c r="CY221" s="228">
        <v>367</v>
      </c>
      <c r="CZ221" s="229">
        <v>5.8099999999999999E-2</v>
      </c>
      <c r="DA221" s="228">
        <v>22.43</v>
      </c>
      <c r="DB221" s="228">
        <v>23.88</v>
      </c>
      <c r="DC221" s="228">
        <v>-1.45</v>
      </c>
      <c r="DD221" s="228">
        <v>-1.45</v>
      </c>
      <c r="DE221" s="228">
        <v>27.06</v>
      </c>
      <c r="DF221" s="228">
        <v>27.09</v>
      </c>
      <c r="DG221" s="228">
        <v>-4.63</v>
      </c>
      <c r="DH221" s="228">
        <v>-0.03</v>
      </c>
      <c r="DI221" s="228">
        <v>22.69</v>
      </c>
      <c r="DJ221" s="228">
        <v>23.78</v>
      </c>
      <c r="DK221" s="228">
        <v>-1.0900000000000001</v>
      </c>
      <c r="DL221" s="228">
        <v>-1.0900000000000001</v>
      </c>
      <c r="DM221" s="228">
        <v>21.72</v>
      </c>
      <c r="DN221" s="228">
        <v>24.16</v>
      </c>
      <c r="DO221" s="228">
        <v>-2.44</v>
      </c>
      <c r="DP221" s="228">
        <v>-2.44</v>
      </c>
      <c r="DQ221" s="228">
        <v>0.42</v>
      </c>
      <c r="DR221" s="228">
        <v>0.59</v>
      </c>
      <c r="DS221" s="228">
        <v>-0.17</v>
      </c>
      <c r="DT221" s="229">
        <v>-0.28810000000000002</v>
      </c>
      <c r="DU221" s="231">
        <v>13000</v>
      </c>
      <c r="DV221" s="231">
        <v>12000</v>
      </c>
      <c r="DW221" s="228">
        <v>0.37</v>
      </c>
      <c r="DX221" s="228">
        <v>0.38</v>
      </c>
      <c r="DY221" s="228">
        <v>-0.01</v>
      </c>
      <c r="DZ221" s="229">
        <v>-2.63E-2</v>
      </c>
      <c r="EA221" s="229">
        <v>0.5706</v>
      </c>
      <c r="EB221" s="230">
        <v>1516350</v>
      </c>
      <c r="EC221" s="229">
        <v>4.4999999999999997E-3</v>
      </c>
      <c r="ED221" s="229">
        <v>0.5706</v>
      </c>
      <c r="EE221" s="228">
        <v>58.61</v>
      </c>
      <c r="EF221" s="229">
        <v>4.7000000000000002E-3</v>
      </c>
      <c r="EG221" s="230">
        <v>234683</v>
      </c>
      <c r="EH221" s="230">
        <v>218724</v>
      </c>
      <c r="EI221" s="229">
        <v>7.2999999999999995E-2</v>
      </c>
      <c r="EJ221" s="229">
        <v>0.43159999999999998</v>
      </c>
      <c r="EK221" s="231">
        <v>9175.81</v>
      </c>
      <c r="EL221" s="231">
        <v>3243.09</v>
      </c>
      <c r="EM221" s="231">
        <v>1064.77</v>
      </c>
      <c r="EN221" s="228">
        <v>0</v>
      </c>
      <c r="EO221" s="231">
        <v>13483.67</v>
      </c>
      <c r="EP221" s="231">
        <v>15551.1</v>
      </c>
      <c r="EQ221" s="231">
        <v>-2067.4299999999998</v>
      </c>
      <c r="ER221" s="229">
        <v>-0.13289999999999999</v>
      </c>
      <c r="ES221" s="231">
        <v>2469.84</v>
      </c>
      <c r="ET221" s="228">
        <v>944.92</v>
      </c>
      <c r="EU221" s="231">
        <v>3313.94</v>
      </c>
      <c r="EV221" s="231">
        <v>23922935</v>
      </c>
      <c r="EW221" s="231">
        <v>6728.71</v>
      </c>
      <c r="EX221" s="231">
        <v>6388.78</v>
      </c>
      <c r="EY221" s="228">
        <v>339.93</v>
      </c>
      <c r="EZ221" s="229">
        <v>5.3199999999999997E-2</v>
      </c>
      <c r="FA221" s="229">
        <v>0.2253</v>
      </c>
      <c r="FB221" s="227" t="s">
        <v>568</v>
      </c>
      <c r="FC221">
        <f t="shared" si="4"/>
        <v>0</v>
      </c>
    </row>
    <row r="222" spans="1:159" ht="17.25" thickBot="1" x14ac:dyDescent="0.3">
      <c r="A222" s="226">
        <v>45860</v>
      </c>
      <c r="B222" s="227" t="s">
        <v>172</v>
      </c>
      <c r="C222" s="227" t="s">
        <v>594</v>
      </c>
      <c r="D222" s="228">
        <v>4425</v>
      </c>
      <c r="E222" s="228">
        <v>9</v>
      </c>
      <c r="F222" s="228">
        <v>142.12</v>
      </c>
      <c r="G222" s="228">
        <v>142.46</v>
      </c>
      <c r="H222" s="228">
        <v>-0.34</v>
      </c>
      <c r="I222" s="229">
        <v>-2.3999999999999998E-3</v>
      </c>
      <c r="J222" s="228">
        <v>142.93</v>
      </c>
      <c r="K222" s="228">
        <v>142.63999999999999</v>
      </c>
      <c r="L222" s="228">
        <v>0.28999999999999998</v>
      </c>
      <c r="M222" s="229">
        <v>2E-3</v>
      </c>
      <c r="N222" s="228">
        <v>142.12</v>
      </c>
      <c r="O222" s="228">
        <v>142.46</v>
      </c>
      <c r="P222" s="228">
        <v>-0.34</v>
      </c>
      <c r="Q222" s="229">
        <v>-2.3999999999999998E-3</v>
      </c>
      <c r="R222" s="228">
        <v>141.66</v>
      </c>
      <c r="S222" s="228">
        <v>142.4</v>
      </c>
      <c r="T222" s="228">
        <v>-0.74</v>
      </c>
      <c r="U222" s="229">
        <v>-5.1999999999999998E-3</v>
      </c>
      <c r="V222" s="228">
        <v>0</v>
      </c>
      <c r="W222" s="228">
        <v>0</v>
      </c>
      <c r="X222" s="228">
        <v>0</v>
      </c>
      <c r="Y222" s="229">
        <v>0</v>
      </c>
      <c r="Z222" s="228">
        <v>-0.81</v>
      </c>
      <c r="AA222" s="228">
        <v>-0.18</v>
      </c>
      <c r="AB222" s="228">
        <v>-0.63</v>
      </c>
      <c r="AC222" s="229">
        <v>-5.7000000000000002E-3</v>
      </c>
      <c r="AD222" s="228">
        <v>-0.81</v>
      </c>
      <c r="AE222" s="228">
        <v>-0.18</v>
      </c>
      <c r="AF222" s="228">
        <v>-0.63</v>
      </c>
      <c r="AG222" s="229">
        <v>-5.7000000000000002E-3</v>
      </c>
      <c r="AH222" s="228">
        <v>-1.27</v>
      </c>
      <c r="AI222" s="228">
        <v>-0.24</v>
      </c>
      <c r="AJ222" s="228">
        <v>-1.03</v>
      </c>
      <c r="AK222" s="229">
        <v>-8.8999999999999999E-3</v>
      </c>
      <c r="AL222" s="228">
        <v>0</v>
      </c>
      <c r="AM222" s="228">
        <v>0</v>
      </c>
      <c r="AN222" s="228">
        <v>0</v>
      </c>
      <c r="AO222" s="229">
        <v>0</v>
      </c>
      <c r="AP222" s="228">
        <v>143.13</v>
      </c>
      <c r="AQ222" s="228">
        <v>142.94</v>
      </c>
      <c r="AR222" s="228">
        <v>0</v>
      </c>
      <c r="AS222" s="228">
        <v>352</v>
      </c>
      <c r="AT222" s="228">
        <v>509</v>
      </c>
      <c r="AU222" s="228">
        <v>-157</v>
      </c>
      <c r="AV222" s="229">
        <v>-0.30859999999999999</v>
      </c>
      <c r="AW222" s="228">
        <v>257</v>
      </c>
      <c r="AX222" s="228">
        <v>406</v>
      </c>
      <c r="AY222" s="228">
        <v>-148</v>
      </c>
      <c r="AZ222" s="229">
        <v>-0.3659</v>
      </c>
      <c r="BA222" s="228">
        <v>92</v>
      </c>
      <c r="BB222" s="228">
        <v>100</v>
      </c>
      <c r="BC222" s="228">
        <v>-9</v>
      </c>
      <c r="BD222" s="229">
        <v>-8.8900000000000007E-2</v>
      </c>
      <c r="BE222" s="228">
        <v>0</v>
      </c>
      <c r="BF222" s="228">
        <v>0</v>
      </c>
      <c r="BG222" s="228">
        <v>0</v>
      </c>
      <c r="BH222" s="229">
        <v>0</v>
      </c>
      <c r="BI222" s="228">
        <v>543</v>
      </c>
      <c r="BJ222" s="230">
        <v>1168</v>
      </c>
      <c r="BK222" s="228">
        <v>-625</v>
      </c>
      <c r="BL222" s="229">
        <v>-0.5353</v>
      </c>
      <c r="BM222" s="228">
        <v>320</v>
      </c>
      <c r="BN222" s="228">
        <v>708</v>
      </c>
      <c r="BO222" s="228">
        <v>-389</v>
      </c>
      <c r="BP222" s="229">
        <v>-0.54890000000000005</v>
      </c>
      <c r="BQ222" s="230">
        <v>1214</v>
      </c>
      <c r="BR222" s="230">
        <v>2385</v>
      </c>
      <c r="BS222" s="230">
        <v>-1171</v>
      </c>
      <c r="BT222" s="229">
        <v>-0.49099999999999999</v>
      </c>
      <c r="BU222" s="230">
        <v>13546552</v>
      </c>
      <c r="BV222" s="230">
        <v>22421740</v>
      </c>
      <c r="BW222" s="230">
        <v>-8875188</v>
      </c>
      <c r="BX222" s="229">
        <v>-0.39579999999999999</v>
      </c>
      <c r="BY222" s="230">
        <v>1241</v>
      </c>
      <c r="BZ222" s="230">
        <v>1191</v>
      </c>
      <c r="CA222" s="228">
        <v>51</v>
      </c>
      <c r="CB222" s="229">
        <v>4.2500000000000003E-2</v>
      </c>
      <c r="CC222" s="230">
        <v>1069</v>
      </c>
      <c r="CD222" s="230">
        <v>1052</v>
      </c>
      <c r="CE222" s="228">
        <v>17</v>
      </c>
      <c r="CF222" s="229">
        <v>1.61E-2</v>
      </c>
      <c r="CG222" s="228">
        <v>164</v>
      </c>
      <c r="CH222" s="228">
        <v>132</v>
      </c>
      <c r="CI222" s="228">
        <v>32</v>
      </c>
      <c r="CJ222" s="229">
        <v>0.24399999999999999</v>
      </c>
      <c r="CK222" s="228">
        <v>0</v>
      </c>
      <c r="CL222" s="228">
        <v>0</v>
      </c>
      <c r="CM222" s="228">
        <v>0</v>
      </c>
      <c r="CN222" s="229">
        <v>0</v>
      </c>
      <c r="CO222" s="228">
        <v>682</v>
      </c>
      <c r="CP222" s="228">
        <v>667</v>
      </c>
      <c r="CQ222" s="228">
        <v>15</v>
      </c>
      <c r="CR222" s="229">
        <v>2.2800000000000001E-2</v>
      </c>
      <c r="CS222" s="228">
        <v>500</v>
      </c>
      <c r="CT222" s="228">
        <v>483</v>
      </c>
      <c r="CU222" s="228">
        <v>18</v>
      </c>
      <c r="CV222" s="229">
        <v>3.6600000000000001E-2</v>
      </c>
      <c r="CW222" s="230">
        <v>2424</v>
      </c>
      <c r="CX222" s="230">
        <v>2340</v>
      </c>
      <c r="CY222" s="228">
        <v>84</v>
      </c>
      <c r="CZ222" s="229">
        <v>3.5700000000000003E-2</v>
      </c>
      <c r="DA222" s="228">
        <v>29.63</v>
      </c>
      <c r="DB222" s="228">
        <v>30.12</v>
      </c>
      <c r="DC222" s="228">
        <v>-0.49</v>
      </c>
      <c r="DD222" s="228">
        <v>-0.49</v>
      </c>
      <c r="DE222" s="228">
        <v>46.3</v>
      </c>
      <c r="DF222" s="228">
        <v>46.42</v>
      </c>
      <c r="DG222" s="228">
        <v>-16.670000000000002</v>
      </c>
      <c r="DH222" s="228">
        <v>-0.12</v>
      </c>
      <c r="DI222" s="228">
        <v>31.08</v>
      </c>
      <c r="DJ222" s="228">
        <v>32.54</v>
      </c>
      <c r="DK222" s="228">
        <v>-1.46</v>
      </c>
      <c r="DL222" s="228">
        <v>-1.46</v>
      </c>
      <c r="DM222" s="228">
        <v>27.17</v>
      </c>
      <c r="DN222" s="228">
        <v>26.12</v>
      </c>
      <c r="DO222" s="228">
        <v>1.05</v>
      </c>
      <c r="DP222" s="228">
        <v>1.05</v>
      </c>
      <c r="DQ222" s="228">
        <v>0.73</v>
      </c>
      <c r="DR222" s="228">
        <v>0.72</v>
      </c>
      <c r="DS222" s="228">
        <v>0.01</v>
      </c>
      <c r="DT222" s="229">
        <v>1.3899999999999999E-2</v>
      </c>
      <c r="DU222" s="228">
        <v>150</v>
      </c>
      <c r="DV222" s="228">
        <v>140</v>
      </c>
      <c r="DW222" s="228">
        <v>0.59</v>
      </c>
      <c r="DX222" s="228">
        <v>0.61</v>
      </c>
      <c r="DY222" s="228">
        <v>-0.02</v>
      </c>
      <c r="DZ222" s="229">
        <v>-3.2800000000000003E-2</v>
      </c>
      <c r="EA222" s="229">
        <v>0.13220000000000001</v>
      </c>
      <c r="EB222" s="230">
        <v>9283650</v>
      </c>
      <c r="EC222" s="229">
        <v>-3.2000000000000002E-3</v>
      </c>
      <c r="ED222" s="229">
        <v>0.13220000000000001</v>
      </c>
      <c r="EE222" s="228">
        <v>-0.19</v>
      </c>
      <c r="EF222" s="229">
        <v>-1.2999999999999999E-3</v>
      </c>
      <c r="EG222" s="230">
        <v>6773711</v>
      </c>
      <c r="EH222" s="230">
        <v>7862531</v>
      </c>
      <c r="EI222" s="229">
        <v>-0.13850000000000001</v>
      </c>
      <c r="EJ222" s="229">
        <v>0.5</v>
      </c>
      <c r="EK222" s="228">
        <v>570.73</v>
      </c>
      <c r="EL222" s="228">
        <v>322.81</v>
      </c>
      <c r="EM222" s="228">
        <v>353.99</v>
      </c>
      <c r="EN222" s="228">
        <v>0</v>
      </c>
      <c r="EO222" s="231">
        <v>1247.53</v>
      </c>
      <c r="EP222" s="231">
        <v>2464.36</v>
      </c>
      <c r="EQ222" s="231">
        <v>-1216.83</v>
      </c>
      <c r="ER222" s="229">
        <v>-0.49380000000000002</v>
      </c>
      <c r="ES222" s="228">
        <v>731.87</v>
      </c>
      <c r="ET222" s="228">
        <v>502.37</v>
      </c>
      <c r="EU222" s="231">
        <v>1240.74</v>
      </c>
      <c r="EV222" s="231">
        <v>385388951</v>
      </c>
      <c r="EW222" s="231">
        <v>2474.98</v>
      </c>
      <c r="EX222" s="231">
        <v>2394.75</v>
      </c>
      <c r="EY222" s="228">
        <v>80.23</v>
      </c>
      <c r="EZ222" s="229">
        <v>3.3500000000000002E-2</v>
      </c>
      <c r="FA222" s="229">
        <v>0.44259999999999999</v>
      </c>
      <c r="FB222" s="227" t="s">
        <v>567</v>
      </c>
      <c r="FC222">
        <f t="shared" si="4"/>
        <v>0</v>
      </c>
    </row>
    <row r="223" spans="1:159" ht="17.25" thickBot="1" x14ac:dyDescent="0.3">
      <c r="A223" s="226">
        <v>45860</v>
      </c>
      <c r="B223" s="227" t="s">
        <v>168</v>
      </c>
      <c r="C223" s="227" t="s">
        <v>569</v>
      </c>
      <c r="D223" s="228">
        <v>400</v>
      </c>
      <c r="E223" s="228">
        <v>9</v>
      </c>
      <c r="F223" s="231">
        <v>1345.7</v>
      </c>
      <c r="G223" s="231">
        <v>1370</v>
      </c>
      <c r="H223" s="228">
        <v>-24.3</v>
      </c>
      <c r="I223" s="229">
        <v>-1.77E-2</v>
      </c>
      <c r="J223" s="231">
        <v>1343.5</v>
      </c>
      <c r="K223" s="231">
        <v>1366.4</v>
      </c>
      <c r="L223" s="228">
        <v>-22.9</v>
      </c>
      <c r="M223" s="229">
        <v>-1.6799999999999999E-2</v>
      </c>
      <c r="N223" s="231">
        <v>1345.7</v>
      </c>
      <c r="O223" s="231">
        <v>1370</v>
      </c>
      <c r="P223" s="228">
        <v>-24.3</v>
      </c>
      <c r="Q223" s="229">
        <v>-1.77E-2</v>
      </c>
      <c r="R223" s="231">
        <v>1344.8</v>
      </c>
      <c r="S223" s="231">
        <v>1369.4</v>
      </c>
      <c r="T223" s="228">
        <v>-24.6</v>
      </c>
      <c r="U223" s="229">
        <v>-1.7999999999999999E-2</v>
      </c>
      <c r="V223" s="228">
        <v>0</v>
      </c>
      <c r="W223" s="228">
        <v>0</v>
      </c>
      <c r="X223" s="228">
        <v>0</v>
      </c>
      <c r="Y223" s="229">
        <v>0</v>
      </c>
      <c r="Z223" s="228">
        <v>2.2000000000000002</v>
      </c>
      <c r="AA223" s="228">
        <v>3.6</v>
      </c>
      <c r="AB223" s="228">
        <v>-1.4</v>
      </c>
      <c r="AC223" s="229">
        <v>1.6000000000000001E-3</v>
      </c>
      <c r="AD223" s="228">
        <v>2.2000000000000002</v>
      </c>
      <c r="AE223" s="228">
        <v>3.6</v>
      </c>
      <c r="AF223" s="228">
        <v>-1.4</v>
      </c>
      <c r="AG223" s="229">
        <v>1.6000000000000001E-3</v>
      </c>
      <c r="AH223" s="228">
        <v>1.3</v>
      </c>
      <c r="AI223" s="228">
        <v>3</v>
      </c>
      <c r="AJ223" s="228">
        <v>-1.7</v>
      </c>
      <c r="AK223" s="229">
        <v>1E-3</v>
      </c>
      <c r="AL223" s="228">
        <v>0</v>
      </c>
      <c r="AM223" s="228">
        <v>0</v>
      </c>
      <c r="AN223" s="228">
        <v>0</v>
      </c>
      <c r="AO223" s="229">
        <v>0</v>
      </c>
      <c r="AP223" s="231">
        <v>1354.05</v>
      </c>
      <c r="AQ223" s="231">
        <v>1353.07</v>
      </c>
      <c r="AR223" s="228">
        <v>0</v>
      </c>
      <c r="AS223" s="228">
        <v>227</v>
      </c>
      <c r="AT223" s="228">
        <v>271</v>
      </c>
      <c r="AU223" s="228">
        <v>-45</v>
      </c>
      <c r="AV223" s="229">
        <v>-0.1643</v>
      </c>
      <c r="AW223" s="228">
        <v>161</v>
      </c>
      <c r="AX223" s="228">
        <v>201</v>
      </c>
      <c r="AY223" s="228">
        <v>-40</v>
      </c>
      <c r="AZ223" s="229">
        <v>-0.1981</v>
      </c>
      <c r="BA223" s="228">
        <v>63</v>
      </c>
      <c r="BB223" s="228">
        <v>67</v>
      </c>
      <c r="BC223" s="228">
        <v>-4</v>
      </c>
      <c r="BD223" s="229">
        <v>-6.1899999999999997E-2</v>
      </c>
      <c r="BE223" s="228">
        <v>0</v>
      </c>
      <c r="BF223" s="228">
        <v>0</v>
      </c>
      <c r="BG223" s="228">
        <v>0</v>
      </c>
      <c r="BH223" s="229">
        <v>0</v>
      </c>
      <c r="BI223" s="228">
        <v>538</v>
      </c>
      <c r="BJ223" s="228">
        <v>341</v>
      </c>
      <c r="BK223" s="228">
        <v>197</v>
      </c>
      <c r="BL223" s="229">
        <v>0.57650000000000001</v>
      </c>
      <c r="BM223" s="228">
        <v>156</v>
      </c>
      <c r="BN223" s="228">
        <v>133</v>
      </c>
      <c r="BO223" s="228">
        <v>23</v>
      </c>
      <c r="BP223" s="229">
        <v>0.1714</v>
      </c>
      <c r="BQ223" s="228">
        <v>921</v>
      </c>
      <c r="BR223" s="228">
        <v>746</v>
      </c>
      <c r="BS223" s="228">
        <v>175</v>
      </c>
      <c r="BT223" s="229">
        <v>0.23469999999999999</v>
      </c>
      <c r="BU223" s="230">
        <v>851739</v>
      </c>
      <c r="BV223" s="230">
        <v>970946</v>
      </c>
      <c r="BW223" s="230">
        <v>-119207</v>
      </c>
      <c r="BX223" s="229">
        <v>-0.12280000000000001</v>
      </c>
      <c r="BY223" s="230">
        <v>2256</v>
      </c>
      <c r="BZ223" s="230">
        <v>2219</v>
      </c>
      <c r="CA223" s="228">
        <v>37</v>
      </c>
      <c r="CB223" s="229">
        <v>1.66E-2</v>
      </c>
      <c r="CC223" s="230">
        <v>1984</v>
      </c>
      <c r="CD223" s="230">
        <v>1990</v>
      </c>
      <c r="CE223" s="228">
        <v>-7</v>
      </c>
      <c r="CF223" s="229">
        <v>-3.3E-3</v>
      </c>
      <c r="CG223" s="228">
        <v>256</v>
      </c>
      <c r="CH223" s="228">
        <v>215</v>
      </c>
      <c r="CI223" s="228">
        <v>42</v>
      </c>
      <c r="CJ223" s="229">
        <v>0.19470000000000001</v>
      </c>
      <c r="CK223" s="228">
        <v>0</v>
      </c>
      <c r="CL223" s="228">
        <v>0</v>
      </c>
      <c r="CM223" s="228">
        <v>0</v>
      </c>
      <c r="CN223" s="229">
        <v>0</v>
      </c>
      <c r="CO223" s="228">
        <v>794</v>
      </c>
      <c r="CP223" s="228">
        <v>789</v>
      </c>
      <c r="CQ223" s="228">
        <v>5</v>
      </c>
      <c r="CR223" s="229">
        <v>5.8999999999999999E-3</v>
      </c>
      <c r="CS223" s="228">
        <v>542</v>
      </c>
      <c r="CT223" s="228">
        <v>538</v>
      </c>
      <c r="CU223" s="228">
        <v>4</v>
      </c>
      <c r="CV223" s="229">
        <v>6.8999999999999999E-3</v>
      </c>
      <c r="CW223" s="230">
        <v>3592</v>
      </c>
      <c r="CX223" s="230">
        <v>3547</v>
      </c>
      <c r="CY223" s="228">
        <v>45</v>
      </c>
      <c r="CZ223" s="229">
        <v>1.2699999999999999E-2</v>
      </c>
      <c r="DA223" s="228">
        <v>30.61</v>
      </c>
      <c r="DB223" s="228">
        <v>30.65</v>
      </c>
      <c r="DC223" s="228">
        <v>-0.04</v>
      </c>
      <c r="DD223" s="228">
        <v>-0.04</v>
      </c>
      <c r="DE223" s="228">
        <v>30.2</v>
      </c>
      <c r="DF223" s="228">
        <v>30.19</v>
      </c>
      <c r="DG223" s="228">
        <v>0.41</v>
      </c>
      <c r="DH223" s="228">
        <v>0.01</v>
      </c>
      <c r="DI223" s="228">
        <v>31.24</v>
      </c>
      <c r="DJ223" s="228">
        <v>31.13</v>
      </c>
      <c r="DK223" s="228">
        <v>0.11</v>
      </c>
      <c r="DL223" s="228">
        <v>0.11</v>
      </c>
      <c r="DM223" s="228">
        <v>28.43</v>
      </c>
      <c r="DN223" s="228">
        <v>29.43</v>
      </c>
      <c r="DO223" s="228">
        <v>-1</v>
      </c>
      <c r="DP223" s="228">
        <v>-1</v>
      </c>
      <c r="DQ223" s="228">
        <v>0.68</v>
      </c>
      <c r="DR223" s="228">
        <v>0.68</v>
      </c>
      <c r="DS223" s="228">
        <v>0</v>
      </c>
      <c r="DT223" s="229">
        <v>0</v>
      </c>
      <c r="DU223" s="231">
        <v>1400</v>
      </c>
      <c r="DV223" s="231">
        <v>1400</v>
      </c>
      <c r="DW223" s="228">
        <v>0.28999999999999998</v>
      </c>
      <c r="DX223" s="228">
        <v>0.39</v>
      </c>
      <c r="DY223" s="228">
        <v>-0.1</v>
      </c>
      <c r="DZ223" s="229">
        <v>-0.25640000000000002</v>
      </c>
      <c r="EA223" s="229">
        <v>0.11360000000000001</v>
      </c>
      <c r="EB223" s="230">
        <v>1594400</v>
      </c>
      <c r="EC223" s="229">
        <v>-6.9999999999999999E-4</v>
      </c>
      <c r="ED223" s="229">
        <v>0.11360000000000001</v>
      </c>
      <c r="EE223" s="228">
        <v>-0.98</v>
      </c>
      <c r="EF223" s="229">
        <v>-6.9999999999999999E-4</v>
      </c>
      <c r="EG223" s="230">
        <v>535068</v>
      </c>
      <c r="EH223" s="230">
        <v>582231</v>
      </c>
      <c r="EI223" s="229">
        <v>-8.1000000000000003E-2</v>
      </c>
      <c r="EJ223" s="229">
        <v>0.62819999999999998</v>
      </c>
      <c r="EK223" s="228">
        <v>571.74</v>
      </c>
      <c r="EL223" s="228">
        <v>160.74</v>
      </c>
      <c r="EM223" s="228">
        <v>227.88</v>
      </c>
      <c r="EN223" s="228">
        <v>0</v>
      </c>
      <c r="EO223" s="228">
        <v>960.36</v>
      </c>
      <c r="EP223" s="228">
        <v>781.32</v>
      </c>
      <c r="EQ223" s="228">
        <v>179.04</v>
      </c>
      <c r="ER223" s="229">
        <v>0.22919999999999999</v>
      </c>
      <c r="ES223" s="228">
        <v>861.17</v>
      </c>
      <c r="ET223" s="228">
        <v>562.41</v>
      </c>
      <c r="EU223" s="231">
        <v>2255.9</v>
      </c>
      <c r="EV223" s="231">
        <v>63025888</v>
      </c>
      <c r="EW223" s="231">
        <v>3679.48</v>
      </c>
      <c r="EX223" s="231">
        <v>3677.05</v>
      </c>
      <c r="EY223" s="228">
        <v>2.4300000000000002</v>
      </c>
      <c r="EZ223" s="229">
        <v>6.9999999999999999E-4</v>
      </c>
      <c r="FA223" s="229">
        <v>0.42349999999999999</v>
      </c>
      <c r="FB223" s="227" t="s">
        <v>567</v>
      </c>
      <c r="FC223">
        <f t="shared" si="4"/>
        <v>0</v>
      </c>
    </row>
    <row r="224" spans="1:159" ht="17.25" thickBot="1" x14ac:dyDescent="0.3">
      <c r="A224" s="226">
        <v>45860</v>
      </c>
      <c r="B224" s="227" t="s">
        <v>162</v>
      </c>
      <c r="C224" s="227" t="s">
        <v>676</v>
      </c>
      <c r="D224" s="228">
        <v>550</v>
      </c>
      <c r="E224" s="228">
        <v>9</v>
      </c>
      <c r="F224" s="231">
        <v>1064</v>
      </c>
      <c r="G224" s="231">
        <v>1081.0999999999999</v>
      </c>
      <c r="H224" s="228">
        <v>-17.100000000000001</v>
      </c>
      <c r="I224" s="229">
        <v>-1.5800000000000002E-2</v>
      </c>
      <c r="J224" s="231">
        <v>1061.4000000000001</v>
      </c>
      <c r="K224" s="231">
        <v>1078</v>
      </c>
      <c r="L224" s="228">
        <v>-16.600000000000001</v>
      </c>
      <c r="M224" s="229">
        <v>-1.54E-2</v>
      </c>
      <c r="N224" s="231">
        <v>1064</v>
      </c>
      <c r="O224" s="231">
        <v>1081.0999999999999</v>
      </c>
      <c r="P224" s="228">
        <v>-17.100000000000001</v>
      </c>
      <c r="Q224" s="229">
        <v>-1.5800000000000002E-2</v>
      </c>
      <c r="R224" s="231">
        <v>1069.3</v>
      </c>
      <c r="S224" s="231">
        <v>1086.4000000000001</v>
      </c>
      <c r="T224" s="228">
        <v>-17.100000000000001</v>
      </c>
      <c r="U224" s="229">
        <v>-1.5699999999999999E-2</v>
      </c>
      <c r="V224" s="228">
        <v>0</v>
      </c>
      <c r="W224" s="228">
        <v>0</v>
      </c>
      <c r="X224" s="228">
        <v>0</v>
      </c>
      <c r="Y224" s="229">
        <v>0</v>
      </c>
      <c r="Z224" s="228">
        <v>2.6</v>
      </c>
      <c r="AA224" s="228">
        <v>3.1</v>
      </c>
      <c r="AB224" s="228">
        <v>-0.5</v>
      </c>
      <c r="AC224" s="229">
        <v>2.3999999999999998E-3</v>
      </c>
      <c r="AD224" s="228">
        <v>2.6</v>
      </c>
      <c r="AE224" s="228">
        <v>3.1</v>
      </c>
      <c r="AF224" s="228">
        <v>-0.5</v>
      </c>
      <c r="AG224" s="229">
        <v>2.3999999999999998E-3</v>
      </c>
      <c r="AH224" s="228">
        <v>7.9</v>
      </c>
      <c r="AI224" s="228">
        <v>8.4</v>
      </c>
      <c r="AJ224" s="228">
        <v>-0.5</v>
      </c>
      <c r="AK224" s="229">
        <v>7.4000000000000003E-3</v>
      </c>
      <c r="AL224" s="228">
        <v>0</v>
      </c>
      <c r="AM224" s="228">
        <v>0</v>
      </c>
      <c r="AN224" s="228">
        <v>0</v>
      </c>
      <c r="AO224" s="229">
        <v>0</v>
      </c>
      <c r="AP224" s="231">
        <v>1069.48</v>
      </c>
      <c r="AQ224" s="231">
        <v>1075.5</v>
      </c>
      <c r="AR224" s="228">
        <v>0</v>
      </c>
      <c r="AS224" s="228">
        <v>47</v>
      </c>
      <c r="AT224" s="228">
        <v>49</v>
      </c>
      <c r="AU224" s="228">
        <v>-1</v>
      </c>
      <c r="AV224" s="229">
        <v>-2.41E-2</v>
      </c>
      <c r="AW224" s="228">
        <v>43</v>
      </c>
      <c r="AX224" s="228">
        <v>41</v>
      </c>
      <c r="AY224" s="228">
        <v>2</v>
      </c>
      <c r="AZ224" s="229">
        <v>5.5500000000000001E-2</v>
      </c>
      <c r="BA224" s="228">
        <v>4</v>
      </c>
      <c r="BB224" s="228">
        <v>7</v>
      </c>
      <c r="BC224" s="228">
        <v>-4</v>
      </c>
      <c r="BD224" s="229">
        <v>-0.48409999999999997</v>
      </c>
      <c r="BE224" s="228">
        <v>0</v>
      </c>
      <c r="BF224" s="228">
        <v>0</v>
      </c>
      <c r="BG224" s="228">
        <v>0</v>
      </c>
      <c r="BH224" s="229">
        <v>0</v>
      </c>
      <c r="BI224" s="228">
        <v>118</v>
      </c>
      <c r="BJ224" s="228">
        <v>142</v>
      </c>
      <c r="BK224" s="228">
        <v>-24</v>
      </c>
      <c r="BL224" s="229">
        <v>-0.1719</v>
      </c>
      <c r="BM224" s="228">
        <v>102</v>
      </c>
      <c r="BN224" s="228">
        <v>127</v>
      </c>
      <c r="BO224" s="228">
        <v>-25</v>
      </c>
      <c r="BP224" s="229">
        <v>-0.1933</v>
      </c>
      <c r="BQ224" s="228">
        <v>267</v>
      </c>
      <c r="BR224" s="228">
        <v>317</v>
      </c>
      <c r="BS224" s="228">
        <v>-50</v>
      </c>
      <c r="BT224" s="229">
        <v>-0.1578</v>
      </c>
      <c r="BU224" s="230">
        <v>357276</v>
      </c>
      <c r="BV224" s="230">
        <v>381704</v>
      </c>
      <c r="BW224" s="230">
        <v>-24428</v>
      </c>
      <c r="BX224" s="229">
        <v>-6.4000000000000001E-2</v>
      </c>
      <c r="BY224" s="228">
        <v>293</v>
      </c>
      <c r="BZ224" s="228">
        <v>300</v>
      </c>
      <c r="CA224" s="228">
        <v>-7</v>
      </c>
      <c r="CB224" s="229">
        <v>-2.3300000000000001E-2</v>
      </c>
      <c r="CC224" s="228">
        <v>282</v>
      </c>
      <c r="CD224" s="228">
        <v>289</v>
      </c>
      <c r="CE224" s="228">
        <v>-8</v>
      </c>
      <c r="CF224" s="229">
        <v>-2.6700000000000002E-2</v>
      </c>
      <c r="CG224" s="228">
        <v>10</v>
      </c>
      <c r="CH224" s="228">
        <v>9</v>
      </c>
      <c r="CI224" s="228">
        <v>1</v>
      </c>
      <c r="CJ224" s="229">
        <v>5.5599999999999997E-2</v>
      </c>
      <c r="CK224" s="228">
        <v>0</v>
      </c>
      <c r="CL224" s="228">
        <v>0</v>
      </c>
      <c r="CM224" s="228">
        <v>0</v>
      </c>
      <c r="CN224" s="229">
        <v>0</v>
      </c>
      <c r="CO224" s="228">
        <v>195</v>
      </c>
      <c r="CP224" s="228">
        <v>186</v>
      </c>
      <c r="CQ224" s="228">
        <v>9</v>
      </c>
      <c r="CR224" s="229">
        <v>0.05</v>
      </c>
      <c r="CS224" s="228">
        <v>75</v>
      </c>
      <c r="CT224" s="228">
        <v>82</v>
      </c>
      <c r="CU224" s="228">
        <v>-7</v>
      </c>
      <c r="CV224" s="229">
        <v>-8.9800000000000005E-2</v>
      </c>
      <c r="CW224" s="228">
        <v>563</v>
      </c>
      <c r="CX224" s="228">
        <v>568</v>
      </c>
      <c r="CY224" s="228">
        <v>-5</v>
      </c>
      <c r="CZ224" s="229">
        <v>-8.8999999999999999E-3</v>
      </c>
      <c r="DA224" s="228">
        <v>36.61</v>
      </c>
      <c r="DB224" s="228">
        <v>37.54</v>
      </c>
      <c r="DC224" s="228">
        <v>-0.93</v>
      </c>
      <c r="DD224" s="228">
        <v>-0.93</v>
      </c>
      <c r="DE224" s="228">
        <v>43.68</v>
      </c>
      <c r="DF224" s="228">
        <v>43.73</v>
      </c>
      <c r="DG224" s="228">
        <v>-7.07</v>
      </c>
      <c r="DH224" s="228">
        <v>-0.05</v>
      </c>
      <c r="DI224" s="228">
        <v>38.85</v>
      </c>
      <c r="DJ224" s="228">
        <v>38.6</v>
      </c>
      <c r="DK224" s="228">
        <v>0.25</v>
      </c>
      <c r="DL224" s="228">
        <v>0.25</v>
      </c>
      <c r="DM224" s="228">
        <v>34.049999999999997</v>
      </c>
      <c r="DN224" s="228">
        <v>36.35</v>
      </c>
      <c r="DO224" s="228">
        <v>-2.2999999999999998</v>
      </c>
      <c r="DP224" s="228">
        <v>-2.2999999999999998</v>
      </c>
      <c r="DQ224" s="228">
        <v>0.38</v>
      </c>
      <c r="DR224" s="228">
        <v>0.44</v>
      </c>
      <c r="DS224" s="228">
        <v>-0.06</v>
      </c>
      <c r="DT224" s="229">
        <v>-0.13639999999999999</v>
      </c>
      <c r="DU224" s="231">
        <v>1200</v>
      </c>
      <c r="DV224" s="231">
        <v>1040</v>
      </c>
      <c r="DW224" s="228">
        <v>0.87</v>
      </c>
      <c r="DX224" s="228">
        <v>0.89</v>
      </c>
      <c r="DY224" s="228">
        <v>-0.02</v>
      </c>
      <c r="DZ224" s="229">
        <v>-2.2499999999999999E-2</v>
      </c>
      <c r="EA224" s="229">
        <v>3.4200000000000001E-2</v>
      </c>
      <c r="EB224" s="230">
        <v>89100</v>
      </c>
      <c r="EC224" s="229">
        <v>5.0000000000000001E-3</v>
      </c>
      <c r="ED224" s="229">
        <v>3.4200000000000001E-2</v>
      </c>
      <c r="EE224" s="228">
        <v>6.02</v>
      </c>
      <c r="EF224" s="229">
        <v>5.5999999999999999E-3</v>
      </c>
      <c r="EG224" s="230">
        <v>211547</v>
      </c>
      <c r="EH224" s="230">
        <v>222537</v>
      </c>
      <c r="EI224" s="229">
        <v>-4.9399999999999999E-2</v>
      </c>
      <c r="EJ224" s="229">
        <v>0.59209999999999996</v>
      </c>
      <c r="EK224" s="228">
        <v>128.18</v>
      </c>
      <c r="EL224" s="228">
        <v>103.07</v>
      </c>
      <c r="EM224" s="228">
        <v>47.73</v>
      </c>
      <c r="EN224" s="228">
        <v>0</v>
      </c>
      <c r="EO224" s="228">
        <v>278.98</v>
      </c>
      <c r="EP224" s="228">
        <v>332.01</v>
      </c>
      <c r="EQ224" s="228">
        <v>-53.02</v>
      </c>
      <c r="ER224" s="229">
        <v>-0.15970000000000001</v>
      </c>
      <c r="ES224" s="228">
        <v>212.66</v>
      </c>
      <c r="ET224" s="228">
        <v>73.78</v>
      </c>
      <c r="EU224" s="228">
        <v>292.61</v>
      </c>
      <c r="EV224" s="231">
        <v>35881800</v>
      </c>
      <c r="EW224" s="228">
        <v>579.04</v>
      </c>
      <c r="EX224" s="228">
        <v>588.39</v>
      </c>
      <c r="EY224" s="228">
        <v>-9.35</v>
      </c>
      <c r="EZ224" s="229">
        <v>-1.5900000000000001E-2</v>
      </c>
      <c r="FA224" s="229">
        <v>0.14729999999999999</v>
      </c>
      <c r="FB224" s="227" t="s">
        <v>568</v>
      </c>
      <c r="FC224">
        <f t="shared" si="4"/>
        <v>0</v>
      </c>
    </row>
    <row r="225" spans="1:159" ht="17.25" thickBot="1" x14ac:dyDescent="0.3">
      <c r="A225" s="226">
        <v>45860</v>
      </c>
      <c r="B225" s="227" t="s">
        <v>498</v>
      </c>
      <c r="C225" s="227" t="s">
        <v>303</v>
      </c>
      <c r="D225" s="228">
        <v>1355</v>
      </c>
      <c r="E225" s="228">
        <v>9</v>
      </c>
      <c r="F225" s="228">
        <v>725.1</v>
      </c>
      <c r="G225" s="228">
        <v>715.6</v>
      </c>
      <c r="H225" s="228">
        <v>9.5</v>
      </c>
      <c r="I225" s="229">
        <v>1.3299999999999999E-2</v>
      </c>
      <c r="J225" s="228">
        <v>722.85</v>
      </c>
      <c r="K225" s="228">
        <v>713.75</v>
      </c>
      <c r="L225" s="228">
        <v>9.1</v>
      </c>
      <c r="M225" s="229">
        <v>1.2699999999999999E-2</v>
      </c>
      <c r="N225" s="228">
        <v>725.1</v>
      </c>
      <c r="O225" s="228">
        <v>715.6</v>
      </c>
      <c r="P225" s="228">
        <v>9.5</v>
      </c>
      <c r="Q225" s="229">
        <v>1.3299999999999999E-2</v>
      </c>
      <c r="R225" s="228">
        <v>727.45</v>
      </c>
      <c r="S225" s="228">
        <v>717.5</v>
      </c>
      <c r="T225" s="228">
        <v>9.9499999999999993</v>
      </c>
      <c r="U225" s="229">
        <v>1.3899999999999999E-2</v>
      </c>
      <c r="V225" s="228">
        <v>0</v>
      </c>
      <c r="W225" s="228">
        <v>0</v>
      </c>
      <c r="X225" s="228">
        <v>0</v>
      </c>
      <c r="Y225" s="229">
        <v>0</v>
      </c>
      <c r="Z225" s="228">
        <v>2.25</v>
      </c>
      <c r="AA225" s="228">
        <v>1.85</v>
      </c>
      <c r="AB225" s="228">
        <v>0.4</v>
      </c>
      <c r="AC225" s="229">
        <v>3.0999999999999999E-3</v>
      </c>
      <c r="AD225" s="228">
        <v>2.25</v>
      </c>
      <c r="AE225" s="228">
        <v>1.85</v>
      </c>
      <c r="AF225" s="228">
        <v>0.4</v>
      </c>
      <c r="AG225" s="229">
        <v>3.0999999999999999E-3</v>
      </c>
      <c r="AH225" s="228">
        <v>4.5999999999999996</v>
      </c>
      <c r="AI225" s="228">
        <v>3.75</v>
      </c>
      <c r="AJ225" s="228">
        <v>0.85</v>
      </c>
      <c r="AK225" s="229">
        <v>6.4000000000000003E-3</v>
      </c>
      <c r="AL225" s="228">
        <v>0</v>
      </c>
      <c r="AM225" s="228">
        <v>0</v>
      </c>
      <c r="AN225" s="228">
        <v>0</v>
      </c>
      <c r="AO225" s="229">
        <v>0</v>
      </c>
      <c r="AP225" s="228">
        <v>723.21</v>
      </c>
      <c r="AQ225" s="228">
        <v>726.36</v>
      </c>
      <c r="AR225" s="228">
        <v>0</v>
      </c>
      <c r="AS225" s="228">
        <v>989</v>
      </c>
      <c r="AT225" s="228">
        <v>934</v>
      </c>
      <c r="AU225" s="228">
        <v>56</v>
      </c>
      <c r="AV225" s="229">
        <v>5.96E-2</v>
      </c>
      <c r="AW225" s="228">
        <v>779</v>
      </c>
      <c r="AX225" s="228">
        <v>791</v>
      </c>
      <c r="AY225" s="228">
        <v>-12</v>
      </c>
      <c r="AZ225" s="229">
        <v>-1.5800000000000002E-2</v>
      </c>
      <c r="BA225" s="228">
        <v>198</v>
      </c>
      <c r="BB225" s="228">
        <v>130</v>
      </c>
      <c r="BC225" s="228">
        <v>67</v>
      </c>
      <c r="BD225" s="229">
        <v>0.5181</v>
      </c>
      <c r="BE225" s="228">
        <v>0</v>
      </c>
      <c r="BF225" s="228">
        <v>0</v>
      </c>
      <c r="BG225" s="228">
        <v>0</v>
      </c>
      <c r="BH225" s="229">
        <v>0</v>
      </c>
      <c r="BI225" s="230">
        <v>3958</v>
      </c>
      <c r="BJ225" s="230">
        <v>6164</v>
      </c>
      <c r="BK225" s="230">
        <v>-2206</v>
      </c>
      <c r="BL225" s="229">
        <v>-0.3579</v>
      </c>
      <c r="BM225" s="230">
        <v>1633</v>
      </c>
      <c r="BN225" s="230">
        <v>2007</v>
      </c>
      <c r="BO225" s="228">
        <v>-375</v>
      </c>
      <c r="BP225" s="229">
        <v>-0.18659999999999999</v>
      </c>
      <c r="BQ225" s="230">
        <v>6580</v>
      </c>
      <c r="BR225" s="230">
        <v>9105</v>
      </c>
      <c r="BS225" s="230">
        <v>-2525</v>
      </c>
      <c r="BT225" s="229">
        <v>-0.27729999999999999</v>
      </c>
      <c r="BU225" s="230">
        <v>4268059</v>
      </c>
      <c r="BV225" s="230">
        <v>8341815</v>
      </c>
      <c r="BW225" s="230">
        <v>-4073756</v>
      </c>
      <c r="BX225" s="229">
        <v>-0.4884</v>
      </c>
      <c r="BY225" s="230">
        <v>2605</v>
      </c>
      <c r="BZ225" s="230">
        <v>2650</v>
      </c>
      <c r="CA225" s="228">
        <v>-45</v>
      </c>
      <c r="CB225" s="229">
        <v>-1.7000000000000001E-2</v>
      </c>
      <c r="CC225" s="230">
        <v>2220</v>
      </c>
      <c r="CD225" s="230">
        <v>2294</v>
      </c>
      <c r="CE225" s="228">
        <v>-75</v>
      </c>
      <c r="CF225" s="229">
        <v>-3.2500000000000001E-2</v>
      </c>
      <c r="CG225" s="228">
        <v>369</v>
      </c>
      <c r="CH225" s="228">
        <v>342</v>
      </c>
      <c r="CI225" s="228">
        <v>27</v>
      </c>
      <c r="CJ225" s="229">
        <v>7.9299999999999995E-2</v>
      </c>
      <c r="CK225" s="228">
        <v>0</v>
      </c>
      <c r="CL225" s="228">
        <v>0</v>
      </c>
      <c r="CM225" s="228">
        <v>0</v>
      </c>
      <c r="CN225" s="229">
        <v>0</v>
      </c>
      <c r="CO225" s="230">
        <v>1171</v>
      </c>
      <c r="CP225" s="230">
        <v>1199</v>
      </c>
      <c r="CQ225" s="228">
        <v>-28</v>
      </c>
      <c r="CR225" s="229">
        <v>-2.3099999999999999E-2</v>
      </c>
      <c r="CS225" s="228">
        <v>918</v>
      </c>
      <c r="CT225" s="228">
        <v>854</v>
      </c>
      <c r="CU225" s="228">
        <v>64</v>
      </c>
      <c r="CV225" s="229">
        <v>7.4700000000000003E-2</v>
      </c>
      <c r="CW225" s="230">
        <v>4693</v>
      </c>
      <c r="CX225" s="230">
        <v>4702</v>
      </c>
      <c r="CY225" s="228">
        <v>-9</v>
      </c>
      <c r="CZ225" s="229">
        <v>-1.9E-3</v>
      </c>
      <c r="DA225" s="228">
        <v>27.77</v>
      </c>
      <c r="DB225" s="228">
        <v>27.1</v>
      </c>
      <c r="DC225" s="228">
        <v>0.67</v>
      </c>
      <c r="DD225" s="228">
        <v>0.67</v>
      </c>
      <c r="DE225" s="228">
        <v>34.409999999999997</v>
      </c>
      <c r="DF225" s="228">
        <v>34.450000000000003</v>
      </c>
      <c r="DG225" s="228">
        <v>-6.64</v>
      </c>
      <c r="DH225" s="228">
        <v>-0.04</v>
      </c>
      <c r="DI225" s="228">
        <v>27.42</v>
      </c>
      <c r="DJ225" s="228">
        <v>26.6</v>
      </c>
      <c r="DK225" s="228">
        <v>0.82</v>
      </c>
      <c r="DL225" s="228">
        <v>0.82</v>
      </c>
      <c r="DM225" s="228">
        <v>28.62</v>
      </c>
      <c r="DN225" s="228">
        <v>28.63</v>
      </c>
      <c r="DO225" s="228">
        <v>-0.01</v>
      </c>
      <c r="DP225" s="228">
        <v>-0.01</v>
      </c>
      <c r="DQ225" s="228">
        <v>0.78</v>
      </c>
      <c r="DR225" s="228">
        <v>0.71</v>
      </c>
      <c r="DS225" s="228">
        <v>7.0000000000000007E-2</v>
      </c>
      <c r="DT225" s="229">
        <v>9.8599999999999993E-2</v>
      </c>
      <c r="DU225" s="228">
        <v>700</v>
      </c>
      <c r="DV225" s="228">
        <v>700</v>
      </c>
      <c r="DW225" s="228">
        <v>0.41</v>
      </c>
      <c r="DX225" s="228">
        <v>0.33</v>
      </c>
      <c r="DY225" s="228">
        <v>0.08</v>
      </c>
      <c r="DZ225" s="229">
        <v>0.2424</v>
      </c>
      <c r="EA225" s="229">
        <v>0.14169999999999999</v>
      </c>
      <c r="EB225" s="230">
        <v>4716755</v>
      </c>
      <c r="EC225" s="229">
        <v>3.2000000000000002E-3</v>
      </c>
      <c r="ED225" s="229">
        <v>0.14169999999999999</v>
      </c>
      <c r="EE225" s="228">
        <v>3.15</v>
      </c>
      <c r="EF225" s="229">
        <v>4.4000000000000003E-3</v>
      </c>
      <c r="EG225" s="230">
        <v>1714836</v>
      </c>
      <c r="EH225" s="230">
        <v>4019910</v>
      </c>
      <c r="EI225" s="229">
        <v>-0.57340000000000002</v>
      </c>
      <c r="EJ225" s="229">
        <v>0.40179999999999999</v>
      </c>
      <c r="EK225" s="231">
        <v>4076.38</v>
      </c>
      <c r="EL225" s="231">
        <v>1595.34</v>
      </c>
      <c r="EM225" s="228">
        <v>987.57</v>
      </c>
      <c r="EN225" s="228">
        <v>0</v>
      </c>
      <c r="EO225" s="231">
        <v>6659.29</v>
      </c>
      <c r="EP225" s="231">
        <v>9033.27</v>
      </c>
      <c r="EQ225" s="231">
        <v>-2373.98</v>
      </c>
      <c r="ER225" s="229">
        <v>-0.26279999999999998</v>
      </c>
      <c r="ES225" s="231">
        <v>1132.57</v>
      </c>
      <c r="ET225" s="228">
        <v>854.26</v>
      </c>
      <c r="EU225" s="231">
        <v>2606.11</v>
      </c>
      <c r="EV225" s="231">
        <v>112299677</v>
      </c>
      <c r="EW225" s="231">
        <v>4592.9399999999996</v>
      </c>
      <c r="EX225" s="231">
        <v>4552.46</v>
      </c>
      <c r="EY225" s="228">
        <v>40.479999999999997</v>
      </c>
      <c r="EZ225" s="229">
        <v>8.8999999999999999E-3</v>
      </c>
      <c r="FA225" s="229">
        <v>0.57640000000000002</v>
      </c>
      <c r="FB225" s="227" t="s">
        <v>556</v>
      </c>
      <c r="FC225">
        <f t="shared" si="4"/>
        <v>0</v>
      </c>
    </row>
    <row r="226" spans="1:159" ht="17.25" thickBot="1" x14ac:dyDescent="0.3">
      <c r="A226" s="226">
        <v>45860</v>
      </c>
      <c r="B226" s="227" t="s">
        <v>168</v>
      </c>
      <c r="C226" s="227" t="s">
        <v>587</v>
      </c>
      <c r="D226" s="228">
        <v>1025</v>
      </c>
      <c r="E226" s="228">
        <v>9</v>
      </c>
      <c r="F226" s="228">
        <v>485.45</v>
      </c>
      <c r="G226" s="228">
        <v>489.65</v>
      </c>
      <c r="H226" s="228">
        <v>-4.2</v>
      </c>
      <c r="I226" s="229">
        <v>-8.6E-3</v>
      </c>
      <c r="J226" s="228">
        <v>485.25</v>
      </c>
      <c r="K226" s="228">
        <v>489.3</v>
      </c>
      <c r="L226" s="228">
        <v>-4.05</v>
      </c>
      <c r="M226" s="229">
        <v>-8.3000000000000001E-3</v>
      </c>
      <c r="N226" s="228">
        <v>485.45</v>
      </c>
      <c r="O226" s="228">
        <v>489.65</v>
      </c>
      <c r="P226" s="228">
        <v>-4.2</v>
      </c>
      <c r="Q226" s="229">
        <v>-8.6E-3</v>
      </c>
      <c r="R226" s="228">
        <v>487.35</v>
      </c>
      <c r="S226" s="228">
        <v>491.6</v>
      </c>
      <c r="T226" s="228">
        <v>-4.25</v>
      </c>
      <c r="U226" s="229">
        <v>-8.6E-3</v>
      </c>
      <c r="V226" s="228">
        <v>0</v>
      </c>
      <c r="W226" s="228">
        <v>0</v>
      </c>
      <c r="X226" s="228">
        <v>0</v>
      </c>
      <c r="Y226" s="229">
        <v>0</v>
      </c>
      <c r="Z226" s="228">
        <v>0.2</v>
      </c>
      <c r="AA226" s="228">
        <v>0.35</v>
      </c>
      <c r="AB226" s="228">
        <v>-0.15</v>
      </c>
      <c r="AC226" s="229">
        <v>4.0000000000000002E-4</v>
      </c>
      <c r="AD226" s="228">
        <v>0.2</v>
      </c>
      <c r="AE226" s="228">
        <v>0.35</v>
      </c>
      <c r="AF226" s="228">
        <v>-0.15</v>
      </c>
      <c r="AG226" s="229">
        <v>4.0000000000000002E-4</v>
      </c>
      <c r="AH226" s="228">
        <v>2.1</v>
      </c>
      <c r="AI226" s="228">
        <v>2.2999999999999998</v>
      </c>
      <c r="AJ226" s="228">
        <v>-0.2</v>
      </c>
      <c r="AK226" s="229">
        <v>4.3E-3</v>
      </c>
      <c r="AL226" s="228">
        <v>0</v>
      </c>
      <c r="AM226" s="228">
        <v>0</v>
      </c>
      <c r="AN226" s="228">
        <v>0</v>
      </c>
      <c r="AO226" s="229">
        <v>0</v>
      </c>
      <c r="AP226" s="228">
        <v>485.51</v>
      </c>
      <c r="AQ226" s="228">
        <v>487.42</v>
      </c>
      <c r="AR226" s="228">
        <v>0</v>
      </c>
      <c r="AS226" s="228">
        <v>201</v>
      </c>
      <c r="AT226" s="228">
        <v>286</v>
      </c>
      <c r="AU226" s="228">
        <v>-85</v>
      </c>
      <c r="AV226" s="229">
        <v>-0.29630000000000001</v>
      </c>
      <c r="AW226" s="228">
        <v>171</v>
      </c>
      <c r="AX226" s="228">
        <v>245</v>
      </c>
      <c r="AY226" s="228">
        <v>-73</v>
      </c>
      <c r="AZ226" s="229">
        <v>-0.30030000000000001</v>
      </c>
      <c r="BA226" s="228">
        <v>27</v>
      </c>
      <c r="BB226" s="228">
        <v>37</v>
      </c>
      <c r="BC226" s="228">
        <v>-10</v>
      </c>
      <c r="BD226" s="229">
        <v>-0.26900000000000002</v>
      </c>
      <c r="BE226" s="228">
        <v>0</v>
      </c>
      <c r="BF226" s="228">
        <v>0</v>
      </c>
      <c r="BG226" s="228">
        <v>0</v>
      </c>
      <c r="BH226" s="229">
        <v>0</v>
      </c>
      <c r="BI226" s="228">
        <v>309</v>
      </c>
      <c r="BJ226" s="228">
        <v>720</v>
      </c>
      <c r="BK226" s="228">
        <v>-410</v>
      </c>
      <c r="BL226" s="229">
        <v>-0.57020000000000004</v>
      </c>
      <c r="BM226" s="228">
        <v>172</v>
      </c>
      <c r="BN226" s="228">
        <v>331</v>
      </c>
      <c r="BO226" s="228">
        <v>-159</v>
      </c>
      <c r="BP226" s="229">
        <v>-0.48130000000000001</v>
      </c>
      <c r="BQ226" s="228">
        <v>682</v>
      </c>
      <c r="BR226" s="230">
        <v>1336</v>
      </c>
      <c r="BS226" s="228">
        <v>-654</v>
      </c>
      <c r="BT226" s="229">
        <v>-0.48959999999999998</v>
      </c>
      <c r="BU226" s="230">
        <v>4505643</v>
      </c>
      <c r="BV226" s="230">
        <v>5298220</v>
      </c>
      <c r="BW226" s="230">
        <v>-792577</v>
      </c>
      <c r="BX226" s="229">
        <v>-0.14960000000000001</v>
      </c>
      <c r="BY226" s="230">
        <v>1907</v>
      </c>
      <c r="BZ226" s="230">
        <v>1950</v>
      </c>
      <c r="CA226" s="228">
        <v>-43</v>
      </c>
      <c r="CB226" s="229">
        <v>-2.1899999999999999E-2</v>
      </c>
      <c r="CC226" s="230">
        <v>1759</v>
      </c>
      <c r="CD226" s="230">
        <v>1810</v>
      </c>
      <c r="CE226" s="228">
        <v>-51</v>
      </c>
      <c r="CF226" s="229">
        <v>-2.8299999999999999E-2</v>
      </c>
      <c r="CG226" s="228">
        <v>132</v>
      </c>
      <c r="CH226" s="228">
        <v>124</v>
      </c>
      <c r="CI226" s="228">
        <v>7</v>
      </c>
      <c r="CJ226" s="229">
        <v>5.96E-2</v>
      </c>
      <c r="CK226" s="228">
        <v>0</v>
      </c>
      <c r="CL226" s="228">
        <v>0</v>
      </c>
      <c r="CM226" s="228">
        <v>0</v>
      </c>
      <c r="CN226" s="229">
        <v>0</v>
      </c>
      <c r="CO226" s="228">
        <v>981</v>
      </c>
      <c r="CP226" s="228">
        <v>989</v>
      </c>
      <c r="CQ226" s="228">
        <v>-8</v>
      </c>
      <c r="CR226" s="229">
        <v>-8.2000000000000007E-3</v>
      </c>
      <c r="CS226" s="228">
        <v>434</v>
      </c>
      <c r="CT226" s="228">
        <v>431</v>
      </c>
      <c r="CU226" s="228">
        <v>3</v>
      </c>
      <c r="CV226" s="229">
        <v>7.1999999999999998E-3</v>
      </c>
      <c r="CW226" s="230">
        <v>3322</v>
      </c>
      <c r="CX226" s="230">
        <v>3370</v>
      </c>
      <c r="CY226" s="228">
        <v>-48</v>
      </c>
      <c r="CZ226" s="229">
        <v>-1.4200000000000001E-2</v>
      </c>
      <c r="DA226" s="228">
        <v>25.9</v>
      </c>
      <c r="DB226" s="228">
        <v>26.85</v>
      </c>
      <c r="DC226" s="228">
        <v>-0.95</v>
      </c>
      <c r="DD226" s="228">
        <v>-0.95</v>
      </c>
      <c r="DE226" s="228">
        <v>40.659999999999997</v>
      </c>
      <c r="DF226" s="228">
        <v>40.75</v>
      </c>
      <c r="DG226" s="228">
        <v>-14.76</v>
      </c>
      <c r="DH226" s="228">
        <v>-0.09</v>
      </c>
      <c r="DI226" s="228">
        <v>26.18</v>
      </c>
      <c r="DJ226" s="228">
        <v>26.91</v>
      </c>
      <c r="DK226" s="228">
        <v>-0.73</v>
      </c>
      <c r="DL226" s="228">
        <v>-0.73</v>
      </c>
      <c r="DM226" s="228">
        <v>25.41</v>
      </c>
      <c r="DN226" s="228">
        <v>26.72</v>
      </c>
      <c r="DO226" s="228">
        <v>-1.31</v>
      </c>
      <c r="DP226" s="228">
        <v>-1.31</v>
      </c>
      <c r="DQ226" s="228">
        <v>0.44</v>
      </c>
      <c r="DR226" s="228">
        <v>0.44</v>
      </c>
      <c r="DS226" s="228">
        <v>0</v>
      </c>
      <c r="DT226" s="229">
        <v>0</v>
      </c>
      <c r="DU226" s="228">
        <v>480</v>
      </c>
      <c r="DV226" s="228">
        <v>490</v>
      </c>
      <c r="DW226" s="228">
        <v>0.55000000000000004</v>
      </c>
      <c r="DX226" s="228">
        <v>0.46</v>
      </c>
      <c r="DY226" s="228">
        <v>0.09</v>
      </c>
      <c r="DZ226" s="229">
        <v>0.19570000000000001</v>
      </c>
      <c r="EA226" s="229">
        <v>6.9099999999999995E-2</v>
      </c>
      <c r="EB226" s="230">
        <v>2563525</v>
      </c>
      <c r="EC226" s="229">
        <v>3.8999999999999998E-3</v>
      </c>
      <c r="ED226" s="229">
        <v>6.9099999999999995E-2</v>
      </c>
      <c r="EE226" s="228">
        <v>1.91</v>
      </c>
      <c r="EF226" s="229">
        <v>3.8999999999999998E-3</v>
      </c>
      <c r="EG226" s="230">
        <v>3197839</v>
      </c>
      <c r="EH226" s="230">
        <v>3593159</v>
      </c>
      <c r="EI226" s="229">
        <v>-0.11</v>
      </c>
      <c r="EJ226" s="229">
        <v>0.7097</v>
      </c>
      <c r="EK226" s="228">
        <v>320.85000000000002</v>
      </c>
      <c r="EL226" s="228">
        <v>170.04</v>
      </c>
      <c r="EM226" s="228">
        <v>201.08</v>
      </c>
      <c r="EN226" s="228">
        <v>0</v>
      </c>
      <c r="EO226" s="228">
        <v>691.97</v>
      </c>
      <c r="EP226" s="231">
        <v>1362.64</v>
      </c>
      <c r="EQ226" s="228">
        <v>-670.66</v>
      </c>
      <c r="ER226" s="229">
        <v>-0.49220000000000003</v>
      </c>
      <c r="ES226" s="228">
        <v>989.84</v>
      </c>
      <c r="ET226" s="228">
        <v>418.7</v>
      </c>
      <c r="EU226" s="231">
        <v>1907.78</v>
      </c>
      <c r="EV226" s="231">
        <v>268960013</v>
      </c>
      <c r="EW226" s="231">
        <v>3316.32</v>
      </c>
      <c r="EX226" s="231">
        <v>3380.66</v>
      </c>
      <c r="EY226" s="228">
        <v>-64.34</v>
      </c>
      <c r="EZ226" s="229">
        <v>-1.9E-2</v>
      </c>
      <c r="FA226" s="229">
        <v>0.2545</v>
      </c>
      <c r="FB226" s="227" t="s">
        <v>568</v>
      </c>
      <c r="FC226">
        <f t="shared" si="4"/>
        <v>0</v>
      </c>
    </row>
    <row r="227" spans="1:159" ht="17.25" thickBot="1" x14ac:dyDescent="0.3">
      <c r="A227" s="226">
        <v>45860</v>
      </c>
      <c r="B227" s="227" t="s">
        <v>227</v>
      </c>
      <c r="C227" s="227" t="s">
        <v>304</v>
      </c>
      <c r="D227" s="228">
        <v>1150</v>
      </c>
      <c r="E227" s="228">
        <v>9</v>
      </c>
      <c r="F227" s="228">
        <v>452</v>
      </c>
      <c r="G227" s="228">
        <v>455.15</v>
      </c>
      <c r="H227" s="228">
        <v>-3.15</v>
      </c>
      <c r="I227" s="229">
        <v>-6.8999999999999999E-3</v>
      </c>
      <c r="J227" s="228">
        <v>450.6</v>
      </c>
      <c r="K227" s="228">
        <v>453.85</v>
      </c>
      <c r="L227" s="228">
        <v>-3.25</v>
      </c>
      <c r="M227" s="229">
        <v>-7.1999999999999998E-3</v>
      </c>
      <c r="N227" s="228">
        <v>452</v>
      </c>
      <c r="O227" s="228">
        <v>455.15</v>
      </c>
      <c r="P227" s="228">
        <v>-3.15</v>
      </c>
      <c r="Q227" s="229">
        <v>-6.8999999999999999E-3</v>
      </c>
      <c r="R227" s="228">
        <v>454.1</v>
      </c>
      <c r="S227" s="228">
        <v>457.5</v>
      </c>
      <c r="T227" s="228">
        <v>-3.4</v>
      </c>
      <c r="U227" s="229">
        <v>-7.4000000000000003E-3</v>
      </c>
      <c r="V227" s="228">
        <v>0</v>
      </c>
      <c r="W227" s="228">
        <v>0</v>
      </c>
      <c r="X227" s="228">
        <v>0</v>
      </c>
      <c r="Y227" s="229">
        <v>0</v>
      </c>
      <c r="Z227" s="228">
        <v>1.4</v>
      </c>
      <c r="AA227" s="228">
        <v>1.3</v>
      </c>
      <c r="AB227" s="228">
        <v>0.1</v>
      </c>
      <c r="AC227" s="229">
        <v>3.0999999999999999E-3</v>
      </c>
      <c r="AD227" s="228">
        <v>1.4</v>
      </c>
      <c r="AE227" s="228">
        <v>1.3</v>
      </c>
      <c r="AF227" s="228">
        <v>0.1</v>
      </c>
      <c r="AG227" s="229">
        <v>3.0999999999999999E-3</v>
      </c>
      <c r="AH227" s="228">
        <v>3.5</v>
      </c>
      <c r="AI227" s="228">
        <v>3.65</v>
      </c>
      <c r="AJ227" s="228">
        <v>-0.15</v>
      </c>
      <c r="AK227" s="229">
        <v>7.7999999999999996E-3</v>
      </c>
      <c r="AL227" s="228">
        <v>0</v>
      </c>
      <c r="AM227" s="228">
        <v>0</v>
      </c>
      <c r="AN227" s="228">
        <v>0</v>
      </c>
      <c r="AO227" s="229">
        <v>0</v>
      </c>
      <c r="AP227" s="228">
        <v>454.35</v>
      </c>
      <c r="AQ227" s="228">
        <v>456.38</v>
      </c>
      <c r="AR227" s="228">
        <v>0</v>
      </c>
      <c r="AS227" s="228">
        <v>258</v>
      </c>
      <c r="AT227" s="228">
        <v>672</v>
      </c>
      <c r="AU227" s="228">
        <v>-414</v>
      </c>
      <c r="AV227" s="229">
        <v>-0.61660000000000004</v>
      </c>
      <c r="AW227" s="228">
        <v>209</v>
      </c>
      <c r="AX227" s="228">
        <v>532</v>
      </c>
      <c r="AY227" s="228">
        <v>-323</v>
      </c>
      <c r="AZ227" s="229">
        <v>-0.60729999999999995</v>
      </c>
      <c r="BA227" s="228">
        <v>46</v>
      </c>
      <c r="BB227" s="228">
        <v>132</v>
      </c>
      <c r="BC227" s="228">
        <v>-87</v>
      </c>
      <c r="BD227" s="229">
        <v>-0.65559999999999996</v>
      </c>
      <c r="BE227" s="228">
        <v>0</v>
      </c>
      <c r="BF227" s="228">
        <v>0</v>
      </c>
      <c r="BG227" s="228">
        <v>0</v>
      </c>
      <c r="BH227" s="229">
        <v>0</v>
      </c>
      <c r="BI227" s="228">
        <v>752</v>
      </c>
      <c r="BJ227" s="230">
        <v>1454</v>
      </c>
      <c r="BK227" s="228">
        <v>-702</v>
      </c>
      <c r="BL227" s="229">
        <v>-0.48270000000000002</v>
      </c>
      <c r="BM227" s="228">
        <v>676</v>
      </c>
      <c r="BN227" s="228">
        <v>886</v>
      </c>
      <c r="BO227" s="228">
        <v>-210</v>
      </c>
      <c r="BP227" s="229">
        <v>-0.2366</v>
      </c>
      <c r="BQ227" s="230">
        <v>1686</v>
      </c>
      <c r="BR227" s="230">
        <v>3012</v>
      </c>
      <c r="BS227" s="230">
        <v>-1326</v>
      </c>
      <c r="BT227" s="229">
        <v>-0.44019999999999998</v>
      </c>
      <c r="BU227" s="230">
        <v>3011612</v>
      </c>
      <c r="BV227" s="230">
        <v>6669788</v>
      </c>
      <c r="BW227" s="230">
        <v>-3658176</v>
      </c>
      <c r="BX227" s="229">
        <v>-0.54849999999999999</v>
      </c>
      <c r="BY227" s="230">
        <v>3774</v>
      </c>
      <c r="BZ227" s="230">
        <v>3801</v>
      </c>
      <c r="CA227" s="228">
        <v>-27</v>
      </c>
      <c r="CB227" s="229">
        <v>-7.1999999999999998E-3</v>
      </c>
      <c r="CC227" s="230">
        <v>3430</v>
      </c>
      <c r="CD227" s="230">
        <v>3479</v>
      </c>
      <c r="CE227" s="228">
        <v>-48</v>
      </c>
      <c r="CF227" s="229">
        <v>-1.3899999999999999E-2</v>
      </c>
      <c r="CG227" s="228">
        <v>313</v>
      </c>
      <c r="CH227" s="228">
        <v>292</v>
      </c>
      <c r="CI227" s="228">
        <v>21</v>
      </c>
      <c r="CJ227" s="229">
        <v>7.1400000000000005E-2</v>
      </c>
      <c r="CK227" s="228">
        <v>0</v>
      </c>
      <c r="CL227" s="228">
        <v>0</v>
      </c>
      <c r="CM227" s="228">
        <v>0</v>
      </c>
      <c r="CN227" s="229">
        <v>0</v>
      </c>
      <c r="CO227" s="230">
        <v>1430</v>
      </c>
      <c r="CP227" s="230">
        <v>1442</v>
      </c>
      <c r="CQ227" s="228">
        <v>-12</v>
      </c>
      <c r="CR227" s="229">
        <v>-8.0999999999999996E-3</v>
      </c>
      <c r="CS227" s="230">
        <v>1427</v>
      </c>
      <c r="CT227" s="230">
        <v>1524</v>
      </c>
      <c r="CU227" s="228">
        <v>-97</v>
      </c>
      <c r="CV227" s="229">
        <v>-6.3399999999999998E-2</v>
      </c>
      <c r="CW227" s="230">
        <v>6631</v>
      </c>
      <c r="CX227" s="230">
        <v>6767</v>
      </c>
      <c r="CY227" s="228">
        <v>-135</v>
      </c>
      <c r="CZ227" s="229">
        <v>-0.02</v>
      </c>
      <c r="DA227" s="228">
        <v>33.01</v>
      </c>
      <c r="DB227" s="228">
        <v>31.46</v>
      </c>
      <c r="DC227" s="228">
        <v>1.55</v>
      </c>
      <c r="DD227" s="228">
        <v>1.55</v>
      </c>
      <c r="DE227" s="228">
        <v>41.15</v>
      </c>
      <c r="DF227" s="228">
        <v>41.24</v>
      </c>
      <c r="DG227" s="228">
        <v>-8.14</v>
      </c>
      <c r="DH227" s="228">
        <v>-0.09</v>
      </c>
      <c r="DI227" s="228">
        <v>29.85</v>
      </c>
      <c r="DJ227" s="228">
        <v>29.04</v>
      </c>
      <c r="DK227" s="228">
        <v>0.81</v>
      </c>
      <c r="DL227" s="228">
        <v>0.81</v>
      </c>
      <c r="DM227" s="228">
        <v>36.54</v>
      </c>
      <c r="DN227" s="228">
        <v>35.43</v>
      </c>
      <c r="DO227" s="228">
        <v>1.1100000000000001</v>
      </c>
      <c r="DP227" s="228">
        <v>1.1100000000000001</v>
      </c>
      <c r="DQ227" s="228">
        <v>1</v>
      </c>
      <c r="DR227" s="228">
        <v>1.06</v>
      </c>
      <c r="DS227" s="228">
        <v>-0.06</v>
      </c>
      <c r="DT227" s="229">
        <v>-5.6599999999999998E-2</v>
      </c>
      <c r="DU227" s="228">
        <v>480</v>
      </c>
      <c r="DV227" s="228">
        <v>430</v>
      </c>
      <c r="DW227" s="228">
        <v>0.9</v>
      </c>
      <c r="DX227" s="228">
        <v>0.61</v>
      </c>
      <c r="DY227" s="228">
        <v>0.28999999999999998</v>
      </c>
      <c r="DZ227" s="229">
        <v>0.47539999999999999</v>
      </c>
      <c r="EA227" s="229">
        <v>8.2799999999999999E-2</v>
      </c>
      <c r="EB227" s="230">
        <v>6454950</v>
      </c>
      <c r="EC227" s="229">
        <v>4.5999999999999999E-3</v>
      </c>
      <c r="ED227" s="229">
        <v>8.2799999999999999E-2</v>
      </c>
      <c r="EE227" s="228">
        <v>2.0299999999999998</v>
      </c>
      <c r="EF227" s="229">
        <v>4.4999999999999997E-3</v>
      </c>
      <c r="EG227" s="230">
        <v>1418800</v>
      </c>
      <c r="EH227" s="230">
        <v>3096846</v>
      </c>
      <c r="EI227" s="229">
        <v>-0.54190000000000005</v>
      </c>
      <c r="EJ227" s="229">
        <v>0.47110000000000002</v>
      </c>
      <c r="EK227" s="228">
        <v>787.32</v>
      </c>
      <c r="EL227" s="228">
        <v>654.99</v>
      </c>
      <c r="EM227" s="228">
        <v>259.24</v>
      </c>
      <c r="EN227" s="228">
        <v>0</v>
      </c>
      <c r="EO227" s="231">
        <v>1701.55</v>
      </c>
      <c r="EP227" s="231">
        <v>3057.71</v>
      </c>
      <c r="EQ227" s="231">
        <v>-1356.16</v>
      </c>
      <c r="ER227" s="229">
        <v>-0.44350000000000001</v>
      </c>
      <c r="ES227" s="231">
        <v>1494.81</v>
      </c>
      <c r="ET227" s="231">
        <v>1358.91</v>
      </c>
      <c r="EU227" s="231">
        <v>3775.85</v>
      </c>
      <c r="EV227" s="231">
        <v>340087358</v>
      </c>
      <c r="EW227" s="231">
        <v>6629.57</v>
      </c>
      <c r="EX227" s="231">
        <v>6786.1</v>
      </c>
      <c r="EY227" s="228">
        <v>-156.53</v>
      </c>
      <c r="EZ227" s="229">
        <v>-2.3099999999999999E-2</v>
      </c>
      <c r="FA227" s="229">
        <v>0.43140000000000001</v>
      </c>
      <c r="FB227" s="227" t="s">
        <v>568</v>
      </c>
      <c r="FC227">
        <f t="shared" si="4"/>
        <v>0</v>
      </c>
    </row>
    <row r="228" spans="1:159" ht="17.25" thickBot="1" x14ac:dyDescent="0.3">
      <c r="A228" s="226">
        <v>45860</v>
      </c>
      <c r="B228" s="227" t="s">
        <v>184</v>
      </c>
      <c r="C228" s="227" t="s">
        <v>305</v>
      </c>
      <c r="D228" s="228">
        <v>375</v>
      </c>
      <c r="E228" s="228">
        <v>9</v>
      </c>
      <c r="F228" s="231">
        <v>1350.5</v>
      </c>
      <c r="G228" s="231">
        <v>1384.4</v>
      </c>
      <c r="H228" s="228">
        <v>-33.9</v>
      </c>
      <c r="I228" s="229">
        <v>-2.4500000000000001E-2</v>
      </c>
      <c r="J228" s="231">
        <v>1357.4</v>
      </c>
      <c r="K228" s="231">
        <v>1385.7</v>
      </c>
      <c r="L228" s="228">
        <v>-28.3</v>
      </c>
      <c r="M228" s="229">
        <v>-2.0400000000000001E-2</v>
      </c>
      <c r="N228" s="231">
        <v>1350.5</v>
      </c>
      <c r="O228" s="231">
        <v>1384.4</v>
      </c>
      <c r="P228" s="228">
        <v>-33.9</v>
      </c>
      <c r="Q228" s="229">
        <v>-2.4500000000000001E-2</v>
      </c>
      <c r="R228" s="231">
        <v>1347</v>
      </c>
      <c r="S228" s="231">
        <v>1383.1</v>
      </c>
      <c r="T228" s="228">
        <v>-36.1</v>
      </c>
      <c r="U228" s="229">
        <v>-2.6100000000000002E-2</v>
      </c>
      <c r="V228" s="228">
        <v>0</v>
      </c>
      <c r="W228" s="228">
        <v>0</v>
      </c>
      <c r="X228" s="228">
        <v>0</v>
      </c>
      <c r="Y228" s="229">
        <v>0</v>
      </c>
      <c r="Z228" s="228">
        <v>-6.9</v>
      </c>
      <c r="AA228" s="228">
        <v>-1.3</v>
      </c>
      <c r="AB228" s="228">
        <v>-5.6</v>
      </c>
      <c r="AC228" s="229">
        <v>-5.1000000000000004E-3</v>
      </c>
      <c r="AD228" s="228">
        <v>-6.9</v>
      </c>
      <c r="AE228" s="228">
        <v>-1.3</v>
      </c>
      <c r="AF228" s="228">
        <v>-5.6</v>
      </c>
      <c r="AG228" s="229">
        <v>-5.1000000000000004E-3</v>
      </c>
      <c r="AH228" s="228">
        <v>-10.4</v>
      </c>
      <c r="AI228" s="228">
        <v>-2.6</v>
      </c>
      <c r="AJ228" s="228">
        <v>-7.8</v>
      </c>
      <c r="AK228" s="229">
        <v>-7.7000000000000002E-3</v>
      </c>
      <c r="AL228" s="228">
        <v>0</v>
      </c>
      <c r="AM228" s="228">
        <v>0</v>
      </c>
      <c r="AN228" s="228">
        <v>0</v>
      </c>
      <c r="AO228" s="229">
        <v>0</v>
      </c>
      <c r="AP228" s="231">
        <v>1351.36</v>
      </c>
      <c r="AQ228" s="231">
        <v>1347.38</v>
      </c>
      <c r="AR228" s="228">
        <v>0</v>
      </c>
      <c r="AS228" s="228">
        <v>536</v>
      </c>
      <c r="AT228" s="228">
        <v>150</v>
      </c>
      <c r="AU228" s="228">
        <v>387</v>
      </c>
      <c r="AV228" s="229">
        <v>2.5861999999999998</v>
      </c>
      <c r="AW228" s="228">
        <v>387</v>
      </c>
      <c r="AX228" s="228">
        <v>127</v>
      </c>
      <c r="AY228" s="228">
        <v>260</v>
      </c>
      <c r="AZ228" s="229">
        <v>2.0392999999999999</v>
      </c>
      <c r="BA228" s="228">
        <v>139</v>
      </c>
      <c r="BB228" s="228">
        <v>21</v>
      </c>
      <c r="BC228" s="228">
        <v>118</v>
      </c>
      <c r="BD228" s="229">
        <v>5.7389000000000001</v>
      </c>
      <c r="BE228" s="228">
        <v>0</v>
      </c>
      <c r="BF228" s="228">
        <v>0</v>
      </c>
      <c r="BG228" s="228">
        <v>0</v>
      </c>
      <c r="BH228" s="229">
        <v>0</v>
      </c>
      <c r="BI228" s="228">
        <v>984</v>
      </c>
      <c r="BJ228" s="228">
        <v>281</v>
      </c>
      <c r="BK228" s="228">
        <v>703</v>
      </c>
      <c r="BL228" s="229">
        <v>2.5026000000000002</v>
      </c>
      <c r="BM228" s="228">
        <v>625</v>
      </c>
      <c r="BN228" s="228">
        <v>158</v>
      </c>
      <c r="BO228" s="228">
        <v>467</v>
      </c>
      <c r="BP228" s="229">
        <v>2.9449999999999998</v>
      </c>
      <c r="BQ228" s="230">
        <v>2145</v>
      </c>
      <c r="BR228" s="228">
        <v>589</v>
      </c>
      <c r="BS228" s="230">
        <v>1556</v>
      </c>
      <c r="BT228" s="229">
        <v>2.6429</v>
      </c>
      <c r="BU228" s="230">
        <v>1733025</v>
      </c>
      <c r="BV228" s="230">
        <v>492346</v>
      </c>
      <c r="BW228" s="230">
        <v>1240679</v>
      </c>
      <c r="BX228" s="229">
        <v>2.5198999999999998</v>
      </c>
      <c r="BY228" s="230">
        <v>1641</v>
      </c>
      <c r="BZ228" s="230">
        <v>1533</v>
      </c>
      <c r="CA228" s="228">
        <v>108</v>
      </c>
      <c r="CB228" s="229">
        <v>7.0300000000000001E-2</v>
      </c>
      <c r="CC228" s="230">
        <v>1457</v>
      </c>
      <c r="CD228" s="230">
        <v>1425</v>
      </c>
      <c r="CE228" s="228">
        <v>32</v>
      </c>
      <c r="CF228" s="229">
        <v>2.24E-2</v>
      </c>
      <c r="CG228" s="228">
        <v>169</v>
      </c>
      <c r="CH228" s="228">
        <v>96</v>
      </c>
      <c r="CI228" s="228">
        <v>73</v>
      </c>
      <c r="CJ228" s="229">
        <v>0.75619999999999998</v>
      </c>
      <c r="CK228" s="228">
        <v>0</v>
      </c>
      <c r="CL228" s="228">
        <v>0</v>
      </c>
      <c r="CM228" s="228">
        <v>0</v>
      </c>
      <c r="CN228" s="229">
        <v>0</v>
      </c>
      <c r="CO228" s="228">
        <v>501</v>
      </c>
      <c r="CP228" s="228">
        <v>461</v>
      </c>
      <c r="CQ228" s="228">
        <v>40</v>
      </c>
      <c r="CR228" s="229">
        <v>8.6900000000000005E-2</v>
      </c>
      <c r="CS228" s="228">
        <v>377</v>
      </c>
      <c r="CT228" s="228">
        <v>400</v>
      </c>
      <c r="CU228" s="228">
        <v>-23</v>
      </c>
      <c r="CV228" s="229">
        <v>-5.8500000000000003E-2</v>
      </c>
      <c r="CW228" s="230">
        <v>2519</v>
      </c>
      <c r="CX228" s="230">
        <v>2395</v>
      </c>
      <c r="CY228" s="228">
        <v>125</v>
      </c>
      <c r="CZ228" s="229">
        <v>5.1999999999999998E-2</v>
      </c>
      <c r="DA228" s="228">
        <v>26.01</v>
      </c>
      <c r="DB228" s="228">
        <v>25.65</v>
      </c>
      <c r="DC228" s="228">
        <v>0.36</v>
      </c>
      <c r="DD228" s="228">
        <v>0.36</v>
      </c>
      <c r="DE228" s="228">
        <v>40.020000000000003</v>
      </c>
      <c r="DF228" s="228">
        <v>40.03</v>
      </c>
      <c r="DG228" s="228">
        <v>-14.01</v>
      </c>
      <c r="DH228" s="228">
        <v>-0.01</v>
      </c>
      <c r="DI228" s="228">
        <v>26.68</v>
      </c>
      <c r="DJ228" s="228">
        <v>25.11</v>
      </c>
      <c r="DK228" s="228">
        <v>1.57</v>
      </c>
      <c r="DL228" s="228">
        <v>1.57</v>
      </c>
      <c r="DM228" s="228">
        <v>24.96</v>
      </c>
      <c r="DN228" s="228">
        <v>26.62</v>
      </c>
      <c r="DO228" s="228">
        <v>-1.66</v>
      </c>
      <c r="DP228" s="228">
        <v>-1.66</v>
      </c>
      <c r="DQ228" s="228">
        <v>0.75</v>
      </c>
      <c r="DR228" s="228">
        <v>0.87</v>
      </c>
      <c r="DS228" s="228">
        <v>-0.12</v>
      </c>
      <c r="DT228" s="229">
        <v>-0.13789999999999999</v>
      </c>
      <c r="DU228" s="231">
        <v>1400</v>
      </c>
      <c r="DV228" s="231">
        <v>1300</v>
      </c>
      <c r="DW228" s="228">
        <v>0.64</v>
      </c>
      <c r="DX228" s="228">
        <v>0.56000000000000005</v>
      </c>
      <c r="DY228" s="228">
        <v>0.08</v>
      </c>
      <c r="DZ228" s="229">
        <v>0.1429</v>
      </c>
      <c r="EA228" s="229">
        <v>0.1027</v>
      </c>
      <c r="EB228" s="230">
        <v>710625</v>
      </c>
      <c r="EC228" s="229">
        <v>-2.5999999999999999E-3</v>
      </c>
      <c r="ED228" s="229">
        <v>0.1027</v>
      </c>
      <c r="EE228" s="228">
        <v>-3.98</v>
      </c>
      <c r="EF228" s="229">
        <v>-2.8999999999999998E-3</v>
      </c>
      <c r="EG228" s="230">
        <v>903477</v>
      </c>
      <c r="EH228" s="230">
        <v>258103</v>
      </c>
      <c r="EI228" s="229">
        <v>2.5005000000000002</v>
      </c>
      <c r="EJ228" s="229">
        <v>0.52129999999999999</v>
      </c>
      <c r="EK228" s="231">
        <v>1026.31</v>
      </c>
      <c r="EL228" s="228">
        <v>627.11</v>
      </c>
      <c r="EM228" s="228">
        <v>536.25</v>
      </c>
      <c r="EN228" s="228">
        <v>0</v>
      </c>
      <c r="EO228" s="231">
        <v>2189.6799999999998</v>
      </c>
      <c r="EP228" s="228">
        <v>609.9</v>
      </c>
      <c r="EQ228" s="231">
        <v>1579.77</v>
      </c>
      <c r="ER228" s="229">
        <v>2.5901999999999998</v>
      </c>
      <c r="ES228" s="228">
        <v>516.91</v>
      </c>
      <c r="ET228" s="228">
        <v>363.12</v>
      </c>
      <c r="EU228" s="231">
        <v>1640.8</v>
      </c>
      <c r="EV228" s="231">
        <v>46126252</v>
      </c>
      <c r="EW228" s="231">
        <v>2520.8200000000002</v>
      </c>
      <c r="EX228" s="231">
        <v>2436.0500000000002</v>
      </c>
      <c r="EY228" s="228">
        <v>84.77</v>
      </c>
      <c r="EZ228" s="229">
        <v>3.4799999999999998E-2</v>
      </c>
      <c r="FA228" s="229">
        <v>0.40450000000000003</v>
      </c>
      <c r="FB228" s="227" t="s">
        <v>567</v>
      </c>
      <c r="FC228">
        <f t="shared" si="4"/>
        <v>0</v>
      </c>
    </row>
    <row r="229" spans="1:159" ht="17.25" thickBot="1" x14ac:dyDescent="0.3">
      <c r="A229" s="226">
        <v>45860</v>
      </c>
      <c r="B229" s="227" t="s">
        <v>221</v>
      </c>
      <c r="C229" s="227" t="s">
        <v>306</v>
      </c>
      <c r="D229" s="228">
        <v>3000</v>
      </c>
      <c r="E229" s="228">
        <v>9</v>
      </c>
      <c r="F229" s="228">
        <v>254.55</v>
      </c>
      <c r="G229" s="228">
        <v>255.55</v>
      </c>
      <c r="H229" s="228">
        <v>-1</v>
      </c>
      <c r="I229" s="229">
        <v>-3.8999999999999998E-3</v>
      </c>
      <c r="J229" s="228">
        <v>259.7</v>
      </c>
      <c r="K229" s="228">
        <v>260.35000000000002</v>
      </c>
      <c r="L229" s="228">
        <v>-0.65</v>
      </c>
      <c r="M229" s="229">
        <v>-2.5000000000000001E-3</v>
      </c>
      <c r="N229" s="228">
        <v>254.55</v>
      </c>
      <c r="O229" s="228">
        <v>255.55</v>
      </c>
      <c r="P229" s="228">
        <v>-1</v>
      </c>
      <c r="Q229" s="229">
        <v>-3.8999999999999998E-3</v>
      </c>
      <c r="R229" s="228">
        <v>255.35</v>
      </c>
      <c r="S229" s="228">
        <v>256.60000000000002</v>
      </c>
      <c r="T229" s="228">
        <v>-1.25</v>
      </c>
      <c r="U229" s="229">
        <v>-4.8999999999999998E-3</v>
      </c>
      <c r="V229" s="228">
        <v>0</v>
      </c>
      <c r="W229" s="228">
        <v>0</v>
      </c>
      <c r="X229" s="228">
        <v>0</v>
      </c>
      <c r="Y229" s="229">
        <v>0</v>
      </c>
      <c r="Z229" s="228">
        <v>-5.15</v>
      </c>
      <c r="AA229" s="228">
        <v>-4.8</v>
      </c>
      <c r="AB229" s="228">
        <v>-0.35</v>
      </c>
      <c r="AC229" s="229">
        <v>-1.9800000000000002E-2</v>
      </c>
      <c r="AD229" s="228">
        <v>-5.15</v>
      </c>
      <c r="AE229" s="228">
        <v>-4.8</v>
      </c>
      <c r="AF229" s="228">
        <v>-0.35</v>
      </c>
      <c r="AG229" s="229">
        <v>-1.9800000000000002E-2</v>
      </c>
      <c r="AH229" s="228">
        <v>-4.3499999999999996</v>
      </c>
      <c r="AI229" s="228">
        <v>-3.75</v>
      </c>
      <c r="AJ229" s="228">
        <v>-0.6</v>
      </c>
      <c r="AK229" s="229">
        <v>-1.6799999999999999E-2</v>
      </c>
      <c r="AL229" s="228">
        <v>0</v>
      </c>
      <c r="AM229" s="228">
        <v>0</v>
      </c>
      <c r="AN229" s="228">
        <v>0</v>
      </c>
      <c r="AO229" s="229">
        <v>0</v>
      </c>
      <c r="AP229" s="228">
        <v>255.21</v>
      </c>
      <c r="AQ229" s="228">
        <v>256</v>
      </c>
      <c r="AR229" s="228">
        <v>0</v>
      </c>
      <c r="AS229" s="228">
        <v>369</v>
      </c>
      <c r="AT229" s="228">
        <v>860</v>
      </c>
      <c r="AU229" s="228">
        <v>-491</v>
      </c>
      <c r="AV229" s="229">
        <v>-0.57069999999999999</v>
      </c>
      <c r="AW229" s="228">
        <v>284</v>
      </c>
      <c r="AX229" s="228">
        <v>662</v>
      </c>
      <c r="AY229" s="228">
        <v>-379</v>
      </c>
      <c r="AZ229" s="229">
        <v>-0.57169999999999999</v>
      </c>
      <c r="BA229" s="228">
        <v>81</v>
      </c>
      <c r="BB229" s="228">
        <v>188</v>
      </c>
      <c r="BC229" s="228">
        <v>-107</v>
      </c>
      <c r="BD229" s="229">
        <v>-0.57079999999999997</v>
      </c>
      <c r="BE229" s="228">
        <v>0</v>
      </c>
      <c r="BF229" s="228">
        <v>0</v>
      </c>
      <c r="BG229" s="228">
        <v>0</v>
      </c>
      <c r="BH229" s="229">
        <v>0</v>
      </c>
      <c r="BI229" s="230">
        <v>2232</v>
      </c>
      <c r="BJ229" s="230">
        <v>4458</v>
      </c>
      <c r="BK229" s="230">
        <v>-2226</v>
      </c>
      <c r="BL229" s="229">
        <v>-0.49940000000000001</v>
      </c>
      <c r="BM229" s="228">
        <v>679</v>
      </c>
      <c r="BN229" s="230">
        <v>1859</v>
      </c>
      <c r="BO229" s="230">
        <v>-1180</v>
      </c>
      <c r="BP229" s="229">
        <v>-0.63480000000000003</v>
      </c>
      <c r="BQ229" s="230">
        <v>3280</v>
      </c>
      <c r="BR229" s="230">
        <v>7177</v>
      </c>
      <c r="BS229" s="230">
        <v>-3897</v>
      </c>
      <c r="BT229" s="229">
        <v>-0.54300000000000004</v>
      </c>
      <c r="BU229" s="230">
        <v>7052543</v>
      </c>
      <c r="BV229" s="230">
        <v>12642126</v>
      </c>
      <c r="BW229" s="230">
        <v>-5589583</v>
      </c>
      <c r="BX229" s="229">
        <v>-0.44209999999999999</v>
      </c>
      <c r="BY229" s="230">
        <v>2753</v>
      </c>
      <c r="BZ229" s="230">
        <v>2759</v>
      </c>
      <c r="CA229" s="228">
        <v>-6</v>
      </c>
      <c r="CB229" s="229">
        <v>-2.2000000000000001E-3</v>
      </c>
      <c r="CC229" s="230">
        <v>2408</v>
      </c>
      <c r="CD229" s="230">
        <v>2426</v>
      </c>
      <c r="CE229" s="228">
        <v>-18</v>
      </c>
      <c r="CF229" s="229">
        <v>-7.4000000000000003E-3</v>
      </c>
      <c r="CG229" s="228">
        <v>312</v>
      </c>
      <c r="CH229" s="228">
        <v>301</v>
      </c>
      <c r="CI229" s="228">
        <v>10</v>
      </c>
      <c r="CJ229" s="229">
        <v>3.4500000000000003E-2</v>
      </c>
      <c r="CK229" s="228">
        <v>0</v>
      </c>
      <c r="CL229" s="228">
        <v>0</v>
      </c>
      <c r="CM229" s="228">
        <v>0</v>
      </c>
      <c r="CN229" s="229">
        <v>0</v>
      </c>
      <c r="CO229" s="230">
        <v>2116</v>
      </c>
      <c r="CP229" s="230">
        <v>2226</v>
      </c>
      <c r="CQ229" s="228">
        <v>-110</v>
      </c>
      <c r="CR229" s="229">
        <v>-4.9299999999999997E-2</v>
      </c>
      <c r="CS229" s="230">
        <v>1099</v>
      </c>
      <c r="CT229" s="230">
        <v>1119</v>
      </c>
      <c r="CU229" s="228">
        <v>-20</v>
      </c>
      <c r="CV229" s="229">
        <v>-1.7500000000000002E-2</v>
      </c>
      <c r="CW229" s="230">
        <v>5968</v>
      </c>
      <c r="CX229" s="230">
        <v>6103</v>
      </c>
      <c r="CY229" s="228">
        <v>-135</v>
      </c>
      <c r="CZ229" s="229">
        <v>-2.2200000000000001E-2</v>
      </c>
      <c r="DA229" s="228">
        <v>28.34</v>
      </c>
      <c r="DB229" s="228">
        <v>29.03</v>
      </c>
      <c r="DC229" s="228">
        <v>-0.69</v>
      </c>
      <c r="DD229" s="228">
        <v>-0.69</v>
      </c>
      <c r="DE229" s="228">
        <v>32.630000000000003</v>
      </c>
      <c r="DF229" s="228">
        <v>32.71</v>
      </c>
      <c r="DG229" s="228">
        <v>-4.29</v>
      </c>
      <c r="DH229" s="228">
        <v>-0.08</v>
      </c>
      <c r="DI229" s="228">
        <v>29.07</v>
      </c>
      <c r="DJ229" s="228">
        <v>29.98</v>
      </c>
      <c r="DK229" s="228">
        <v>-0.91</v>
      </c>
      <c r="DL229" s="228">
        <v>-0.91</v>
      </c>
      <c r="DM229" s="228">
        <v>25.93</v>
      </c>
      <c r="DN229" s="228">
        <v>26.76</v>
      </c>
      <c r="DO229" s="228">
        <v>-0.83</v>
      </c>
      <c r="DP229" s="228">
        <v>-0.83</v>
      </c>
      <c r="DQ229" s="228">
        <v>0.52</v>
      </c>
      <c r="DR229" s="228">
        <v>0.5</v>
      </c>
      <c r="DS229" s="228">
        <v>0.02</v>
      </c>
      <c r="DT229" s="229">
        <v>0.04</v>
      </c>
      <c r="DU229" s="228">
        <v>270</v>
      </c>
      <c r="DV229" s="228">
        <v>250</v>
      </c>
      <c r="DW229" s="228">
        <v>0.3</v>
      </c>
      <c r="DX229" s="228">
        <v>0.42</v>
      </c>
      <c r="DY229" s="228">
        <v>-0.12</v>
      </c>
      <c r="DZ229" s="229">
        <v>-0.28570000000000001</v>
      </c>
      <c r="EA229" s="229">
        <v>0.1132</v>
      </c>
      <c r="EB229" s="230">
        <v>11835000</v>
      </c>
      <c r="EC229" s="229">
        <v>3.0999999999999999E-3</v>
      </c>
      <c r="ED229" s="229">
        <v>0.1132</v>
      </c>
      <c r="EE229" s="228">
        <v>0.79</v>
      </c>
      <c r="EF229" s="229">
        <v>3.0999999999999999E-3</v>
      </c>
      <c r="EG229" s="230">
        <v>3387022</v>
      </c>
      <c r="EH229" s="230">
        <v>4707861</v>
      </c>
      <c r="EI229" s="229">
        <v>-0.28060000000000002</v>
      </c>
      <c r="EJ229" s="229">
        <v>0.4803</v>
      </c>
      <c r="EK229" s="231">
        <v>2352.9299999999998</v>
      </c>
      <c r="EL229" s="228">
        <v>688.82</v>
      </c>
      <c r="EM229" s="228">
        <v>370.38</v>
      </c>
      <c r="EN229" s="228">
        <v>0</v>
      </c>
      <c r="EO229" s="231">
        <v>3412.13</v>
      </c>
      <c r="EP229" s="231">
        <v>7493.84</v>
      </c>
      <c r="EQ229" s="231">
        <v>-4081.71</v>
      </c>
      <c r="ER229" s="229">
        <v>-0.54469999999999996</v>
      </c>
      <c r="ES229" s="231">
        <v>2277.59</v>
      </c>
      <c r="ET229" s="231">
        <v>1079.9000000000001</v>
      </c>
      <c r="EU229" s="231">
        <v>2754.25</v>
      </c>
      <c r="EV229" s="231">
        <v>570590784</v>
      </c>
      <c r="EW229" s="231">
        <v>6111.74</v>
      </c>
      <c r="EX229" s="231">
        <v>6268.43</v>
      </c>
      <c r="EY229" s="228">
        <v>-156.69</v>
      </c>
      <c r="EZ229" s="229">
        <v>-2.5000000000000001E-2</v>
      </c>
      <c r="FA229" s="229">
        <v>0.41089999999999999</v>
      </c>
      <c r="FB229" s="227" t="s">
        <v>568</v>
      </c>
      <c r="FC229">
        <f t="shared" si="4"/>
        <v>0</v>
      </c>
    </row>
    <row r="230" spans="1:159" ht="17.25" thickBot="1" x14ac:dyDescent="0.3">
      <c r="A230" s="226">
        <v>45860</v>
      </c>
      <c r="B230" s="227" t="s">
        <v>172</v>
      </c>
      <c r="C230" s="227" t="s">
        <v>591</v>
      </c>
      <c r="D230" s="228">
        <v>31100</v>
      </c>
      <c r="E230" s="228">
        <v>9</v>
      </c>
      <c r="F230" s="228">
        <v>20.02</v>
      </c>
      <c r="G230" s="228">
        <v>20.18</v>
      </c>
      <c r="H230" s="228">
        <v>-0.16</v>
      </c>
      <c r="I230" s="229">
        <v>-7.9000000000000008E-3</v>
      </c>
      <c r="J230" s="228">
        <v>19.989999999999998</v>
      </c>
      <c r="K230" s="228">
        <v>20.16</v>
      </c>
      <c r="L230" s="228">
        <v>-0.17</v>
      </c>
      <c r="M230" s="229">
        <v>-8.3999999999999995E-3</v>
      </c>
      <c r="N230" s="228">
        <v>20.02</v>
      </c>
      <c r="O230" s="228">
        <v>20.18</v>
      </c>
      <c r="P230" s="228">
        <v>-0.16</v>
      </c>
      <c r="Q230" s="229">
        <v>-7.9000000000000008E-3</v>
      </c>
      <c r="R230" s="228">
        <v>20.13</v>
      </c>
      <c r="S230" s="228">
        <v>20.28</v>
      </c>
      <c r="T230" s="228">
        <v>-0.15</v>
      </c>
      <c r="U230" s="229">
        <v>-7.4000000000000003E-3</v>
      </c>
      <c r="V230" s="228">
        <v>0</v>
      </c>
      <c r="W230" s="228">
        <v>0</v>
      </c>
      <c r="X230" s="228">
        <v>0</v>
      </c>
      <c r="Y230" s="229">
        <v>0</v>
      </c>
      <c r="Z230" s="228">
        <v>0.03</v>
      </c>
      <c r="AA230" s="228">
        <v>0.02</v>
      </c>
      <c r="AB230" s="228">
        <v>0.01</v>
      </c>
      <c r="AC230" s="229">
        <v>1.5E-3</v>
      </c>
      <c r="AD230" s="228">
        <v>0.03</v>
      </c>
      <c r="AE230" s="228">
        <v>0.02</v>
      </c>
      <c r="AF230" s="228">
        <v>0.01</v>
      </c>
      <c r="AG230" s="229">
        <v>1.5E-3</v>
      </c>
      <c r="AH230" s="228">
        <v>0.14000000000000001</v>
      </c>
      <c r="AI230" s="228">
        <v>0.12</v>
      </c>
      <c r="AJ230" s="228">
        <v>0.02</v>
      </c>
      <c r="AK230" s="229">
        <v>7.0000000000000001E-3</v>
      </c>
      <c r="AL230" s="228">
        <v>0</v>
      </c>
      <c r="AM230" s="228">
        <v>0</v>
      </c>
      <c r="AN230" s="228">
        <v>0</v>
      </c>
      <c r="AO230" s="229">
        <v>0</v>
      </c>
      <c r="AP230" s="228">
        <v>20.14</v>
      </c>
      <c r="AQ230" s="228">
        <v>20.25</v>
      </c>
      <c r="AR230" s="228">
        <v>0</v>
      </c>
      <c r="AS230" s="228">
        <v>206</v>
      </c>
      <c r="AT230" s="228">
        <v>296</v>
      </c>
      <c r="AU230" s="228">
        <v>-90</v>
      </c>
      <c r="AV230" s="229">
        <v>-0.30399999999999999</v>
      </c>
      <c r="AW230" s="228">
        <v>138</v>
      </c>
      <c r="AX230" s="228">
        <v>218</v>
      </c>
      <c r="AY230" s="228">
        <v>-80</v>
      </c>
      <c r="AZ230" s="229">
        <v>-0.36559999999999998</v>
      </c>
      <c r="BA230" s="228">
        <v>59</v>
      </c>
      <c r="BB230" s="228">
        <v>68</v>
      </c>
      <c r="BC230" s="228">
        <v>-10</v>
      </c>
      <c r="BD230" s="229">
        <v>-0.14380000000000001</v>
      </c>
      <c r="BE230" s="228">
        <v>0</v>
      </c>
      <c r="BF230" s="228">
        <v>0</v>
      </c>
      <c r="BG230" s="228">
        <v>0</v>
      </c>
      <c r="BH230" s="229">
        <v>0</v>
      </c>
      <c r="BI230" s="228">
        <v>241</v>
      </c>
      <c r="BJ230" s="228">
        <v>737</v>
      </c>
      <c r="BK230" s="228">
        <v>-496</v>
      </c>
      <c r="BL230" s="229">
        <v>-0.67279999999999995</v>
      </c>
      <c r="BM230" s="228">
        <v>107</v>
      </c>
      <c r="BN230" s="228">
        <v>136</v>
      </c>
      <c r="BO230" s="228">
        <v>-29</v>
      </c>
      <c r="BP230" s="229">
        <v>-0.21379999999999999</v>
      </c>
      <c r="BQ230" s="228">
        <v>554</v>
      </c>
      <c r="BR230" s="230">
        <v>1169</v>
      </c>
      <c r="BS230" s="228">
        <v>-615</v>
      </c>
      <c r="BT230" s="229">
        <v>-0.52590000000000003</v>
      </c>
      <c r="BU230" s="230">
        <v>64476781</v>
      </c>
      <c r="BV230" s="230">
        <v>138598913</v>
      </c>
      <c r="BW230" s="230">
        <v>-74122132</v>
      </c>
      <c r="BX230" s="229">
        <v>-0.53480000000000005</v>
      </c>
      <c r="BY230" s="230">
        <v>2096</v>
      </c>
      <c r="BZ230" s="230">
        <v>2090</v>
      </c>
      <c r="CA230" s="228">
        <v>7</v>
      </c>
      <c r="CB230" s="229">
        <v>3.2000000000000002E-3</v>
      </c>
      <c r="CC230" s="230">
        <v>1708</v>
      </c>
      <c r="CD230" s="230">
        <v>1739</v>
      </c>
      <c r="CE230" s="228">
        <v>-31</v>
      </c>
      <c r="CF230" s="229">
        <v>-1.78E-2</v>
      </c>
      <c r="CG230" s="228">
        <v>353</v>
      </c>
      <c r="CH230" s="228">
        <v>320</v>
      </c>
      <c r="CI230" s="228">
        <v>33</v>
      </c>
      <c r="CJ230" s="229">
        <v>0.1038</v>
      </c>
      <c r="CK230" s="228">
        <v>0</v>
      </c>
      <c r="CL230" s="228">
        <v>0</v>
      </c>
      <c r="CM230" s="228">
        <v>0</v>
      </c>
      <c r="CN230" s="229">
        <v>0</v>
      </c>
      <c r="CO230" s="228">
        <v>866</v>
      </c>
      <c r="CP230" s="228">
        <v>854</v>
      </c>
      <c r="CQ230" s="228">
        <v>11</v>
      </c>
      <c r="CR230" s="229">
        <v>1.34E-2</v>
      </c>
      <c r="CS230" s="228">
        <v>427</v>
      </c>
      <c r="CT230" s="228">
        <v>421</v>
      </c>
      <c r="CU230" s="228">
        <v>6</v>
      </c>
      <c r="CV230" s="229">
        <v>1.4500000000000001E-2</v>
      </c>
      <c r="CW230" s="230">
        <v>3389</v>
      </c>
      <c r="CX230" s="230">
        <v>3365</v>
      </c>
      <c r="CY230" s="228">
        <v>24</v>
      </c>
      <c r="CZ230" s="229">
        <v>7.1999999999999998E-3</v>
      </c>
      <c r="DA230" s="228">
        <v>33.659999999999997</v>
      </c>
      <c r="DB230" s="228">
        <v>35.090000000000003</v>
      </c>
      <c r="DC230" s="228">
        <v>-1.43</v>
      </c>
      <c r="DD230" s="228">
        <v>-1.43</v>
      </c>
      <c r="DE230" s="228">
        <v>44.99</v>
      </c>
      <c r="DF230" s="228">
        <v>45.09</v>
      </c>
      <c r="DG230" s="228">
        <v>-11.33</v>
      </c>
      <c r="DH230" s="228">
        <v>-0.1</v>
      </c>
      <c r="DI230" s="228">
        <v>36.020000000000003</v>
      </c>
      <c r="DJ230" s="228">
        <v>36.119999999999997</v>
      </c>
      <c r="DK230" s="228">
        <v>-0.1</v>
      </c>
      <c r="DL230" s="228">
        <v>-0.1</v>
      </c>
      <c r="DM230" s="228">
        <v>28.35</v>
      </c>
      <c r="DN230" s="228">
        <v>29.54</v>
      </c>
      <c r="DO230" s="228">
        <v>-1.19</v>
      </c>
      <c r="DP230" s="228">
        <v>-1.19</v>
      </c>
      <c r="DQ230" s="228">
        <v>0.49</v>
      </c>
      <c r="DR230" s="228">
        <v>0.49</v>
      </c>
      <c r="DS230" s="228">
        <v>0</v>
      </c>
      <c r="DT230" s="229">
        <v>0</v>
      </c>
      <c r="DU230" s="228">
        <v>21</v>
      </c>
      <c r="DV230" s="228">
        <v>20</v>
      </c>
      <c r="DW230" s="228">
        <v>0.44</v>
      </c>
      <c r="DX230" s="228">
        <v>0.19</v>
      </c>
      <c r="DY230" s="228">
        <v>0.25</v>
      </c>
      <c r="DZ230" s="229">
        <v>1.3158000000000001</v>
      </c>
      <c r="EA230" s="229">
        <v>0.16839999999999999</v>
      </c>
      <c r="EB230" s="230">
        <v>159760700</v>
      </c>
      <c r="EC230" s="229">
        <v>5.4999999999999997E-3</v>
      </c>
      <c r="ED230" s="229">
        <v>0.16839999999999999</v>
      </c>
      <c r="EE230" s="228">
        <v>0.11</v>
      </c>
      <c r="EF230" s="229">
        <v>5.4999999999999997E-3</v>
      </c>
      <c r="EG230" s="230">
        <v>29206979</v>
      </c>
      <c r="EH230" s="230">
        <v>53554562</v>
      </c>
      <c r="EI230" s="229">
        <v>-0.4546</v>
      </c>
      <c r="EJ230" s="229">
        <v>0.45300000000000001</v>
      </c>
      <c r="EK230" s="228">
        <v>257.27999999999997</v>
      </c>
      <c r="EL230" s="228">
        <v>110.17</v>
      </c>
      <c r="EM230" s="228">
        <v>207.76</v>
      </c>
      <c r="EN230" s="228">
        <v>0</v>
      </c>
      <c r="EO230" s="228">
        <v>575.21</v>
      </c>
      <c r="EP230" s="231">
        <v>1229.1300000000001</v>
      </c>
      <c r="EQ230" s="228">
        <v>-653.91999999999996</v>
      </c>
      <c r="ER230" s="229">
        <v>-0.53200000000000003</v>
      </c>
      <c r="ES230" s="228">
        <v>950.91</v>
      </c>
      <c r="ET230" s="228">
        <v>428.74</v>
      </c>
      <c r="EU230" s="231">
        <v>2098.84</v>
      </c>
      <c r="EV230" s="231">
        <v>6270823064</v>
      </c>
      <c r="EW230" s="231">
        <v>3478.49</v>
      </c>
      <c r="EX230" s="231">
        <v>3470.66</v>
      </c>
      <c r="EY230" s="228">
        <v>7.83</v>
      </c>
      <c r="EZ230" s="229">
        <v>2.3E-3</v>
      </c>
      <c r="FA230" s="229">
        <v>0.27</v>
      </c>
      <c r="FB230" s="227" t="s">
        <v>567</v>
      </c>
      <c r="FC230">
        <f t="shared" si="4"/>
        <v>0</v>
      </c>
    </row>
    <row r="231" spans="1:159" ht="17.25" thickBot="1" x14ac:dyDescent="0.3">
      <c r="A231" s="226">
        <v>45860</v>
      </c>
      <c r="B231" s="227" t="s">
        <v>170</v>
      </c>
      <c r="C231" s="227" t="s">
        <v>557</v>
      </c>
      <c r="D231" s="228">
        <v>900</v>
      </c>
      <c r="E231" s="228">
        <v>9</v>
      </c>
      <c r="F231" s="228">
        <v>948.15</v>
      </c>
      <c r="G231" s="228">
        <v>962.6</v>
      </c>
      <c r="H231" s="228">
        <v>-14.45</v>
      </c>
      <c r="I231" s="229">
        <v>-1.4999999999999999E-2</v>
      </c>
      <c r="J231" s="228">
        <v>956.75</v>
      </c>
      <c r="K231" s="228">
        <v>970</v>
      </c>
      <c r="L231" s="228">
        <v>-13.25</v>
      </c>
      <c r="M231" s="229">
        <v>-1.37E-2</v>
      </c>
      <c r="N231" s="228">
        <v>948.15</v>
      </c>
      <c r="O231" s="228">
        <v>962.6</v>
      </c>
      <c r="P231" s="228">
        <v>-14.45</v>
      </c>
      <c r="Q231" s="229">
        <v>-1.4999999999999999E-2</v>
      </c>
      <c r="R231" s="228">
        <v>952.85</v>
      </c>
      <c r="S231" s="228">
        <v>967.65</v>
      </c>
      <c r="T231" s="228">
        <v>-14.8</v>
      </c>
      <c r="U231" s="229">
        <v>-1.5299999999999999E-2</v>
      </c>
      <c r="V231" s="228">
        <v>0</v>
      </c>
      <c r="W231" s="228">
        <v>0</v>
      </c>
      <c r="X231" s="228">
        <v>0</v>
      </c>
      <c r="Y231" s="229">
        <v>0</v>
      </c>
      <c r="Z231" s="228">
        <v>-8.6</v>
      </c>
      <c r="AA231" s="228">
        <v>-7.4</v>
      </c>
      <c r="AB231" s="228">
        <v>-1.2</v>
      </c>
      <c r="AC231" s="229">
        <v>-8.9999999999999993E-3</v>
      </c>
      <c r="AD231" s="228">
        <v>-8.6</v>
      </c>
      <c r="AE231" s="228">
        <v>-7.4</v>
      </c>
      <c r="AF231" s="228">
        <v>-1.2</v>
      </c>
      <c r="AG231" s="229">
        <v>-8.9999999999999993E-3</v>
      </c>
      <c r="AH231" s="228">
        <v>-3.9</v>
      </c>
      <c r="AI231" s="228">
        <v>-2.35</v>
      </c>
      <c r="AJ231" s="228">
        <v>-1.55</v>
      </c>
      <c r="AK231" s="229">
        <v>-4.1000000000000003E-3</v>
      </c>
      <c r="AL231" s="228">
        <v>0</v>
      </c>
      <c r="AM231" s="228">
        <v>0</v>
      </c>
      <c r="AN231" s="228">
        <v>0</v>
      </c>
      <c r="AO231" s="229">
        <v>0</v>
      </c>
      <c r="AP231" s="228">
        <v>950.19</v>
      </c>
      <c r="AQ231" s="228">
        <v>955.03</v>
      </c>
      <c r="AR231" s="228">
        <v>0</v>
      </c>
      <c r="AS231" s="228">
        <v>159</v>
      </c>
      <c r="AT231" s="228">
        <v>236</v>
      </c>
      <c r="AU231" s="228">
        <v>-77</v>
      </c>
      <c r="AV231" s="229">
        <v>-0.32650000000000001</v>
      </c>
      <c r="AW231" s="228">
        <v>126</v>
      </c>
      <c r="AX231" s="228">
        <v>156</v>
      </c>
      <c r="AY231" s="228">
        <v>-30</v>
      </c>
      <c r="AZ231" s="229">
        <v>-0.19420000000000001</v>
      </c>
      <c r="BA231" s="228">
        <v>31</v>
      </c>
      <c r="BB231" s="228">
        <v>79</v>
      </c>
      <c r="BC231" s="228">
        <v>-48</v>
      </c>
      <c r="BD231" s="229">
        <v>-0.60189999999999999</v>
      </c>
      <c r="BE231" s="228">
        <v>0</v>
      </c>
      <c r="BF231" s="228">
        <v>0</v>
      </c>
      <c r="BG231" s="228">
        <v>0</v>
      </c>
      <c r="BH231" s="229">
        <v>0</v>
      </c>
      <c r="BI231" s="228">
        <v>309</v>
      </c>
      <c r="BJ231" s="228">
        <v>258</v>
      </c>
      <c r="BK231" s="228">
        <v>50</v>
      </c>
      <c r="BL231" s="229">
        <v>0.19420000000000001</v>
      </c>
      <c r="BM231" s="228">
        <v>153</v>
      </c>
      <c r="BN231" s="228">
        <v>74</v>
      </c>
      <c r="BO231" s="228">
        <v>78</v>
      </c>
      <c r="BP231" s="229">
        <v>1.054</v>
      </c>
      <c r="BQ231" s="228">
        <v>620</v>
      </c>
      <c r="BR231" s="228">
        <v>568</v>
      </c>
      <c r="BS231" s="228">
        <v>52</v>
      </c>
      <c r="BT231" s="229">
        <v>9.0700000000000003E-2</v>
      </c>
      <c r="BU231" s="230">
        <v>885012</v>
      </c>
      <c r="BV231" s="230">
        <v>996286</v>
      </c>
      <c r="BW231" s="230">
        <v>-111274</v>
      </c>
      <c r="BX231" s="229">
        <v>-0.11169999999999999</v>
      </c>
      <c r="BY231" s="228">
        <v>975</v>
      </c>
      <c r="BZ231" s="228">
        <v>968</v>
      </c>
      <c r="CA231" s="228">
        <v>7</v>
      </c>
      <c r="CB231" s="229">
        <v>7.6E-3</v>
      </c>
      <c r="CC231" s="228">
        <v>826</v>
      </c>
      <c r="CD231" s="228">
        <v>832</v>
      </c>
      <c r="CE231" s="228">
        <v>-6</v>
      </c>
      <c r="CF231" s="229">
        <v>-7.0000000000000001E-3</v>
      </c>
      <c r="CG231" s="228">
        <v>143</v>
      </c>
      <c r="CH231" s="228">
        <v>131</v>
      </c>
      <c r="CI231" s="228">
        <v>12</v>
      </c>
      <c r="CJ231" s="229">
        <v>9.2700000000000005E-2</v>
      </c>
      <c r="CK231" s="228">
        <v>0</v>
      </c>
      <c r="CL231" s="228">
        <v>0</v>
      </c>
      <c r="CM231" s="228">
        <v>0</v>
      </c>
      <c r="CN231" s="229">
        <v>0</v>
      </c>
      <c r="CO231" s="228">
        <v>335</v>
      </c>
      <c r="CP231" s="228">
        <v>340</v>
      </c>
      <c r="CQ231" s="228">
        <v>-5</v>
      </c>
      <c r="CR231" s="229">
        <v>-1.4500000000000001E-2</v>
      </c>
      <c r="CS231" s="228">
        <v>249</v>
      </c>
      <c r="CT231" s="228">
        <v>248</v>
      </c>
      <c r="CU231" s="228">
        <v>1</v>
      </c>
      <c r="CV231" s="229">
        <v>5.8999999999999999E-3</v>
      </c>
      <c r="CW231" s="230">
        <v>1560</v>
      </c>
      <c r="CX231" s="230">
        <v>1556</v>
      </c>
      <c r="CY231" s="228">
        <v>4</v>
      </c>
      <c r="CZ231" s="229">
        <v>2.5000000000000001E-3</v>
      </c>
      <c r="DA231" s="228">
        <v>25.02</v>
      </c>
      <c r="DB231" s="228">
        <v>26.67</v>
      </c>
      <c r="DC231" s="228">
        <v>-1.65</v>
      </c>
      <c r="DD231" s="228">
        <v>-1.65</v>
      </c>
      <c r="DE231" s="228">
        <v>30.67</v>
      </c>
      <c r="DF231" s="228">
        <v>30.68</v>
      </c>
      <c r="DG231" s="228">
        <v>-5.65</v>
      </c>
      <c r="DH231" s="228">
        <v>-0.01</v>
      </c>
      <c r="DI231" s="228">
        <v>26.07</v>
      </c>
      <c r="DJ231" s="228">
        <v>26.83</v>
      </c>
      <c r="DK231" s="228">
        <v>-0.76</v>
      </c>
      <c r="DL231" s="228">
        <v>-0.76</v>
      </c>
      <c r="DM231" s="228">
        <v>22.9</v>
      </c>
      <c r="DN231" s="228">
        <v>26.1</v>
      </c>
      <c r="DO231" s="228">
        <v>-3.2</v>
      </c>
      <c r="DP231" s="228">
        <v>-3.2</v>
      </c>
      <c r="DQ231" s="228">
        <v>0.74</v>
      </c>
      <c r="DR231" s="228">
        <v>0.73</v>
      </c>
      <c r="DS231" s="228">
        <v>0.01</v>
      </c>
      <c r="DT231" s="229">
        <v>1.37E-2</v>
      </c>
      <c r="DU231" s="228">
        <v>980</v>
      </c>
      <c r="DV231" s="228">
        <v>900</v>
      </c>
      <c r="DW231" s="228">
        <v>0.49</v>
      </c>
      <c r="DX231" s="228">
        <v>0.28999999999999998</v>
      </c>
      <c r="DY231" s="228">
        <v>0.2</v>
      </c>
      <c r="DZ231" s="229">
        <v>0.68969999999999998</v>
      </c>
      <c r="EA231" s="229">
        <v>0.14649999999999999</v>
      </c>
      <c r="EB231" s="230">
        <v>1378800</v>
      </c>
      <c r="EC231" s="229">
        <v>5.0000000000000001E-3</v>
      </c>
      <c r="ED231" s="229">
        <v>0.14649999999999999</v>
      </c>
      <c r="EE231" s="228">
        <v>4.84</v>
      </c>
      <c r="EF231" s="229">
        <v>5.1000000000000004E-3</v>
      </c>
      <c r="EG231" s="230">
        <v>482653</v>
      </c>
      <c r="EH231" s="230">
        <v>777306</v>
      </c>
      <c r="EI231" s="229">
        <v>-0.37909999999999999</v>
      </c>
      <c r="EJ231" s="229">
        <v>0.5454</v>
      </c>
      <c r="EK231" s="228">
        <v>322.97000000000003</v>
      </c>
      <c r="EL231" s="228">
        <v>153.44999999999999</v>
      </c>
      <c r="EM231" s="228">
        <v>159.33000000000001</v>
      </c>
      <c r="EN231" s="228">
        <v>0</v>
      </c>
      <c r="EO231" s="228">
        <v>635.75</v>
      </c>
      <c r="EP231" s="228">
        <v>588.95000000000005</v>
      </c>
      <c r="EQ231" s="228">
        <v>46.8</v>
      </c>
      <c r="ER231" s="229">
        <v>7.9500000000000001E-2</v>
      </c>
      <c r="ES231" s="228">
        <v>357.78</v>
      </c>
      <c r="ET231" s="228">
        <v>246.45</v>
      </c>
      <c r="EU231" s="228">
        <v>976.12</v>
      </c>
      <c r="EV231" s="231">
        <v>50321935</v>
      </c>
      <c r="EW231" s="231">
        <v>1580.35</v>
      </c>
      <c r="EX231" s="231">
        <v>1592.47</v>
      </c>
      <c r="EY231" s="228">
        <v>-12.12</v>
      </c>
      <c r="EZ231" s="229">
        <v>-7.6E-3</v>
      </c>
      <c r="FA231" s="229">
        <v>0.32700000000000001</v>
      </c>
      <c r="FB231" s="227" t="s">
        <v>567</v>
      </c>
      <c r="FC231">
        <f t="shared" si="4"/>
        <v>0</v>
      </c>
    </row>
    <row r="232" spans="1:159" x14ac:dyDescent="0.25">
      <c r="FC232">
        <f t="shared" si="4"/>
        <v>0</v>
      </c>
    </row>
    <row r="233" spans="1:159" x14ac:dyDescent="0.25">
      <c r="FC233">
        <f t="shared" si="4"/>
        <v>0</v>
      </c>
    </row>
    <row r="234" spans="1:159" x14ac:dyDescent="0.25">
      <c r="FC234">
        <f t="shared" si="4"/>
        <v>0</v>
      </c>
    </row>
    <row r="235" spans="1:159" x14ac:dyDescent="0.25">
      <c r="FC235">
        <f t="shared" si="4"/>
        <v>0</v>
      </c>
    </row>
    <row r="236" spans="1:159" x14ac:dyDescent="0.25">
      <c r="FC236">
        <f t="shared" si="4"/>
        <v>0</v>
      </c>
    </row>
    <row r="237" spans="1:159" x14ac:dyDescent="0.25">
      <c r="FC237">
        <f t="shared" si="4"/>
        <v>0</v>
      </c>
    </row>
    <row r="238" spans="1:159" x14ac:dyDescent="0.25">
      <c r="FC238">
        <f t="shared" si="4"/>
        <v>0</v>
      </c>
    </row>
    <row r="239" spans="1:159" x14ac:dyDescent="0.25">
      <c r="FC239">
        <f t="shared" si="4"/>
        <v>0</v>
      </c>
    </row>
    <row r="240" spans="1: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BY341-CC341</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BY405-CC405</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X9" sqref="BX9"/>
    </sheetView>
  </sheetViews>
  <sheetFormatPr defaultRowHeight="15" x14ac:dyDescent="0.25"/>
  <cols>
    <col min="1" max="1" width="11"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10.140625" customWidth="1"/>
    <col min="80" max="81" width="15.5703125" customWidth="1"/>
    <col min="82" max="82" width="13.7109375" customWidth="1"/>
    <col min="83" max="83" width="11.42578125" customWidth="1"/>
    <col min="84" max="84" width="14" customWidth="1"/>
    <col min="85" max="85" width="14.42578125" customWidth="1"/>
    <col min="86" max="86" width="13.5703125" customWidth="1"/>
    <col min="87" max="87" width="11.42578125" customWidth="1"/>
    <col min="88" max="88" width="10" customWidth="1"/>
    <col min="89" max="89" width="12.42578125" customWidth="1"/>
    <col min="90" max="90" width="11.5703125" customWidth="1"/>
    <col min="91" max="91" width="9.5703125" customWidth="1"/>
    <col min="92" max="93" width="15.5703125" customWidth="1"/>
    <col min="94" max="94" width="12.7109375" customWidth="1"/>
    <col min="95" max="95" width="10.42578125" customWidth="1"/>
    <col min="96" max="97" width="14" customWidth="1"/>
    <col min="98" max="98" width="12.7109375" customWidth="1"/>
    <col min="99" max="99" width="10.28515625" customWidth="1"/>
    <col min="100" max="101" width="15.5703125" customWidth="1"/>
    <col min="102" max="102" width="14" customWidth="1"/>
    <col min="103" max="103" width="11.7109375" customWidth="1"/>
    <col min="104" max="104" width="8" style="195" customWidth="1"/>
    <col min="105" max="105" width="8.7109375" customWidth="1"/>
    <col min="106" max="107" width="8.855468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2.7109375"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45860</v>
      </c>
      <c r="B2" s="227" t="s">
        <v>175</v>
      </c>
      <c r="C2" s="227" t="s">
        <v>684</v>
      </c>
      <c r="D2" s="228">
        <v>500</v>
      </c>
      <c r="E2" s="231">
        <v>1143.2</v>
      </c>
      <c r="F2" s="231">
        <v>1223.4000000000001</v>
      </c>
      <c r="G2" s="228">
        <v>-80.2</v>
      </c>
      <c r="H2" s="229">
        <v>-6.5600000000000006E-2</v>
      </c>
      <c r="I2" s="231">
        <v>1144.0999999999999</v>
      </c>
      <c r="J2" s="231">
        <v>1221.2</v>
      </c>
      <c r="K2" s="228">
        <v>-77.099999999999994</v>
      </c>
      <c r="L2" s="229">
        <v>-6.3100000000000003E-2</v>
      </c>
      <c r="M2" s="231">
        <v>1143.2</v>
      </c>
      <c r="N2" s="231">
        <v>1223.4000000000001</v>
      </c>
      <c r="O2" s="228">
        <v>-80.2</v>
      </c>
      <c r="P2" s="229">
        <v>-6.5600000000000006E-2</v>
      </c>
      <c r="Q2" s="231">
        <v>1149</v>
      </c>
      <c r="R2" s="231">
        <v>1226.5</v>
      </c>
      <c r="S2" s="228">
        <v>-77.5</v>
      </c>
      <c r="T2" s="229">
        <v>-6.3200000000000006E-2</v>
      </c>
      <c r="U2" s="228">
        <v>0</v>
      </c>
      <c r="V2" s="228">
        <v>0</v>
      </c>
      <c r="W2" s="228">
        <v>0</v>
      </c>
      <c r="X2" s="229">
        <v>0</v>
      </c>
      <c r="Y2" s="228">
        <v>-0.9</v>
      </c>
      <c r="Z2" s="228">
        <v>2.2000000000000002</v>
      </c>
      <c r="AA2" s="228">
        <v>-3.1</v>
      </c>
      <c r="AB2" s="229">
        <v>-8.0000000000000004E-4</v>
      </c>
      <c r="AC2" s="228">
        <v>-0.9</v>
      </c>
      <c r="AD2" s="228">
        <v>2.2000000000000002</v>
      </c>
      <c r="AE2" s="228">
        <v>-3.1</v>
      </c>
      <c r="AF2" s="229">
        <v>-8.0000000000000004E-4</v>
      </c>
      <c r="AG2" s="228">
        <v>4.9000000000000004</v>
      </c>
      <c r="AH2" s="228">
        <v>5.3</v>
      </c>
      <c r="AI2" s="228">
        <v>-0.4</v>
      </c>
      <c r="AJ2" s="229">
        <v>4.3E-3</v>
      </c>
      <c r="AK2" s="228">
        <v>0</v>
      </c>
      <c r="AL2" s="228">
        <v>0</v>
      </c>
      <c r="AM2" s="228">
        <v>0</v>
      </c>
      <c r="AN2" s="229">
        <v>0</v>
      </c>
      <c r="AO2" s="231">
        <v>1147.44</v>
      </c>
      <c r="AP2" s="231">
        <v>1149.3499999999999</v>
      </c>
      <c r="AQ2" s="228">
        <v>0</v>
      </c>
      <c r="AR2" s="230">
        <v>6619500</v>
      </c>
      <c r="AS2" s="230">
        <v>577000</v>
      </c>
      <c r="AT2" s="230">
        <v>6042500</v>
      </c>
      <c r="AU2" s="229">
        <v>10.472300000000001</v>
      </c>
      <c r="AV2" s="230">
        <v>6090000</v>
      </c>
      <c r="AW2" s="230">
        <v>547000</v>
      </c>
      <c r="AX2" s="230">
        <v>5543000</v>
      </c>
      <c r="AY2" s="229">
        <v>10.1335</v>
      </c>
      <c r="AZ2" s="230">
        <v>525500</v>
      </c>
      <c r="BA2" s="230">
        <v>30000</v>
      </c>
      <c r="BB2" s="230">
        <v>495500</v>
      </c>
      <c r="BC2" s="229">
        <v>16.5167</v>
      </c>
      <c r="BD2" s="228">
        <v>0</v>
      </c>
      <c r="BE2" s="228">
        <v>0</v>
      </c>
      <c r="BF2" s="228">
        <v>0</v>
      </c>
      <c r="BG2" s="229">
        <v>0</v>
      </c>
      <c r="BH2" s="230">
        <v>8797000</v>
      </c>
      <c r="BI2" s="230">
        <v>2378000</v>
      </c>
      <c r="BJ2" s="230">
        <v>6419000</v>
      </c>
      <c r="BK2" s="229">
        <v>2.6993</v>
      </c>
      <c r="BL2" s="230">
        <v>6784500</v>
      </c>
      <c r="BM2" s="230">
        <v>639000</v>
      </c>
      <c r="BN2" s="230">
        <v>6145500</v>
      </c>
      <c r="BO2" s="229">
        <v>9.6173999999999999</v>
      </c>
      <c r="BP2" s="230">
        <v>22201000</v>
      </c>
      <c r="BQ2" s="230">
        <v>3594000</v>
      </c>
      <c r="BR2" s="230">
        <v>18607000</v>
      </c>
      <c r="BS2" s="229">
        <v>5.1772</v>
      </c>
      <c r="BT2" s="230">
        <v>31637841</v>
      </c>
      <c r="BU2" s="230">
        <v>463771</v>
      </c>
      <c r="BV2" s="230">
        <v>31174070</v>
      </c>
      <c r="BW2" s="229">
        <v>67.218699999999998</v>
      </c>
      <c r="BX2" s="230">
        <v>3653000</v>
      </c>
      <c r="BY2" s="230">
        <v>1815000</v>
      </c>
      <c r="BZ2" s="230">
        <v>1838000</v>
      </c>
      <c r="CA2" s="229">
        <v>1.0126999999999999</v>
      </c>
      <c r="CB2" s="230">
        <v>3366500</v>
      </c>
      <c r="CC2" s="230">
        <v>1770000</v>
      </c>
      <c r="CD2" s="230">
        <v>1596500</v>
      </c>
      <c r="CE2" s="229">
        <v>0.90200000000000002</v>
      </c>
      <c r="CF2" s="230">
        <v>281500</v>
      </c>
      <c r="CG2" s="230">
        <v>43500</v>
      </c>
      <c r="CH2" s="230">
        <v>238000</v>
      </c>
      <c r="CI2" s="229">
        <v>5.4713000000000003</v>
      </c>
      <c r="CJ2" s="228">
        <v>0</v>
      </c>
      <c r="CK2" s="228">
        <v>0</v>
      </c>
      <c r="CL2" s="228">
        <v>0</v>
      </c>
      <c r="CM2" s="229">
        <v>0</v>
      </c>
      <c r="CN2" s="230">
        <v>2704500</v>
      </c>
      <c r="CO2" s="230">
        <v>1011000</v>
      </c>
      <c r="CP2" s="230">
        <v>1693500</v>
      </c>
      <c r="CQ2" s="229">
        <v>1.6751</v>
      </c>
      <c r="CR2" s="230">
        <v>1607000</v>
      </c>
      <c r="CS2" s="230">
        <v>553500</v>
      </c>
      <c r="CT2" s="230">
        <v>1053500</v>
      </c>
      <c r="CU2" s="229">
        <v>1.9033</v>
      </c>
      <c r="CV2" s="230">
        <v>7964500</v>
      </c>
      <c r="CW2" s="230">
        <v>3379500</v>
      </c>
      <c r="CX2" s="230">
        <v>4585000</v>
      </c>
      <c r="CY2" s="229">
        <v>1.3567</v>
      </c>
      <c r="CZ2" s="228">
        <v>29.41</v>
      </c>
      <c r="DA2" s="228">
        <v>34.58</v>
      </c>
      <c r="DB2" s="228">
        <v>-5.17</v>
      </c>
      <c r="DC2" s="228">
        <v>-5.17</v>
      </c>
      <c r="DD2" s="228">
        <v>50.07</v>
      </c>
      <c r="DE2" s="228">
        <v>49.39</v>
      </c>
      <c r="DF2" s="228">
        <v>-20.66</v>
      </c>
      <c r="DG2" s="228">
        <v>0.68</v>
      </c>
      <c r="DH2" s="228">
        <v>30.32</v>
      </c>
      <c r="DI2" s="228">
        <v>34.409999999999997</v>
      </c>
      <c r="DJ2" s="228">
        <v>-4.09</v>
      </c>
      <c r="DK2" s="228">
        <v>-4.09</v>
      </c>
      <c r="DL2" s="228">
        <v>28.23</v>
      </c>
      <c r="DM2" s="228">
        <v>35.229999999999997</v>
      </c>
      <c r="DN2" s="228">
        <v>-7</v>
      </c>
      <c r="DO2" s="228">
        <v>-7</v>
      </c>
      <c r="DP2" s="228">
        <v>0.59</v>
      </c>
      <c r="DQ2" s="228">
        <v>0.55000000000000004</v>
      </c>
      <c r="DR2" s="228">
        <v>0.04</v>
      </c>
      <c r="DS2" s="229">
        <v>7.2700000000000001E-2</v>
      </c>
      <c r="DT2" s="231">
        <v>1160</v>
      </c>
      <c r="DU2" s="231">
        <v>1160</v>
      </c>
      <c r="DV2" s="228">
        <v>0.77</v>
      </c>
      <c r="DW2" s="228">
        <v>0.27</v>
      </c>
      <c r="DX2" s="228">
        <v>0.5</v>
      </c>
      <c r="DY2" s="229">
        <v>1.8519000000000001</v>
      </c>
      <c r="DZ2" s="229">
        <v>7.7100000000000002E-2</v>
      </c>
      <c r="EA2" s="230">
        <v>43500</v>
      </c>
      <c r="EB2" s="229">
        <v>5.1000000000000004E-3</v>
      </c>
      <c r="EC2" s="229">
        <v>7.7100000000000002E-2</v>
      </c>
      <c r="ED2" s="228">
        <v>1.91</v>
      </c>
      <c r="EE2" s="229">
        <v>1.6999999999999999E-3</v>
      </c>
      <c r="EF2" s="230">
        <v>20195366</v>
      </c>
      <c r="EG2" s="230">
        <v>207270</v>
      </c>
      <c r="EH2" s="229">
        <v>96.435100000000006</v>
      </c>
      <c r="EI2" s="229">
        <v>0.63829999999999998</v>
      </c>
      <c r="EJ2" s="231">
        <v>106235.33</v>
      </c>
      <c r="EK2" s="231">
        <v>78105.19</v>
      </c>
      <c r="EL2" s="231">
        <v>75965.06</v>
      </c>
      <c r="EM2" s="228">
        <v>0</v>
      </c>
      <c r="EN2" s="231">
        <v>260305.58</v>
      </c>
      <c r="EO2" s="231">
        <v>45008.1</v>
      </c>
      <c r="EP2" s="231">
        <v>215297.48</v>
      </c>
      <c r="EQ2" s="229">
        <v>4.7835000000000001</v>
      </c>
      <c r="ER2" s="231">
        <v>32732</v>
      </c>
      <c r="ES2" s="231">
        <v>18308</v>
      </c>
      <c r="ET2" s="231">
        <v>41778</v>
      </c>
      <c r="EU2" s="231">
        <v>72384900</v>
      </c>
      <c r="EV2" s="231">
        <v>92818</v>
      </c>
      <c r="EW2" s="231">
        <v>41422</v>
      </c>
      <c r="EX2" s="231">
        <v>51396</v>
      </c>
      <c r="EY2" s="229">
        <v>1.2407999999999999</v>
      </c>
      <c r="EZ2" s="229">
        <v>0.11</v>
      </c>
      <c r="FA2" s="227" t="s">
        <v>567</v>
      </c>
      <c r="FB2" s="161">
        <f>BX2-CB2</f>
        <v>286500</v>
      </c>
    </row>
    <row r="3" spans="1:158" ht="17.25" thickBot="1" x14ac:dyDescent="0.3">
      <c r="A3" s="226">
        <v>45860</v>
      </c>
      <c r="B3" s="227" t="s">
        <v>498</v>
      </c>
      <c r="C3" s="227" t="s">
        <v>476</v>
      </c>
      <c r="D3" s="228">
        <v>1325</v>
      </c>
      <c r="E3" s="228">
        <v>423.7</v>
      </c>
      <c r="F3" s="228">
        <v>442.85</v>
      </c>
      <c r="G3" s="228">
        <v>-19.149999999999999</v>
      </c>
      <c r="H3" s="229">
        <v>-4.3200000000000002E-2</v>
      </c>
      <c r="I3" s="228">
        <v>422.95</v>
      </c>
      <c r="J3" s="228">
        <v>441.9</v>
      </c>
      <c r="K3" s="228">
        <v>-18.95</v>
      </c>
      <c r="L3" s="229">
        <v>-4.2900000000000001E-2</v>
      </c>
      <c r="M3" s="228">
        <v>423.7</v>
      </c>
      <c r="N3" s="228">
        <v>442.85</v>
      </c>
      <c r="O3" s="228">
        <v>-19.149999999999999</v>
      </c>
      <c r="P3" s="229">
        <v>-4.3200000000000002E-2</v>
      </c>
      <c r="Q3" s="228">
        <v>0</v>
      </c>
      <c r="R3" s="228">
        <v>0</v>
      </c>
      <c r="S3" s="228">
        <v>0</v>
      </c>
      <c r="T3" s="229">
        <v>0</v>
      </c>
      <c r="U3" s="228">
        <v>0</v>
      </c>
      <c r="V3" s="228">
        <v>0</v>
      </c>
      <c r="W3" s="228">
        <v>0</v>
      </c>
      <c r="X3" s="229">
        <v>0</v>
      </c>
      <c r="Y3" s="228">
        <v>0.75</v>
      </c>
      <c r="Z3" s="228">
        <v>0.95</v>
      </c>
      <c r="AA3" s="228">
        <v>-0.2</v>
      </c>
      <c r="AB3" s="229">
        <v>1.8E-3</v>
      </c>
      <c r="AC3" s="228">
        <v>0.75</v>
      </c>
      <c r="AD3" s="228">
        <v>0.95</v>
      </c>
      <c r="AE3" s="228">
        <v>-0.2</v>
      </c>
      <c r="AF3" s="229">
        <v>1.8E-3</v>
      </c>
      <c r="AG3" s="228">
        <v>0</v>
      </c>
      <c r="AH3" s="228">
        <v>0</v>
      </c>
      <c r="AI3" s="228">
        <v>0</v>
      </c>
      <c r="AJ3" s="229">
        <v>0</v>
      </c>
      <c r="AK3" s="228">
        <v>0</v>
      </c>
      <c r="AL3" s="228">
        <v>0</v>
      </c>
      <c r="AM3" s="228">
        <v>0</v>
      </c>
      <c r="AN3" s="229">
        <v>0</v>
      </c>
      <c r="AO3" s="228">
        <v>428.9</v>
      </c>
      <c r="AP3" s="228">
        <v>0</v>
      </c>
      <c r="AQ3" s="228">
        <v>0</v>
      </c>
      <c r="AR3" s="230">
        <v>5640525</v>
      </c>
      <c r="AS3" s="230">
        <v>2184925</v>
      </c>
      <c r="AT3" s="230">
        <v>3455600</v>
      </c>
      <c r="AU3" s="229">
        <v>1.5815999999999999</v>
      </c>
      <c r="AV3" s="230">
        <v>5640525</v>
      </c>
      <c r="AW3" s="230">
        <v>2184925</v>
      </c>
      <c r="AX3" s="230">
        <v>3455600</v>
      </c>
      <c r="AY3" s="229">
        <v>1.5815999999999999</v>
      </c>
      <c r="AZ3" s="228">
        <v>0</v>
      </c>
      <c r="BA3" s="228">
        <v>0</v>
      </c>
      <c r="BB3" s="228">
        <v>0</v>
      </c>
      <c r="BC3" s="229">
        <v>0</v>
      </c>
      <c r="BD3" s="228">
        <v>0</v>
      </c>
      <c r="BE3" s="228">
        <v>0</v>
      </c>
      <c r="BF3" s="228">
        <v>0</v>
      </c>
      <c r="BG3" s="229">
        <v>0</v>
      </c>
      <c r="BH3" s="230">
        <v>25531425</v>
      </c>
      <c r="BI3" s="230">
        <v>8236200</v>
      </c>
      <c r="BJ3" s="230">
        <v>17295225</v>
      </c>
      <c r="BK3" s="229">
        <v>2.0998999999999999</v>
      </c>
      <c r="BL3" s="230">
        <v>13041975</v>
      </c>
      <c r="BM3" s="230">
        <v>1735750</v>
      </c>
      <c r="BN3" s="230">
        <v>11306225</v>
      </c>
      <c r="BO3" s="229">
        <v>6.5137</v>
      </c>
      <c r="BP3" s="230">
        <v>44213925</v>
      </c>
      <c r="BQ3" s="230">
        <v>12156875</v>
      </c>
      <c r="BR3" s="230">
        <v>32057050</v>
      </c>
      <c r="BS3" s="229">
        <v>2.6368999999999998</v>
      </c>
      <c r="BT3" s="230">
        <v>4012425</v>
      </c>
      <c r="BU3" s="230">
        <v>842549</v>
      </c>
      <c r="BV3" s="230">
        <v>3169876</v>
      </c>
      <c r="BW3" s="229">
        <v>3.7622</v>
      </c>
      <c r="BX3" s="230">
        <v>12019075</v>
      </c>
      <c r="BY3" s="230">
        <v>12221800</v>
      </c>
      <c r="BZ3" s="230">
        <v>-202725</v>
      </c>
      <c r="CA3" s="229">
        <v>-1.66E-2</v>
      </c>
      <c r="CB3" s="230">
        <v>12019075</v>
      </c>
      <c r="CC3" s="230">
        <v>12221800</v>
      </c>
      <c r="CD3" s="230">
        <v>-202725</v>
      </c>
      <c r="CE3" s="229">
        <v>-1.66E-2</v>
      </c>
      <c r="CF3" s="228">
        <v>0</v>
      </c>
      <c r="CG3" s="228">
        <v>0</v>
      </c>
      <c r="CH3" s="228">
        <v>0</v>
      </c>
      <c r="CI3" s="229">
        <v>0</v>
      </c>
      <c r="CJ3" s="228">
        <v>0</v>
      </c>
      <c r="CK3" s="228">
        <v>0</v>
      </c>
      <c r="CL3" s="228">
        <v>0</v>
      </c>
      <c r="CM3" s="229">
        <v>0</v>
      </c>
      <c r="CN3" s="230">
        <v>18820300</v>
      </c>
      <c r="CO3" s="230">
        <v>11935600</v>
      </c>
      <c r="CP3" s="230">
        <v>6884700</v>
      </c>
      <c r="CQ3" s="229">
        <v>0.57679999999999998</v>
      </c>
      <c r="CR3" s="230">
        <v>4779275</v>
      </c>
      <c r="CS3" s="230">
        <v>4079675</v>
      </c>
      <c r="CT3" s="230">
        <v>699600</v>
      </c>
      <c r="CU3" s="229">
        <v>0.17150000000000001</v>
      </c>
      <c r="CV3" s="230">
        <v>35618650</v>
      </c>
      <c r="CW3" s="230">
        <v>28237075</v>
      </c>
      <c r="CX3" s="230">
        <v>7381575</v>
      </c>
      <c r="CY3" s="229">
        <v>0.26140000000000002</v>
      </c>
      <c r="CZ3" s="228">
        <v>41.19</v>
      </c>
      <c r="DA3" s="228">
        <v>36.89</v>
      </c>
      <c r="DB3" s="228">
        <v>4.3</v>
      </c>
      <c r="DC3" s="228">
        <v>4.3</v>
      </c>
      <c r="DD3" s="228">
        <v>44.3</v>
      </c>
      <c r="DE3" s="228">
        <v>44.01</v>
      </c>
      <c r="DF3" s="228">
        <v>-3.11</v>
      </c>
      <c r="DG3" s="228">
        <v>0.28999999999999998</v>
      </c>
      <c r="DH3" s="228">
        <v>43.95</v>
      </c>
      <c r="DI3" s="228">
        <v>38</v>
      </c>
      <c r="DJ3" s="228">
        <v>5.95</v>
      </c>
      <c r="DK3" s="228">
        <v>5.95</v>
      </c>
      <c r="DL3" s="228">
        <v>35.78</v>
      </c>
      <c r="DM3" s="228">
        <v>31.63</v>
      </c>
      <c r="DN3" s="228">
        <v>4.1500000000000004</v>
      </c>
      <c r="DO3" s="228">
        <v>4.1500000000000004</v>
      </c>
      <c r="DP3" s="228">
        <v>0.25</v>
      </c>
      <c r="DQ3" s="228">
        <v>0.34</v>
      </c>
      <c r="DR3" s="228">
        <v>-0.09</v>
      </c>
      <c r="DS3" s="229">
        <v>-0.26469999999999999</v>
      </c>
      <c r="DT3" s="228">
        <v>490</v>
      </c>
      <c r="DU3" s="228">
        <v>420</v>
      </c>
      <c r="DV3" s="228">
        <v>0.51</v>
      </c>
      <c r="DW3" s="228">
        <v>0.21</v>
      </c>
      <c r="DX3" s="228">
        <v>0.3</v>
      </c>
      <c r="DY3" s="229">
        <v>1.4286000000000001</v>
      </c>
      <c r="DZ3" s="229">
        <v>0</v>
      </c>
      <c r="EA3" s="228">
        <v>0</v>
      </c>
      <c r="EB3" s="229">
        <v>0</v>
      </c>
      <c r="EC3" s="229">
        <v>0</v>
      </c>
      <c r="ED3" s="228">
        <v>0</v>
      </c>
      <c r="EE3" s="229">
        <v>0</v>
      </c>
      <c r="EF3" s="230">
        <v>1679457</v>
      </c>
      <c r="EG3" s="230">
        <v>282395</v>
      </c>
      <c r="EH3" s="229">
        <v>4.9471999999999996</v>
      </c>
      <c r="EI3" s="229">
        <v>0.41860000000000003</v>
      </c>
      <c r="EJ3" s="231">
        <v>119895.05</v>
      </c>
      <c r="EK3" s="231">
        <v>56711.72</v>
      </c>
      <c r="EL3" s="231">
        <v>24192.11</v>
      </c>
      <c r="EM3" s="228">
        <v>0</v>
      </c>
      <c r="EN3" s="231">
        <v>200798.88</v>
      </c>
      <c r="EO3" s="231">
        <v>56836.639999999999</v>
      </c>
      <c r="EP3" s="231">
        <v>143962.23999999999</v>
      </c>
      <c r="EQ3" s="229">
        <v>2.5329000000000002</v>
      </c>
      <c r="ER3" s="231">
        <v>90085</v>
      </c>
      <c r="ES3" s="231">
        <v>20983</v>
      </c>
      <c r="ET3" s="231">
        <v>50925</v>
      </c>
      <c r="EU3" s="231">
        <v>41876170</v>
      </c>
      <c r="EV3" s="231">
        <v>161994</v>
      </c>
      <c r="EW3" s="231">
        <v>130092</v>
      </c>
      <c r="EX3" s="231">
        <v>31902</v>
      </c>
      <c r="EY3" s="229">
        <v>0.2452</v>
      </c>
      <c r="EZ3" s="229">
        <v>0.85060000000000002</v>
      </c>
      <c r="FA3" s="227" t="s">
        <v>568</v>
      </c>
      <c r="FB3" s="161">
        <f t="shared" ref="FB3:FB66" si="0">BX3-CB3</f>
        <v>0</v>
      </c>
    </row>
    <row r="4" spans="1:158" ht="17.25" thickBot="1" x14ac:dyDescent="0.3">
      <c r="A4" s="226">
        <v>45860</v>
      </c>
      <c r="B4" s="227" t="s">
        <v>184</v>
      </c>
      <c r="C4" s="227" t="s">
        <v>553</v>
      </c>
      <c r="D4" s="228">
        <v>125</v>
      </c>
      <c r="E4" s="231">
        <v>5766</v>
      </c>
      <c r="F4" s="231">
        <v>5852</v>
      </c>
      <c r="G4" s="228">
        <v>-86</v>
      </c>
      <c r="H4" s="229">
        <v>-1.47E-2</v>
      </c>
      <c r="I4" s="231">
        <v>5755</v>
      </c>
      <c r="J4" s="231">
        <v>5836</v>
      </c>
      <c r="K4" s="228">
        <v>-81</v>
      </c>
      <c r="L4" s="229">
        <v>-1.3899999999999999E-2</v>
      </c>
      <c r="M4" s="231">
        <v>5766</v>
      </c>
      <c r="N4" s="231">
        <v>5852</v>
      </c>
      <c r="O4" s="228">
        <v>-86</v>
      </c>
      <c r="P4" s="229">
        <v>-1.47E-2</v>
      </c>
      <c r="Q4" s="231">
        <v>5789</v>
      </c>
      <c r="R4" s="231">
        <v>5874.5</v>
      </c>
      <c r="S4" s="228">
        <v>-85.5</v>
      </c>
      <c r="T4" s="229">
        <v>-1.46E-2</v>
      </c>
      <c r="U4" s="228">
        <v>0</v>
      </c>
      <c r="V4" s="228">
        <v>0</v>
      </c>
      <c r="W4" s="228">
        <v>0</v>
      </c>
      <c r="X4" s="229">
        <v>0</v>
      </c>
      <c r="Y4" s="228">
        <v>11</v>
      </c>
      <c r="Z4" s="228">
        <v>16</v>
      </c>
      <c r="AA4" s="228">
        <v>-5</v>
      </c>
      <c r="AB4" s="229">
        <v>1.9E-3</v>
      </c>
      <c r="AC4" s="228">
        <v>11</v>
      </c>
      <c r="AD4" s="228">
        <v>16</v>
      </c>
      <c r="AE4" s="228">
        <v>-5</v>
      </c>
      <c r="AF4" s="229">
        <v>1.9E-3</v>
      </c>
      <c r="AG4" s="228">
        <v>34</v>
      </c>
      <c r="AH4" s="228">
        <v>38.5</v>
      </c>
      <c r="AI4" s="228">
        <v>-4.5</v>
      </c>
      <c r="AJ4" s="229">
        <v>5.8999999999999999E-3</v>
      </c>
      <c r="AK4" s="228">
        <v>0</v>
      </c>
      <c r="AL4" s="228">
        <v>0</v>
      </c>
      <c r="AM4" s="228">
        <v>0</v>
      </c>
      <c r="AN4" s="229">
        <v>0</v>
      </c>
      <c r="AO4" s="231">
        <v>5794.84</v>
      </c>
      <c r="AP4" s="231">
        <v>5821.72</v>
      </c>
      <c r="AQ4" s="228">
        <v>0</v>
      </c>
      <c r="AR4" s="230">
        <v>473000</v>
      </c>
      <c r="AS4" s="230">
        <v>1110750</v>
      </c>
      <c r="AT4" s="230">
        <v>-637750</v>
      </c>
      <c r="AU4" s="229">
        <v>-0.57420000000000004</v>
      </c>
      <c r="AV4" s="230">
        <v>376375</v>
      </c>
      <c r="AW4" s="230">
        <v>941750</v>
      </c>
      <c r="AX4" s="230">
        <v>-565375</v>
      </c>
      <c r="AY4" s="229">
        <v>-0.60029999999999994</v>
      </c>
      <c r="AZ4" s="230">
        <v>91750</v>
      </c>
      <c r="BA4" s="230">
        <v>156375</v>
      </c>
      <c r="BB4" s="230">
        <v>-64625</v>
      </c>
      <c r="BC4" s="229">
        <v>-0.4133</v>
      </c>
      <c r="BD4" s="228">
        <v>0</v>
      </c>
      <c r="BE4" s="228">
        <v>0</v>
      </c>
      <c r="BF4" s="228">
        <v>0</v>
      </c>
      <c r="BG4" s="229">
        <v>0</v>
      </c>
      <c r="BH4" s="230">
        <v>2069250</v>
      </c>
      <c r="BI4" s="230">
        <v>5473375</v>
      </c>
      <c r="BJ4" s="230">
        <v>-3404125</v>
      </c>
      <c r="BK4" s="229">
        <v>-0.62190000000000001</v>
      </c>
      <c r="BL4" s="230">
        <v>1269500</v>
      </c>
      <c r="BM4" s="230">
        <v>2207875</v>
      </c>
      <c r="BN4" s="230">
        <v>-938375</v>
      </c>
      <c r="BO4" s="229">
        <v>-0.42499999999999999</v>
      </c>
      <c r="BP4" s="230">
        <v>3811750</v>
      </c>
      <c r="BQ4" s="230">
        <v>8792000</v>
      </c>
      <c r="BR4" s="230">
        <v>-4980250</v>
      </c>
      <c r="BS4" s="229">
        <v>-0.5665</v>
      </c>
      <c r="BT4" s="230">
        <v>354895</v>
      </c>
      <c r="BU4" s="230">
        <v>454139</v>
      </c>
      <c r="BV4" s="230">
        <v>-99244</v>
      </c>
      <c r="BW4" s="229">
        <v>-0.2185</v>
      </c>
      <c r="BX4" s="230">
        <v>3055000</v>
      </c>
      <c r="BY4" s="230">
        <v>3072875</v>
      </c>
      <c r="BZ4" s="230">
        <v>-17875</v>
      </c>
      <c r="CA4" s="229">
        <v>-5.7999999999999996E-3</v>
      </c>
      <c r="CB4" s="230">
        <v>2812125</v>
      </c>
      <c r="CC4" s="230">
        <v>2829625</v>
      </c>
      <c r="CD4" s="230">
        <v>-17500</v>
      </c>
      <c r="CE4" s="229">
        <v>-6.1999999999999998E-3</v>
      </c>
      <c r="CF4" s="230">
        <v>218250</v>
      </c>
      <c r="CG4" s="230">
        <v>219625</v>
      </c>
      <c r="CH4" s="230">
        <v>-1375</v>
      </c>
      <c r="CI4" s="229">
        <v>-6.3E-3</v>
      </c>
      <c r="CJ4" s="228">
        <v>0</v>
      </c>
      <c r="CK4" s="228">
        <v>0</v>
      </c>
      <c r="CL4" s="228">
        <v>0</v>
      </c>
      <c r="CM4" s="229">
        <v>0</v>
      </c>
      <c r="CN4" s="230">
        <v>1765500</v>
      </c>
      <c r="CO4" s="230">
        <v>1672500</v>
      </c>
      <c r="CP4" s="230">
        <v>93000</v>
      </c>
      <c r="CQ4" s="229">
        <v>5.5599999999999997E-2</v>
      </c>
      <c r="CR4" s="230">
        <v>982500</v>
      </c>
      <c r="CS4" s="230">
        <v>1036375</v>
      </c>
      <c r="CT4" s="230">
        <v>-53875</v>
      </c>
      <c r="CU4" s="229">
        <v>-5.1999999999999998E-2</v>
      </c>
      <c r="CV4" s="230">
        <v>5803000</v>
      </c>
      <c r="CW4" s="230">
        <v>5781750</v>
      </c>
      <c r="CX4" s="230">
        <v>21250</v>
      </c>
      <c r="CY4" s="229">
        <v>3.7000000000000002E-3</v>
      </c>
      <c r="CZ4" s="228">
        <v>28.2</v>
      </c>
      <c r="DA4" s="228">
        <v>28.92</v>
      </c>
      <c r="DB4" s="228">
        <v>-0.72</v>
      </c>
      <c r="DC4" s="228">
        <v>-0.72</v>
      </c>
      <c r="DD4" s="228">
        <v>40.369999999999997</v>
      </c>
      <c r="DE4" s="228">
        <v>40.43</v>
      </c>
      <c r="DF4" s="228">
        <v>-12.17</v>
      </c>
      <c r="DG4" s="228">
        <v>-0.06</v>
      </c>
      <c r="DH4" s="228">
        <v>28.49</v>
      </c>
      <c r="DI4" s="228">
        <v>28.44</v>
      </c>
      <c r="DJ4" s="228">
        <v>0.05</v>
      </c>
      <c r="DK4" s="228">
        <v>0.05</v>
      </c>
      <c r="DL4" s="228">
        <v>27.73</v>
      </c>
      <c r="DM4" s="228">
        <v>30.12</v>
      </c>
      <c r="DN4" s="228">
        <v>-2.39</v>
      </c>
      <c r="DO4" s="228">
        <v>-2.39</v>
      </c>
      <c r="DP4" s="228">
        <v>0.56000000000000005</v>
      </c>
      <c r="DQ4" s="228">
        <v>0.62</v>
      </c>
      <c r="DR4" s="228">
        <v>-0.06</v>
      </c>
      <c r="DS4" s="229">
        <v>-9.6799999999999997E-2</v>
      </c>
      <c r="DT4" s="231">
        <v>6200</v>
      </c>
      <c r="DU4" s="231">
        <v>5500</v>
      </c>
      <c r="DV4" s="228">
        <v>0.61</v>
      </c>
      <c r="DW4" s="228">
        <v>0.4</v>
      </c>
      <c r="DX4" s="228">
        <v>0.21</v>
      </c>
      <c r="DY4" s="229">
        <v>0.52500000000000002</v>
      </c>
      <c r="DZ4" s="229">
        <v>7.1400000000000005E-2</v>
      </c>
      <c r="EA4" s="230">
        <v>219625</v>
      </c>
      <c r="EB4" s="229">
        <v>4.0000000000000001E-3</v>
      </c>
      <c r="EC4" s="229">
        <v>7.1400000000000005E-2</v>
      </c>
      <c r="ED4" s="228">
        <v>26.88</v>
      </c>
      <c r="EE4" s="229">
        <v>4.5999999999999999E-3</v>
      </c>
      <c r="EF4" s="230">
        <v>219030</v>
      </c>
      <c r="EG4" s="230">
        <v>177307</v>
      </c>
      <c r="EH4" s="229">
        <v>0.23530000000000001</v>
      </c>
      <c r="EI4" s="229">
        <v>0.61719999999999997</v>
      </c>
      <c r="EJ4" s="231">
        <v>124821.34</v>
      </c>
      <c r="EK4" s="231">
        <v>72199.520000000004</v>
      </c>
      <c r="EL4" s="231">
        <v>27437.58</v>
      </c>
      <c r="EM4" s="228">
        <v>0</v>
      </c>
      <c r="EN4" s="231">
        <v>224458.44</v>
      </c>
      <c r="EO4" s="231">
        <v>517869.28</v>
      </c>
      <c r="EP4" s="231">
        <v>-293410.84000000003</v>
      </c>
      <c r="EQ4" s="229">
        <v>-0.56659999999999999</v>
      </c>
      <c r="ER4" s="231">
        <v>107830</v>
      </c>
      <c r="ES4" s="231">
        <v>55387</v>
      </c>
      <c r="ET4" s="231">
        <v>176216</v>
      </c>
      <c r="EU4" s="231">
        <v>10595418</v>
      </c>
      <c r="EV4" s="231">
        <v>339433</v>
      </c>
      <c r="EW4" s="231">
        <v>340514</v>
      </c>
      <c r="EX4" s="231">
        <v>-1081</v>
      </c>
      <c r="EY4" s="229">
        <v>-3.2000000000000002E-3</v>
      </c>
      <c r="EZ4" s="229">
        <v>0.54769999999999996</v>
      </c>
      <c r="FA4" s="227" t="s">
        <v>568</v>
      </c>
      <c r="FB4" s="161">
        <f t="shared" si="0"/>
        <v>242875</v>
      </c>
    </row>
    <row r="5" spans="1:158" ht="17.25" thickBot="1" x14ac:dyDescent="0.3">
      <c r="A5" s="226">
        <v>45860</v>
      </c>
      <c r="B5" s="227" t="s">
        <v>175</v>
      </c>
      <c r="C5" s="227" t="s">
        <v>544</v>
      </c>
      <c r="D5" s="228">
        <v>3100</v>
      </c>
      <c r="E5" s="228">
        <v>269.39999999999998</v>
      </c>
      <c r="F5" s="228">
        <v>272.25</v>
      </c>
      <c r="G5" s="228">
        <v>-2.85</v>
      </c>
      <c r="H5" s="229">
        <v>-1.0500000000000001E-2</v>
      </c>
      <c r="I5" s="228">
        <v>268.55</v>
      </c>
      <c r="J5" s="228">
        <v>271.05</v>
      </c>
      <c r="K5" s="228">
        <v>-2.5</v>
      </c>
      <c r="L5" s="229">
        <v>-9.1999999999999998E-3</v>
      </c>
      <c r="M5" s="228">
        <v>269.39999999999998</v>
      </c>
      <c r="N5" s="228">
        <v>272.25</v>
      </c>
      <c r="O5" s="228">
        <v>-2.85</v>
      </c>
      <c r="P5" s="229">
        <v>-1.0500000000000001E-2</v>
      </c>
      <c r="Q5" s="228">
        <v>270.7</v>
      </c>
      <c r="R5" s="228">
        <v>273.5</v>
      </c>
      <c r="S5" s="228">
        <v>-2.8</v>
      </c>
      <c r="T5" s="229">
        <v>-1.0200000000000001E-2</v>
      </c>
      <c r="U5" s="228">
        <v>0</v>
      </c>
      <c r="V5" s="228">
        <v>0</v>
      </c>
      <c r="W5" s="228">
        <v>0</v>
      </c>
      <c r="X5" s="229">
        <v>0</v>
      </c>
      <c r="Y5" s="228">
        <v>0.85</v>
      </c>
      <c r="Z5" s="228">
        <v>1.2</v>
      </c>
      <c r="AA5" s="228">
        <v>-0.35</v>
      </c>
      <c r="AB5" s="229">
        <v>3.2000000000000002E-3</v>
      </c>
      <c r="AC5" s="228">
        <v>0.85</v>
      </c>
      <c r="AD5" s="228">
        <v>1.2</v>
      </c>
      <c r="AE5" s="228">
        <v>-0.35</v>
      </c>
      <c r="AF5" s="229">
        <v>3.2000000000000002E-3</v>
      </c>
      <c r="AG5" s="228">
        <v>2.15</v>
      </c>
      <c r="AH5" s="228">
        <v>2.4500000000000002</v>
      </c>
      <c r="AI5" s="228">
        <v>-0.3</v>
      </c>
      <c r="AJ5" s="229">
        <v>8.0000000000000002E-3</v>
      </c>
      <c r="AK5" s="228">
        <v>0</v>
      </c>
      <c r="AL5" s="228">
        <v>0</v>
      </c>
      <c r="AM5" s="228">
        <v>0</v>
      </c>
      <c r="AN5" s="229">
        <v>0</v>
      </c>
      <c r="AO5" s="228">
        <v>270.87</v>
      </c>
      <c r="AP5" s="228">
        <v>272.35000000000002</v>
      </c>
      <c r="AQ5" s="228">
        <v>0</v>
      </c>
      <c r="AR5" s="230">
        <v>7024600</v>
      </c>
      <c r="AS5" s="230">
        <v>10654700</v>
      </c>
      <c r="AT5" s="230">
        <v>-3630100</v>
      </c>
      <c r="AU5" s="229">
        <v>-0.3407</v>
      </c>
      <c r="AV5" s="230">
        <v>4867000</v>
      </c>
      <c r="AW5" s="230">
        <v>7570200</v>
      </c>
      <c r="AX5" s="230">
        <v>-2703200</v>
      </c>
      <c r="AY5" s="229">
        <v>-0.35709999999999997</v>
      </c>
      <c r="AZ5" s="230">
        <v>2114200</v>
      </c>
      <c r="BA5" s="230">
        <v>3022500</v>
      </c>
      <c r="BB5" s="230">
        <v>-908300</v>
      </c>
      <c r="BC5" s="229">
        <v>-0.30049999999999999</v>
      </c>
      <c r="BD5" s="228">
        <v>0</v>
      </c>
      <c r="BE5" s="228">
        <v>0</v>
      </c>
      <c r="BF5" s="228">
        <v>0</v>
      </c>
      <c r="BG5" s="229">
        <v>0</v>
      </c>
      <c r="BH5" s="230">
        <v>14387100</v>
      </c>
      <c r="BI5" s="230">
        <v>22289000</v>
      </c>
      <c r="BJ5" s="230">
        <v>-7901900</v>
      </c>
      <c r="BK5" s="229">
        <v>-0.35449999999999998</v>
      </c>
      <c r="BL5" s="230">
        <v>8010400</v>
      </c>
      <c r="BM5" s="230">
        <v>14278600</v>
      </c>
      <c r="BN5" s="230">
        <v>-6268200</v>
      </c>
      <c r="BO5" s="229">
        <v>-0.439</v>
      </c>
      <c r="BP5" s="230">
        <v>29422100</v>
      </c>
      <c r="BQ5" s="230">
        <v>47222300</v>
      </c>
      <c r="BR5" s="230">
        <v>-17800200</v>
      </c>
      <c r="BS5" s="229">
        <v>-0.37690000000000001</v>
      </c>
      <c r="BT5" s="230">
        <v>2404111</v>
      </c>
      <c r="BU5" s="230">
        <v>3845381</v>
      </c>
      <c r="BV5" s="230">
        <v>-1441270</v>
      </c>
      <c r="BW5" s="229">
        <v>-0.37480000000000002</v>
      </c>
      <c r="BX5" s="230">
        <v>54429800</v>
      </c>
      <c r="BY5" s="230">
        <v>54947500</v>
      </c>
      <c r="BZ5" s="230">
        <v>-517700</v>
      </c>
      <c r="CA5" s="229">
        <v>-9.4000000000000004E-3</v>
      </c>
      <c r="CB5" s="230">
        <v>49100900</v>
      </c>
      <c r="CC5" s="230">
        <v>49782900</v>
      </c>
      <c r="CD5" s="230">
        <v>-682000</v>
      </c>
      <c r="CE5" s="229">
        <v>-1.37E-2</v>
      </c>
      <c r="CF5" s="230">
        <v>5127400</v>
      </c>
      <c r="CG5" s="230">
        <v>4972400</v>
      </c>
      <c r="CH5" s="230">
        <v>155000</v>
      </c>
      <c r="CI5" s="229">
        <v>3.1199999999999999E-2</v>
      </c>
      <c r="CJ5" s="228">
        <v>0</v>
      </c>
      <c r="CK5" s="228">
        <v>0</v>
      </c>
      <c r="CL5" s="228">
        <v>0</v>
      </c>
      <c r="CM5" s="229">
        <v>0</v>
      </c>
      <c r="CN5" s="230">
        <v>23184900</v>
      </c>
      <c r="CO5" s="230">
        <v>23330600</v>
      </c>
      <c r="CP5" s="230">
        <v>-145700</v>
      </c>
      <c r="CQ5" s="229">
        <v>-6.1999999999999998E-3</v>
      </c>
      <c r="CR5" s="230">
        <v>14024400</v>
      </c>
      <c r="CS5" s="230">
        <v>14064700</v>
      </c>
      <c r="CT5" s="230">
        <v>-40300</v>
      </c>
      <c r="CU5" s="229">
        <v>-2.8999999999999998E-3</v>
      </c>
      <c r="CV5" s="230">
        <v>91639100</v>
      </c>
      <c r="CW5" s="230">
        <v>92342800</v>
      </c>
      <c r="CX5" s="230">
        <v>-703700</v>
      </c>
      <c r="CY5" s="229">
        <v>-7.6E-3</v>
      </c>
      <c r="CZ5" s="228">
        <v>29.98</v>
      </c>
      <c r="DA5" s="228">
        <v>29.94</v>
      </c>
      <c r="DB5" s="228">
        <v>0.04</v>
      </c>
      <c r="DC5" s="228">
        <v>0.04</v>
      </c>
      <c r="DD5" s="228">
        <v>40.270000000000003</v>
      </c>
      <c r="DE5" s="228">
        <v>40.340000000000003</v>
      </c>
      <c r="DF5" s="228">
        <v>-10.29</v>
      </c>
      <c r="DG5" s="228">
        <v>-7.0000000000000007E-2</v>
      </c>
      <c r="DH5" s="228">
        <v>30.04</v>
      </c>
      <c r="DI5" s="228">
        <v>29.44</v>
      </c>
      <c r="DJ5" s="228">
        <v>0.6</v>
      </c>
      <c r="DK5" s="228">
        <v>0.6</v>
      </c>
      <c r="DL5" s="228">
        <v>29.88</v>
      </c>
      <c r="DM5" s="228">
        <v>30.71</v>
      </c>
      <c r="DN5" s="228">
        <v>-0.83</v>
      </c>
      <c r="DO5" s="228">
        <v>-0.83</v>
      </c>
      <c r="DP5" s="228">
        <v>0.6</v>
      </c>
      <c r="DQ5" s="228">
        <v>0.6</v>
      </c>
      <c r="DR5" s="228">
        <v>0</v>
      </c>
      <c r="DS5" s="229">
        <v>0</v>
      </c>
      <c r="DT5" s="228">
        <v>270</v>
      </c>
      <c r="DU5" s="228">
        <v>260</v>
      </c>
      <c r="DV5" s="228">
        <v>0.56000000000000005</v>
      </c>
      <c r="DW5" s="228">
        <v>0.64</v>
      </c>
      <c r="DX5" s="228">
        <v>-0.08</v>
      </c>
      <c r="DY5" s="229">
        <v>-0.125</v>
      </c>
      <c r="DZ5" s="229">
        <v>9.4200000000000006E-2</v>
      </c>
      <c r="EA5" s="230">
        <v>4972400</v>
      </c>
      <c r="EB5" s="229">
        <v>4.7999999999999996E-3</v>
      </c>
      <c r="EC5" s="229">
        <v>9.4200000000000006E-2</v>
      </c>
      <c r="ED5" s="228">
        <v>1.48</v>
      </c>
      <c r="EE5" s="229">
        <v>5.4999999999999997E-3</v>
      </c>
      <c r="EF5" s="230">
        <v>963538</v>
      </c>
      <c r="EG5" s="230">
        <v>1936008</v>
      </c>
      <c r="EH5" s="229">
        <v>-0.50229999999999997</v>
      </c>
      <c r="EI5" s="229">
        <v>0.40079999999999999</v>
      </c>
      <c r="EJ5" s="231">
        <v>40464.89</v>
      </c>
      <c r="EK5" s="231">
        <v>21399.13</v>
      </c>
      <c r="EL5" s="231">
        <v>19059.73</v>
      </c>
      <c r="EM5" s="228">
        <v>0</v>
      </c>
      <c r="EN5" s="231">
        <v>80923.75</v>
      </c>
      <c r="EO5" s="231">
        <v>128849.65</v>
      </c>
      <c r="EP5" s="231">
        <v>-47925.9</v>
      </c>
      <c r="EQ5" s="229">
        <v>-0.372</v>
      </c>
      <c r="ER5" s="231">
        <v>64358</v>
      </c>
      <c r="ES5" s="231">
        <v>36056</v>
      </c>
      <c r="ET5" s="231">
        <v>146705</v>
      </c>
      <c r="EU5" s="231">
        <v>162442174</v>
      </c>
      <c r="EV5" s="231">
        <v>247119</v>
      </c>
      <c r="EW5" s="231">
        <v>250494</v>
      </c>
      <c r="EX5" s="231">
        <v>-3375</v>
      </c>
      <c r="EY5" s="229">
        <v>-1.35E-2</v>
      </c>
      <c r="EZ5" s="229">
        <v>0.56410000000000005</v>
      </c>
      <c r="FA5" s="227" t="s">
        <v>568</v>
      </c>
      <c r="FB5" s="161">
        <f t="shared" si="0"/>
        <v>5328900</v>
      </c>
    </row>
    <row r="6" spans="1:158" ht="17.25" thickBot="1" x14ac:dyDescent="0.3">
      <c r="A6" s="226">
        <v>45860</v>
      </c>
      <c r="B6" s="227" t="s">
        <v>197</v>
      </c>
      <c r="C6" s="227" t="s">
        <v>499</v>
      </c>
      <c r="D6" s="228">
        <v>2600</v>
      </c>
      <c r="E6" s="228">
        <v>75.64</v>
      </c>
      <c r="F6" s="228">
        <v>75.209999999999994</v>
      </c>
      <c r="G6" s="228">
        <v>0.43</v>
      </c>
      <c r="H6" s="229">
        <v>5.7000000000000002E-3</v>
      </c>
      <c r="I6" s="228">
        <v>75.64</v>
      </c>
      <c r="J6" s="228">
        <v>75.099999999999994</v>
      </c>
      <c r="K6" s="228">
        <v>0.54</v>
      </c>
      <c r="L6" s="229">
        <v>7.1999999999999998E-3</v>
      </c>
      <c r="M6" s="228">
        <v>75.64</v>
      </c>
      <c r="N6" s="228">
        <v>75.209999999999994</v>
      </c>
      <c r="O6" s="228">
        <v>0.43</v>
      </c>
      <c r="P6" s="229">
        <v>5.7000000000000002E-3</v>
      </c>
      <c r="Q6" s="228">
        <v>76.010000000000005</v>
      </c>
      <c r="R6" s="228">
        <v>75.59</v>
      </c>
      <c r="S6" s="228">
        <v>0.42</v>
      </c>
      <c r="T6" s="229">
        <v>5.5999999999999999E-3</v>
      </c>
      <c r="U6" s="228">
        <v>0</v>
      </c>
      <c r="V6" s="228">
        <v>0</v>
      </c>
      <c r="W6" s="228">
        <v>0</v>
      </c>
      <c r="X6" s="229">
        <v>0</v>
      </c>
      <c r="Y6" s="228">
        <v>0</v>
      </c>
      <c r="Z6" s="228">
        <v>0.11</v>
      </c>
      <c r="AA6" s="228">
        <v>-0.11</v>
      </c>
      <c r="AB6" s="229">
        <v>0</v>
      </c>
      <c r="AC6" s="228">
        <v>0</v>
      </c>
      <c r="AD6" s="228">
        <v>0.11</v>
      </c>
      <c r="AE6" s="228">
        <v>-0.11</v>
      </c>
      <c r="AF6" s="229">
        <v>0</v>
      </c>
      <c r="AG6" s="228">
        <v>0.37</v>
      </c>
      <c r="AH6" s="228">
        <v>0.49</v>
      </c>
      <c r="AI6" s="228">
        <v>-0.12</v>
      </c>
      <c r="AJ6" s="229">
        <v>4.8999999999999998E-3</v>
      </c>
      <c r="AK6" s="228">
        <v>0</v>
      </c>
      <c r="AL6" s="228">
        <v>0</v>
      </c>
      <c r="AM6" s="228">
        <v>0</v>
      </c>
      <c r="AN6" s="229">
        <v>0</v>
      </c>
      <c r="AO6" s="228">
        <v>75.430000000000007</v>
      </c>
      <c r="AP6" s="228">
        <v>75.83</v>
      </c>
      <c r="AQ6" s="228">
        <v>0</v>
      </c>
      <c r="AR6" s="230">
        <v>6955000</v>
      </c>
      <c r="AS6" s="230">
        <v>5558800</v>
      </c>
      <c r="AT6" s="230">
        <v>1396200</v>
      </c>
      <c r="AU6" s="229">
        <v>0.25119999999999998</v>
      </c>
      <c r="AV6" s="230">
        <v>5493800</v>
      </c>
      <c r="AW6" s="230">
        <v>3949400</v>
      </c>
      <c r="AX6" s="230">
        <v>1544400</v>
      </c>
      <c r="AY6" s="229">
        <v>0.39100000000000001</v>
      </c>
      <c r="AZ6" s="230">
        <v>1461200</v>
      </c>
      <c r="BA6" s="230">
        <v>1609400</v>
      </c>
      <c r="BB6" s="230">
        <v>-148200</v>
      </c>
      <c r="BC6" s="229">
        <v>-9.2100000000000001E-2</v>
      </c>
      <c r="BD6" s="228">
        <v>0</v>
      </c>
      <c r="BE6" s="228">
        <v>0</v>
      </c>
      <c r="BF6" s="228">
        <v>0</v>
      </c>
      <c r="BG6" s="229">
        <v>0</v>
      </c>
      <c r="BH6" s="230">
        <v>11499800</v>
      </c>
      <c r="BI6" s="230">
        <v>9217000</v>
      </c>
      <c r="BJ6" s="230">
        <v>2282800</v>
      </c>
      <c r="BK6" s="229">
        <v>0.2477</v>
      </c>
      <c r="BL6" s="230">
        <v>2969200</v>
      </c>
      <c r="BM6" s="230">
        <v>2878200</v>
      </c>
      <c r="BN6" s="230">
        <v>91000</v>
      </c>
      <c r="BO6" s="229">
        <v>3.1600000000000003E-2</v>
      </c>
      <c r="BP6" s="230">
        <v>21424000</v>
      </c>
      <c r="BQ6" s="230">
        <v>17654000</v>
      </c>
      <c r="BR6" s="230">
        <v>3770000</v>
      </c>
      <c r="BS6" s="229">
        <v>0.2135</v>
      </c>
      <c r="BT6" s="230">
        <v>6649523</v>
      </c>
      <c r="BU6" s="230">
        <v>2504179</v>
      </c>
      <c r="BV6" s="230">
        <v>4145344</v>
      </c>
      <c r="BW6" s="229">
        <v>1.6554</v>
      </c>
      <c r="BX6" s="230">
        <v>59573800</v>
      </c>
      <c r="BY6" s="230">
        <v>59976800</v>
      </c>
      <c r="BZ6" s="230">
        <v>-403000</v>
      </c>
      <c r="CA6" s="229">
        <v>-6.7000000000000002E-3</v>
      </c>
      <c r="CB6" s="230">
        <v>50741600</v>
      </c>
      <c r="CC6" s="230">
        <v>51950600</v>
      </c>
      <c r="CD6" s="230">
        <v>-1209000</v>
      </c>
      <c r="CE6" s="229">
        <v>-2.3300000000000001E-2</v>
      </c>
      <c r="CF6" s="230">
        <v>8832200</v>
      </c>
      <c r="CG6" s="230">
        <v>8026200</v>
      </c>
      <c r="CH6" s="230">
        <v>806000</v>
      </c>
      <c r="CI6" s="229">
        <v>0.1004</v>
      </c>
      <c r="CJ6" s="228">
        <v>0</v>
      </c>
      <c r="CK6" s="228">
        <v>0</v>
      </c>
      <c r="CL6" s="228">
        <v>0</v>
      </c>
      <c r="CM6" s="229">
        <v>0</v>
      </c>
      <c r="CN6" s="230">
        <v>30040400</v>
      </c>
      <c r="CO6" s="230">
        <v>30667000</v>
      </c>
      <c r="CP6" s="230">
        <v>-626600</v>
      </c>
      <c r="CQ6" s="229">
        <v>-2.0400000000000001E-2</v>
      </c>
      <c r="CR6" s="230">
        <v>21101600</v>
      </c>
      <c r="CS6" s="230">
        <v>20870200</v>
      </c>
      <c r="CT6" s="230">
        <v>231400</v>
      </c>
      <c r="CU6" s="229">
        <v>1.11E-2</v>
      </c>
      <c r="CV6" s="230">
        <v>110715800</v>
      </c>
      <c r="CW6" s="230">
        <v>111514000</v>
      </c>
      <c r="CX6" s="230">
        <v>-798200</v>
      </c>
      <c r="CY6" s="229">
        <v>-7.1999999999999998E-3</v>
      </c>
      <c r="CZ6" s="228">
        <v>32.35</v>
      </c>
      <c r="DA6" s="228">
        <v>34.94</v>
      </c>
      <c r="DB6" s="228">
        <v>-2.59</v>
      </c>
      <c r="DC6" s="228">
        <v>-2.59</v>
      </c>
      <c r="DD6" s="228">
        <v>43.73</v>
      </c>
      <c r="DE6" s="228">
        <v>43.83</v>
      </c>
      <c r="DF6" s="228">
        <v>-11.38</v>
      </c>
      <c r="DG6" s="228">
        <v>-0.1</v>
      </c>
      <c r="DH6" s="228">
        <v>33.47</v>
      </c>
      <c r="DI6" s="228">
        <v>35.979999999999997</v>
      </c>
      <c r="DJ6" s="228">
        <v>-2.5099999999999998</v>
      </c>
      <c r="DK6" s="228">
        <v>-2.5099999999999998</v>
      </c>
      <c r="DL6" s="228">
        <v>28.01</v>
      </c>
      <c r="DM6" s="228">
        <v>31.62</v>
      </c>
      <c r="DN6" s="228">
        <v>-3.61</v>
      </c>
      <c r="DO6" s="228">
        <v>-3.61</v>
      </c>
      <c r="DP6" s="228">
        <v>0.7</v>
      </c>
      <c r="DQ6" s="228">
        <v>0.68</v>
      </c>
      <c r="DR6" s="228">
        <v>0.02</v>
      </c>
      <c r="DS6" s="229">
        <v>2.9399999999999999E-2</v>
      </c>
      <c r="DT6" s="228">
        <v>80</v>
      </c>
      <c r="DU6" s="228">
        <v>75</v>
      </c>
      <c r="DV6" s="228">
        <v>0.26</v>
      </c>
      <c r="DW6" s="228">
        <v>0.31</v>
      </c>
      <c r="DX6" s="228">
        <v>-0.05</v>
      </c>
      <c r="DY6" s="229">
        <v>-0.1613</v>
      </c>
      <c r="DZ6" s="229">
        <v>0.14829999999999999</v>
      </c>
      <c r="EA6" s="230">
        <v>8026200</v>
      </c>
      <c r="EB6" s="229">
        <v>4.8999999999999998E-3</v>
      </c>
      <c r="EC6" s="229">
        <v>0.14829999999999999</v>
      </c>
      <c r="ED6" s="228">
        <v>0.4</v>
      </c>
      <c r="EE6" s="229">
        <v>5.3E-3</v>
      </c>
      <c r="EF6" s="230">
        <v>4387048</v>
      </c>
      <c r="EG6" s="230">
        <v>992348</v>
      </c>
      <c r="EH6" s="229">
        <v>3.4209000000000001</v>
      </c>
      <c r="EI6" s="229">
        <v>0.65980000000000005</v>
      </c>
      <c r="EJ6" s="231">
        <v>9124.27</v>
      </c>
      <c r="EK6" s="231">
        <v>2276.65</v>
      </c>
      <c r="EL6" s="231">
        <v>5251.84</v>
      </c>
      <c r="EM6" s="228">
        <v>0</v>
      </c>
      <c r="EN6" s="231">
        <v>16652.759999999998</v>
      </c>
      <c r="EO6" s="231">
        <v>13729.13</v>
      </c>
      <c r="EP6" s="231">
        <v>2923.63</v>
      </c>
      <c r="EQ6" s="229">
        <v>0.21299999999999999</v>
      </c>
      <c r="ER6" s="231">
        <v>24199</v>
      </c>
      <c r="ES6" s="231">
        <v>15403</v>
      </c>
      <c r="ET6" s="231">
        <v>45094</v>
      </c>
      <c r="EU6" s="231">
        <v>121580965</v>
      </c>
      <c r="EV6" s="231">
        <v>84697</v>
      </c>
      <c r="EW6" s="231">
        <v>85069</v>
      </c>
      <c r="EX6" s="228">
        <v>-372</v>
      </c>
      <c r="EY6" s="229">
        <v>-4.4000000000000003E-3</v>
      </c>
      <c r="EZ6" s="229">
        <v>0.91059999999999997</v>
      </c>
      <c r="FA6" s="227" t="s">
        <v>556</v>
      </c>
      <c r="FB6" s="161">
        <f t="shared" si="0"/>
        <v>8832200</v>
      </c>
    </row>
    <row r="7" spans="1:158" ht="17.25" thickBot="1" x14ac:dyDescent="0.3">
      <c r="A7" s="226">
        <v>45860</v>
      </c>
      <c r="B7" s="227" t="s">
        <v>157</v>
      </c>
      <c r="C7" s="227" t="s">
        <v>158</v>
      </c>
      <c r="D7" s="228">
        <v>300</v>
      </c>
      <c r="E7" s="231">
        <v>1959.7</v>
      </c>
      <c r="F7" s="231">
        <v>1980.6</v>
      </c>
      <c r="G7" s="228">
        <v>-20.9</v>
      </c>
      <c r="H7" s="229">
        <v>-1.06E-2</v>
      </c>
      <c r="I7" s="231">
        <v>1958.9</v>
      </c>
      <c r="J7" s="231">
        <v>1978.4</v>
      </c>
      <c r="K7" s="228">
        <v>-19.5</v>
      </c>
      <c r="L7" s="229">
        <v>-9.9000000000000008E-3</v>
      </c>
      <c r="M7" s="231">
        <v>1959.7</v>
      </c>
      <c r="N7" s="231">
        <v>1980.6</v>
      </c>
      <c r="O7" s="228">
        <v>-20.9</v>
      </c>
      <c r="P7" s="229">
        <v>-1.06E-2</v>
      </c>
      <c r="Q7" s="228">
        <v>0</v>
      </c>
      <c r="R7" s="228">
        <v>0</v>
      </c>
      <c r="S7" s="228">
        <v>0</v>
      </c>
      <c r="T7" s="229">
        <v>0</v>
      </c>
      <c r="U7" s="228">
        <v>0</v>
      </c>
      <c r="V7" s="228">
        <v>0</v>
      </c>
      <c r="W7" s="228">
        <v>0</v>
      </c>
      <c r="X7" s="229">
        <v>0</v>
      </c>
      <c r="Y7" s="228">
        <v>0.8</v>
      </c>
      <c r="Z7" s="228">
        <v>2.2000000000000002</v>
      </c>
      <c r="AA7" s="228">
        <v>-1.4</v>
      </c>
      <c r="AB7" s="229">
        <v>4.0000000000000002E-4</v>
      </c>
      <c r="AC7" s="228">
        <v>0.8</v>
      </c>
      <c r="AD7" s="228">
        <v>2.2000000000000002</v>
      </c>
      <c r="AE7" s="228">
        <v>-1.4</v>
      </c>
      <c r="AF7" s="229">
        <v>4.0000000000000002E-4</v>
      </c>
      <c r="AG7" s="228">
        <v>0</v>
      </c>
      <c r="AH7" s="228">
        <v>0</v>
      </c>
      <c r="AI7" s="228">
        <v>0</v>
      </c>
      <c r="AJ7" s="229">
        <v>0</v>
      </c>
      <c r="AK7" s="228">
        <v>0</v>
      </c>
      <c r="AL7" s="228">
        <v>0</v>
      </c>
      <c r="AM7" s="228">
        <v>0</v>
      </c>
      <c r="AN7" s="229">
        <v>0</v>
      </c>
      <c r="AO7" s="231">
        <v>1972.05</v>
      </c>
      <c r="AP7" s="228">
        <v>0</v>
      </c>
      <c r="AQ7" s="228">
        <v>0</v>
      </c>
      <c r="AR7" s="230">
        <v>585300</v>
      </c>
      <c r="AS7" s="230">
        <v>643200</v>
      </c>
      <c r="AT7" s="230">
        <v>-57900</v>
      </c>
      <c r="AU7" s="229">
        <v>-0.09</v>
      </c>
      <c r="AV7" s="230">
        <v>585300</v>
      </c>
      <c r="AW7" s="230">
        <v>643200</v>
      </c>
      <c r="AX7" s="230">
        <v>-57900</v>
      </c>
      <c r="AY7" s="229">
        <v>-0.09</v>
      </c>
      <c r="AZ7" s="228">
        <v>0</v>
      </c>
      <c r="BA7" s="228">
        <v>0</v>
      </c>
      <c r="BB7" s="228">
        <v>0</v>
      </c>
      <c r="BC7" s="229">
        <v>0</v>
      </c>
      <c r="BD7" s="228">
        <v>0</v>
      </c>
      <c r="BE7" s="228">
        <v>0</v>
      </c>
      <c r="BF7" s="228">
        <v>0</v>
      </c>
      <c r="BG7" s="229">
        <v>0</v>
      </c>
      <c r="BH7" s="230">
        <v>1554300</v>
      </c>
      <c r="BI7" s="230">
        <v>1224300</v>
      </c>
      <c r="BJ7" s="230">
        <v>330000</v>
      </c>
      <c r="BK7" s="229">
        <v>0.26950000000000002</v>
      </c>
      <c r="BL7" s="230">
        <v>352200</v>
      </c>
      <c r="BM7" s="230">
        <v>326100</v>
      </c>
      <c r="BN7" s="230">
        <v>26100</v>
      </c>
      <c r="BO7" s="229">
        <v>0.08</v>
      </c>
      <c r="BP7" s="230">
        <v>2491800</v>
      </c>
      <c r="BQ7" s="230">
        <v>2193600</v>
      </c>
      <c r="BR7" s="230">
        <v>298200</v>
      </c>
      <c r="BS7" s="229">
        <v>0.13589999999999999</v>
      </c>
      <c r="BT7" s="230">
        <v>233235</v>
      </c>
      <c r="BU7" s="230">
        <v>391372</v>
      </c>
      <c r="BV7" s="230">
        <v>-158137</v>
      </c>
      <c r="BW7" s="229">
        <v>-0.40410000000000001</v>
      </c>
      <c r="BX7" s="230">
        <v>3634800</v>
      </c>
      <c r="BY7" s="230">
        <v>3715200</v>
      </c>
      <c r="BZ7" s="230">
        <v>-80400</v>
      </c>
      <c r="CA7" s="229">
        <v>-2.1600000000000001E-2</v>
      </c>
      <c r="CB7" s="230">
        <v>3634800</v>
      </c>
      <c r="CC7" s="230">
        <v>3715200</v>
      </c>
      <c r="CD7" s="230">
        <v>-80400</v>
      </c>
      <c r="CE7" s="229">
        <v>-2.1600000000000001E-2</v>
      </c>
      <c r="CF7" s="228">
        <v>0</v>
      </c>
      <c r="CG7" s="228">
        <v>0</v>
      </c>
      <c r="CH7" s="228">
        <v>0</v>
      </c>
      <c r="CI7" s="229">
        <v>0</v>
      </c>
      <c r="CJ7" s="228">
        <v>0</v>
      </c>
      <c r="CK7" s="228">
        <v>0</v>
      </c>
      <c r="CL7" s="228">
        <v>0</v>
      </c>
      <c r="CM7" s="229">
        <v>0</v>
      </c>
      <c r="CN7" s="230">
        <v>1913100</v>
      </c>
      <c r="CO7" s="230">
        <v>1834800</v>
      </c>
      <c r="CP7" s="230">
        <v>78300</v>
      </c>
      <c r="CQ7" s="229">
        <v>4.2700000000000002E-2</v>
      </c>
      <c r="CR7" s="230">
        <v>1206900</v>
      </c>
      <c r="CS7" s="230">
        <v>1141800</v>
      </c>
      <c r="CT7" s="230">
        <v>65100</v>
      </c>
      <c r="CU7" s="229">
        <v>5.7000000000000002E-2</v>
      </c>
      <c r="CV7" s="230">
        <v>6754800</v>
      </c>
      <c r="CW7" s="230">
        <v>6691800</v>
      </c>
      <c r="CX7" s="230">
        <v>63000</v>
      </c>
      <c r="CY7" s="229">
        <v>9.4000000000000004E-3</v>
      </c>
      <c r="CZ7" s="228">
        <v>28.85</v>
      </c>
      <c r="DA7" s="228">
        <v>29.41</v>
      </c>
      <c r="DB7" s="228">
        <v>-0.56000000000000005</v>
      </c>
      <c r="DC7" s="228">
        <v>-0.56000000000000005</v>
      </c>
      <c r="DD7" s="228">
        <v>32.51</v>
      </c>
      <c r="DE7" s="228">
        <v>32.56</v>
      </c>
      <c r="DF7" s="228">
        <v>-3.66</v>
      </c>
      <c r="DG7" s="228">
        <v>-0.05</v>
      </c>
      <c r="DH7" s="228">
        <v>29.03</v>
      </c>
      <c r="DI7" s="228">
        <v>29.43</v>
      </c>
      <c r="DJ7" s="228">
        <v>-0.4</v>
      </c>
      <c r="DK7" s="228">
        <v>-0.4</v>
      </c>
      <c r="DL7" s="228">
        <v>28.08</v>
      </c>
      <c r="DM7" s="228">
        <v>29.35</v>
      </c>
      <c r="DN7" s="228">
        <v>-1.27</v>
      </c>
      <c r="DO7" s="228">
        <v>-1.27</v>
      </c>
      <c r="DP7" s="228">
        <v>0.63</v>
      </c>
      <c r="DQ7" s="228">
        <v>0.62</v>
      </c>
      <c r="DR7" s="228">
        <v>0.01</v>
      </c>
      <c r="DS7" s="229">
        <v>1.61E-2</v>
      </c>
      <c r="DT7" s="231">
        <v>2000</v>
      </c>
      <c r="DU7" s="231">
        <v>1900</v>
      </c>
      <c r="DV7" s="228">
        <v>0.23</v>
      </c>
      <c r="DW7" s="228">
        <v>0.27</v>
      </c>
      <c r="DX7" s="228">
        <v>-0.04</v>
      </c>
      <c r="DY7" s="229">
        <v>-0.14810000000000001</v>
      </c>
      <c r="DZ7" s="229">
        <v>0</v>
      </c>
      <c r="EA7" s="228">
        <v>0</v>
      </c>
      <c r="EB7" s="229">
        <v>0</v>
      </c>
      <c r="EC7" s="229">
        <v>0</v>
      </c>
      <c r="ED7" s="228">
        <v>0</v>
      </c>
      <c r="EE7" s="229">
        <v>0</v>
      </c>
      <c r="EF7" s="230">
        <v>131943</v>
      </c>
      <c r="EG7" s="230">
        <v>237516</v>
      </c>
      <c r="EH7" s="229">
        <v>-0.44450000000000001</v>
      </c>
      <c r="EI7" s="229">
        <v>0.56569999999999998</v>
      </c>
      <c r="EJ7" s="231">
        <v>31698.69</v>
      </c>
      <c r="EK7" s="231">
        <v>6950.29</v>
      </c>
      <c r="EL7" s="231">
        <v>11542.4</v>
      </c>
      <c r="EM7" s="228">
        <v>0</v>
      </c>
      <c r="EN7" s="231">
        <v>50191.38</v>
      </c>
      <c r="EO7" s="231">
        <v>44101.39</v>
      </c>
      <c r="EP7" s="231">
        <v>6089.99</v>
      </c>
      <c r="EQ7" s="229">
        <v>0.1381</v>
      </c>
      <c r="ER7" s="231">
        <v>38336</v>
      </c>
      <c r="ES7" s="231">
        <v>22782</v>
      </c>
      <c r="ET7" s="231">
        <v>71231</v>
      </c>
      <c r="EU7" s="231">
        <v>16266067</v>
      </c>
      <c r="EV7" s="231">
        <v>132350</v>
      </c>
      <c r="EW7" s="231">
        <v>131844</v>
      </c>
      <c r="EX7" s="228">
        <v>506</v>
      </c>
      <c r="EY7" s="229">
        <v>3.8E-3</v>
      </c>
      <c r="EZ7" s="229">
        <v>0.4153</v>
      </c>
      <c r="FA7" s="227" t="s">
        <v>568</v>
      </c>
      <c r="FB7" s="161">
        <f t="shared" si="0"/>
        <v>0</v>
      </c>
    </row>
    <row r="8" spans="1:158" ht="17.25" thickBot="1" x14ac:dyDescent="0.3">
      <c r="A8" s="226">
        <v>45860</v>
      </c>
      <c r="B8" s="227" t="s">
        <v>161</v>
      </c>
      <c r="C8" s="227" t="s">
        <v>580</v>
      </c>
      <c r="D8" s="228">
        <v>675</v>
      </c>
      <c r="E8" s="228">
        <v>867.45</v>
      </c>
      <c r="F8" s="228">
        <v>873.85</v>
      </c>
      <c r="G8" s="228">
        <v>-6.4</v>
      </c>
      <c r="H8" s="229">
        <v>-7.3000000000000001E-3</v>
      </c>
      <c r="I8" s="228">
        <v>867.2</v>
      </c>
      <c r="J8" s="228">
        <v>871.65</v>
      </c>
      <c r="K8" s="228">
        <v>-4.45</v>
      </c>
      <c r="L8" s="229">
        <v>-5.1000000000000004E-3</v>
      </c>
      <c r="M8" s="228">
        <v>867.45</v>
      </c>
      <c r="N8" s="228">
        <v>873.85</v>
      </c>
      <c r="O8" s="228">
        <v>-6.4</v>
      </c>
      <c r="P8" s="229">
        <v>-7.3000000000000001E-3</v>
      </c>
      <c r="Q8" s="228">
        <v>872</v>
      </c>
      <c r="R8" s="228">
        <v>878.7</v>
      </c>
      <c r="S8" s="228">
        <v>-6.7</v>
      </c>
      <c r="T8" s="229">
        <v>-7.6E-3</v>
      </c>
      <c r="U8" s="228">
        <v>0</v>
      </c>
      <c r="V8" s="228">
        <v>0</v>
      </c>
      <c r="W8" s="228">
        <v>0</v>
      </c>
      <c r="X8" s="229">
        <v>0</v>
      </c>
      <c r="Y8" s="228">
        <v>0.25</v>
      </c>
      <c r="Z8" s="228">
        <v>2.2000000000000002</v>
      </c>
      <c r="AA8" s="228">
        <v>-1.95</v>
      </c>
      <c r="AB8" s="229">
        <v>2.9999999999999997E-4</v>
      </c>
      <c r="AC8" s="228">
        <v>0.25</v>
      </c>
      <c r="AD8" s="228">
        <v>2.2000000000000002</v>
      </c>
      <c r="AE8" s="228">
        <v>-1.95</v>
      </c>
      <c r="AF8" s="229">
        <v>2.9999999999999997E-4</v>
      </c>
      <c r="AG8" s="228">
        <v>4.8</v>
      </c>
      <c r="AH8" s="228">
        <v>7.05</v>
      </c>
      <c r="AI8" s="228">
        <v>-2.25</v>
      </c>
      <c r="AJ8" s="229">
        <v>5.4999999999999997E-3</v>
      </c>
      <c r="AK8" s="228">
        <v>0</v>
      </c>
      <c r="AL8" s="228">
        <v>0</v>
      </c>
      <c r="AM8" s="228">
        <v>0</v>
      </c>
      <c r="AN8" s="229">
        <v>0</v>
      </c>
      <c r="AO8" s="228">
        <v>871.01</v>
      </c>
      <c r="AP8" s="228">
        <v>875.91</v>
      </c>
      <c r="AQ8" s="228">
        <v>0</v>
      </c>
      <c r="AR8" s="230">
        <v>867375</v>
      </c>
      <c r="AS8" s="230">
        <v>1256850</v>
      </c>
      <c r="AT8" s="230">
        <v>-389475</v>
      </c>
      <c r="AU8" s="229">
        <v>-0.30990000000000001</v>
      </c>
      <c r="AV8" s="230">
        <v>702675</v>
      </c>
      <c r="AW8" s="230">
        <v>1016550</v>
      </c>
      <c r="AX8" s="230">
        <v>-313875</v>
      </c>
      <c r="AY8" s="229">
        <v>-0.30880000000000002</v>
      </c>
      <c r="AZ8" s="230">
        <v>155250</v>
      </c>
      <c r="BA8" s="230">
        <v>235575</v>
      </c>
      <c r="BB8" s="230">
        <v>-80325</v>
      </c>
      <c r="BC8" s="229">
        <v>-0.34100000000000003</v>
      </c>
      <c r="BD8" s="228">
        <v>0</v>
      </c>
      <c r="BE8" s="228">
        <v>0</v>
      </c>
      <c r="BF8" s="228">
        <v>0</v>
      </c>
      <c r="BG8" s="229">
        <v>0</v>
      </c>
      <c r="BH8" s="230">
        <v>1777950</v>
      </c>
      <c r="BI8" s="230">
        <v>2388150</v>
      </c>
      <c r="BJ8" s="230">
        <v>-610200</v>
      </c>
      <c r="BK8" s="229">
        <v>-0.2555</v>
      </c>
      <c r="BL8" s="230">
        <v>466425</v>
      </c>
      <c r="BM8" s="230">
        <v>1094850</v>
      </c>
      <c r="BN8" s="230">
        <v>-628425</v>
      </c>
      <c r="BO8" s="229">
        <v>-0.57399999999999995</v>
      </c>
      <c r="BP8" s="230">
        <v>3111750</v>
      </c>
      <c r="BQ8" s="230">
        <v>4739850</v>
      </c>
      <c r="BR8" s="230">
        <v>-1628100</v>
      </c>
      <c r="BS8" s="229">
        <v>-0.34350000000000003</v>
      </c>
      <c r="BT8" s="230">
        <v>721015</v>
      </c>
      <c r="BU8" s="230">
        <v>915066</v>
      </c>
      <c r="BV8" s="230">
        <v>-194051</v>
      </c>
      <c r="BW8" s="229">
        <v>-0.21210000000000001</v>
      </c>
      <c r="BX8" s="230">
        <v>19800450</v>
      </c>
      <c r="BY8" s="230">
        <v>19938825</v>
      </c>
      <c r="BZ8" s="230">
        <v>-138375</v>
      </c>
      <c r="CA8" s="229">
        <v>-6.8999999999999999E-3</v>
      </c>
      <c r="CB8" s="230">
        <v>18837225</v>
      </c>
      <c r="CC8" s="230">
        <v>19036350</v>
      </c>
      <c r="CD8" s="230">
        <v>-199125</v>
      </c>
      <c r="CE8" s="229">
        <v>-1.0500000000000001E-2</v>
      </c>
      <c r="CF8" s="230">
        <v>918000</v>
      </c>
      <c r="CG8" s="230">
        <v>861975</v>
      </c>
      <c r="CH8" s="230">
        <v>56025</v>
      </c>
      <c r="CI8" s="229">
        <v>6.5000000000000002E-2</v>
      </c>
      <c r="CJ8" s="228">
        <v>0</v>
      </c>
      <c r="CK8" s="228">
        <v>0</v>
      </c>
      <c r="CL8" s="228">
        <v>0</v>
      </c>
      <c r="CM8" s="229">
        <v>0</v>
      </c>
      <c r="CN8" s="230">
        <v>3671325</v>
      </c>
      <c r="CO8" s="230">
        <v>3765825</v>
      </c>
      <c r="CP8" s="230">
        <v>-94500</v>
      </c>
      <c r="CQ8" s="229">
        <v>-2.5100000000000001E-2</v>
      </c>
      <c r="CR8" s="230">
        <v>2509650</v>
      </c>
      <c r="CS8" s="230">
        <v>2534625</v>
      </c>
      <c r="CT8" s="230">
        <v>-24975</v>
      </c>
      <c r="CU8" s="229">
        <v>-9.9000000000000008E-3</v>
      </c>
      <c r="CV8" s="230">
        <v>25981425</v>
      </c>
      <c r="CW8" s="230">
        <v>26239275</v>
      </c>
      <c r="CX8" s="230">
        <v>-257850</v>
      </c>
      <c r="CY8" s="229">
        <v>-9.7999999999999997E-3</v>
      </c>
      <c r="CZ8" s="228">
        <v>39.229999999999997</v>
      </c>
      <c r="DA8" s="228">
        <v>38.81</v>
      </c>
      <c r="DB8" s="228">
        <v>0.42</v>
      </c>
      <c r="DC8" s="228">
        <v>0.42</v>
      </c>
      <c r="DD8" s="228">
        <v>61.06</v>
      </c>
      <c r="DE8" s="228">
        <v>61.21</v>
      </c>
      <c r="DF8" s="228">
        <v>-21.83</v>
      </c>
      <c r="DG8" s="228">
        <v>-0.15</v>
      </c>
      <c r="DH8" s="228">
        <v>39.68</v>
      </c>
      <c r="DI8" s="228">
        <v>39.24</v>
      </c>
      <c r="DJ8" s="228">
        <v>0.44</v>
      </c>
      <c r="DK8" s="228">
        <v>0.44</v>
      </c>
      <c r="DL8" s="228">
        <v>37.49</v>
      </c>
      <c r="DM8" s="228">
        <v>37.880000000000003</v>
      </c>
      <c r="DN8" s="228">
        <v>-0.39</v>
      </c>
      <c r="DO8" s="228">
        <v>-0.39</v>
      </c>
      <c r="DP8" s="228">
        <v>0.68</v>
      </c>
      <c r="DQ8" s="228">
        <v>0.67</v>
      </c>
      <c r="DR8" s="228">
        <v>0.01</v>
      </c>
      <c r="DS8" s="229">
        <v>1.49E-2</v>
      </c>
      <c r="DT8" s="228">
        <v>900</v>
      </c>
      <c r="DU8" s="228">
        <v>840</v>
      </c>
      <c r="DV8" s="228">
        <v>0.26</v>
      </c>
      <c r="DW8" s="228">
        <v>0.46</v>
      </c>
      <c r="DX8" s="228">
        <v>-0.2</v>
      </c>
      <c r="DY8" s="229">
        <v>-0.43480000000000002</v>
      </c>
      <c r="DZ8" s="229">
        <v>4.6399999999999997E-2</v>
      </c>
      <c r="EA8" s="230">
        <v>861975</v>
      </c>
      <c r="EB8" s="229">
        <v>5.1999999999999998E-3</v>
      </c>
      <c r="EC8" s="229">
        <v>4.6399999999999997E-2</v>
      </c>
      <c r="ED8" s="228">
        <v>4.9000000000000004</v>
      </c>
      <c r="EE8" s="229">
        <v>5.5999999999999999E-3</v>
      </c>
      <c r="EF8" s="230">
        <v>361567</v>
      </c>
      <c r="EG8" s="230">
        <v>350426</v>
      </c>
      <c r="EH8" s="229">
        <v>3.1800000000000002E-2</v>
      </c>
      <c r="EI8" s="229">
        <v>0.50149999999999995</v>
      </c>
      <c r="EJ8" s="231">
        <v>16433.490000000002</v>
      </c>
      <c r="EK8" s="231">
        <v>4061.84</v>
      </c>
      <c r="EL8" s="231">
        <v>7563.44</v>
      </c>
      <c r="EM8" s="228">
        <v>0</v>
      </c>
      <c r="EN8" s="231">
        <v>28058.77</v>
      </c>
      <c r="EO8" s="231">
        <v>42534.17</v>
      </c>
      <c r="EP8" s="231">
        <v>-14475.4</v>
      </c>
      <c r="EQ8" s="229">
        <v>-0.34029999999999999</v>
      </c>
      <c r="ER8" s="231">
        <v>33813</v>
      </c>
      <c r="ES8" s="231">
        <v>21425</v>
      </c>
      <c r="ET8" s="231">
        <v>171805</v>
      </c>
      <c r="EU8" s="231">
        <v>72215231</v>
      </c>
      <c r="EV8" s="231">
        <v>227043</v>
      </c>
      <c r="EW8" s="231">
        <v>230641</v>
      </c>
      <c r="EX8" s="231">
        <v>-3598</v>
      </c>
      <c r="EY8" s="229">
        <v>-1.5599999999999999E-2</v>
      </c>
      <c r="EZ8" s="229">
        <v>0.35980000000000001</v>
      </c>
      <c r="FA8" s="227" t="s">
        <v>568</v>
      </c>
      <c r="FB8" s="161">
        <f t="shared" si="0"/>
        <v>963225</v>
      </c>
    </row>
    <row r="9" spans="1:158" ht="17.25" thickBot="1" x14ac:dyDescent="0.3">
      <c r="A9" s="226">
        <v>45860</v>
      </c>
      <c r="B9" s="227" t="s">
        <v>215</v>
      </c>
      <c r="C9" s="227" t="s">
        <v>159</v>
      </c>
      <c r="D9" s="228">
        <v>300</v>
      </c>
      <c r="E9" s="231">
        <v>2594.5</v>
      </c>
      <c r="F9" s="231">
        <v>2625.8</v>
      </c>
      <c r="G9" s="228">
        <v>-31.3</v>
      </c>
      <c r="H9" s="229">
        <v>-1.1900000000000001E-2</v>
      </c>
      <c r="I9" s="231">
        <v>2587.8000000000002</v>
      </c>
      <c r="J9" s="231">
        <v>2619.5</v>
      </c>
      <c r="K9" s="228">
        <v>-31.7</v>
      </c>
      <c r="L9" s="229">
        <v>-1.21E-2</v>
      </c>
      <c r="M9" s="231">
        <v>2594.5</v>
      </c>
      <c r="N9" s="231">
        <v>2625.8</v>
      </c>
      <c r="O9" s="228">
        <v>-31.3</v>
      </c>
      <c r="P9" s="229">
        <v>-1.1900000000000001E-2</v>
      </c>
      <c r="Q9" s="231">
        <v>2608.1999999999998</v>
      </c>
      <c r="R9" s="231">
        <v>2639.5</v>
      </c>
      <c r="S9" s="228">
        <v>-31.3</v>
      </c>
      <c r="T9" s="229">
        <v>-1.1900000000000001E-2</v>
      </c>
      <c r="U9" s="228">
        <v>0</v>
      </c>
      <c r="V9" s="228">
        <v>0</v>
      </c>
      <c r="W9" s="228">
        <v>0</v>
      </c>
      <c r="X9" s="229">
        <v>0</v>
      </c>
      <c r="Y9" s="228">
        <v>6.7</v>
      </c>
      <c r="Z9" s="228">
        <v>6.3</v>
      </c>
      <c r="AA9" s="228">
        <v>0.4</v>
      </c>
      <c r="AB9" s="229">
        <v>2.5999999999999999E-3</v>
      </c>
      <c r="AC9" s="228">
        <v>6.7</v>
      </c>
      <c r="AD9" s="228">
        <v>6.3</v>
      </c>
      <c r="AE9" s="228">
        <v>0.4</v>
      </c>
      <c r="AF9" s="229">
        <v>2.5999999999999999E-3</v>
      </c>
      <c r="AG9" s="228">
        <v>20.399999999999999</v>
      </c>
      <c r="AH9" s="228">
        <v>20</v>
      </c>
      <c r="AI9" s="228">
        <v>0.4</v>
      </c>
      <c r="AJ9" s="229">
        <v>7.9000000000000008E-3</v>
      </c>
      <c r="AK9" s="228">
        <v>0</v>
      </c>
      <c r="AL9" s="228">
        <v>0</v>
      </c>
      <c r="AM9" s="228">
        <v>0</v>
      </c>
      <c r="AN9" s="229">
        <v>0</v>
      </c>
      <c r="AO9" s="231">
        <v>2607.9499999999998</v>
      </c>
      <c r="AP9" s="231">
        <v>2620.9699999999998</v>
      </c>
      <c r="AQ9" s="228">
        <v>0</v>
      </c>
      <c r="AR9" s="230">
        <v>1156200</v>
      </c>
      <c r="AS9" s="230">
        <v>1234200</v>
      </c>
      <c r="AT9" s="230">
        <v>-78000</v>
      </c>
      <c r="AU9" s="229">
        <v>-6.3200000000000006E-2</v>
      </c>
      <c r="AV9" s="230">
        <v>960600</v>
      </c>
      <c r="AW9" s="230">
        <v>1112100</v>
      </c>
      <c r="AX9" s="230">
        <v>-151500</v>
      </c>
      <c r="AY9" s="229">
        <v>-0.13619999999999999</v>
      </c>
      <c r="AZ9" s="230">
        <v>189300</v>
      </c>
      <c r="BA9" s="230">
        <v>120300</v>
      </c>
      <c r="BB9" s="230">
        <v>69000</v>
      </c>
      <c r="BC9" s="229">
        <v>0.5736</v>
      </c>
      <c r="BD9" s="228">
        <v>0</v>
      </c>
      <c r="BE9" s="228">
        <v>0</v>
      </c>
      <c r="BF9" s="228">
        <v>0</v>
      </c>
      <c r="BG9" s="229">
        <v>0</v>
      </c>
      <c r="BH9" s="230">
        <v>4309200</v>
      </c>
      <c r="BI9" s="230">
        <v>4297200</v>
      </c>
      <c r="BJ9" s="230">
        <v>12000</v>
      </c>
      <c r="BK9" s="229">
        <v>2.8E-3</v>
      </c>
      <c r="BL9" s="230">
        <v>2003100</v>
      </c>
      <c r="BM9" s="230">
        <v>2351400</v>
      </c>
      <c r="BN9" s="230">
        <v>-348300</v>
      </c>
      <c r="BO9" s="229">
        <v>-0.14810000000000001</v>
      </c>
      <c r="BP9" s="230">
        <v>7468500</v>
      </c>
      <c r="BQ9" s="230">
        <v>7882800</v>
      </c>
      <c r="BR9" s="230">
        <v>-414300</v>
      </c>
      <c r="BS9" s="229">
        <v>-5.2600000000000001E-2</v>
      </c>
      <c r="BT9" s="230">
        <v>409117</v>
      </c>
      <c r="BU9" s="230">
        <v>412144</v>
      </c>
      <c r="BV9" s="230">
        <v>-3027</v>
      </c>
      <c r="BW9" s="229">
        <v>-7.3000000000000001E-3</v>
      </c>
      <c r="BX9" s="230">
        <v>18248700</v>
      </c>
      <c r="BY9" s="230">
        <v>18208200</v>
      </c>
      <c r="BZ9" s="230">
        <v>40500</v>
      </c>
      <c r="CA9" s="229">
        <v>2.2000000000000001E-3</v>
      </c>
      <c r="CB9" s="230">
        <v>17350500</v>
      </c>
      <c r="CC9" s="230">
        <v>17393100</v>
      </c>
      <c r="CD9" s="230">
        <v>-42600</v>
      </c>
      <c r="CE9" s="229">
        <v>-2.3999999999999998E-3</v>
      </c>
      <c r="CF9" s="230">
        <v>855300</v>
      </c>
      <c r="CG9" s="230">
        <v>776400</v>
      </c>
      <c r="CH9" s="230">
        <v>78900</v>
      </c>
      <c r="CI9" s="229">
        <v>0.1016</v>
      </c>
      <c r="CJ9" s="228">
        <v>0</v>
      </c>
      <c r="CK9" s="228">
        <v>0</v>
      </c>
      <c r="CL9" s="228">
        <v>0</v>
      </c>
      <c r="CM9" s="229">
        <v>0</v>
      </c>
      <c r="CN9" s="230">
        <v>8240700</v>
      </c>
      <c r="CO9" s="230">
        <v>8068200</v>
      </c>
      <c r="CP9" s="230">
        <v>172500</v>
      </c>
      <c r="CQ9" s="229">
        <v>2.1399999999999999E-2</v>
      </c>
      <c r="CR9" s="230">
        <v>6735600</v>
      </c>
      <c r="CS9" s="230">
        <v>6788400</v>
      </c>
      <c r="CT9" s="230">
        <v>-52800</v>
      </c>
      <c r="CU9" s="229">
        <v>-7.7999999999999996E-3</v>
      </c>
      <c r="CV9" s="230">
        <v>33225000</v>
      </c>
      <c r="CW9" s="230">
        <v>33064800</v>
      </c>
      <c r="CX9" s="230">
        <v>160200</v>
      </c>
      <c r="CY9" s="229">
        <v>4.7999999999999996E-3</v>
      </c>
      <c r="CZ9" s="228">
        <v>26.5</v>
      </c>
      <c r="DA9" s="228">
        <v>26.87</v>
      </c>
      <c r="DB9" s="228">
        <v>-0.37</v>
      </c>
      <c r="DC9" s="228">
        <v>-0.37</v>
      </c>
      <c r="DD9" s="228">
        <v>53.62</v>
      </c>
      <c r="DE9" s="228">
        <v>53.73</v>
      </c>
      <c r="DF9" s="228">
        <v>-27.12</v>
      </c>
      <c r="DG9" s="228">
        <v>-0.11</v>
      </c>
      <c r="DH9" s="228">
        <v>26.44</v>
      </c>
      <c r="DI9" s="228">
        <v>26.35</v>
      </c>
      <c r="DJ9" s="228">
        <v>0.09</v>
      </c>
      <c r="DK9" s="228">
        <v>0.09</v>
      </c>
      <c r="DL9" s="228">
        <v>26.61</v>
      </c>
      <c r="DM9" s="228">
        <v>27.83</v>
      </c>
      <c r="DN9" s="228">
        <v>-1.22</v>
      </c>
      <c r="DO9" s="228">
        <v>-1.22</v>
      </c>
      <c r="DP9" s="228">
        <v>0.82</v>
      </c>
      <c r="DQ9" s="228">
        <v>0.84</v>
      </c>
      <c r="DR9" s="228">
        <v>-0.02</v>
      </c>
      <c r="DS9" s="229">
        <v>-2.3800000000000002E-2</v>
      </c>
      <c r="DT9" s="231">
        <v>2600</v>
      </c>
      <c r="DU9" s="231">
        <v>2700</v>
      </c>
      <c r="DV9" s="228">
        <v>0.46</v>
      </c>
      <c r="DW9" s="228">
        <v>0.55000000000000004</v>
      </c>
      <c r="DX9" s="228">
        <v>-0.09</v>
      </c>
      <c r="DY9" s="229">
        <v>-0.1636</v>
      </c>
      <c r="DZ9" s="229">
        <v>4.6899999999999997E-2</v>
      </c>
      <c r="EA9" s="230">
        <v>776400</v>
      </c>
      <c r="EB9" s="229">
        <v>5.3E-3</v>
      </c>
      <c r="EC9" s="229">
        <v>4.6899999999999997E-2</v>
      </c>
      <c r="ED9" s="228">
        <v>13.02</v>
      </c>
      <c r="EE9" s="229">
        <v>5.0000000000000001E-3</v>
      </c>
      <c r="EF9" s="230">
        <v>135564</v>
      </c>
      <c r="EG9" s="230">
        <v>144998</v>
      </c>
      <c r="EH9" s="229">
        <v>-6.5100000000000005E-2</v>
      </c>
      <c r="EI9" s="229">
        <v>0.33139999999999997</v>
      </c>
      <c r="EJ9" s="231">
        <v>116533.51</v>
      </c>
      <c r="EK9" s="231">
        <v>51597.72</v>
      </c>
      <c r="EL9" s="231">
        <v>30179.439999999999</v>
      </c>
      <c r="EM9" s="228">
        <v>0</v>
      </c>
      <c r="EN9" s="231">
        <v>198310.67</v>
      </c>
      <c r="EO9" s="231">
        <v>208979.28</v>
      </c>
      <c r="EP9" s="231">
        <v>-10668.61</v>
      </c>
      <c r="EQ9" s="229">
        <v>-5.11E-2</v>
      </c>
      <c r="ER9" s="231">
        <v>220426</v>
      </c>
      <c r="ES9" s="231">
        <v>174442</v>
      </c>
      <c r="ET9" s="231">
        <v>473591</v>
      </c>
      <c r="EU9" s="231">
        <v>60081955</v>
      </c>
      <c r="EV9" s="231">
        <v>868459</v>
      </c>
      <c r="EW9" s="231">
        <v>869902</v>
      </c>
      <c r="EX9" s="231">
        <v>-1443</v>
      </c>
      <c r="EY9" s="229">
        <v>-1.6999999999999999E-3</v>
      </c>
      <c r="EZ9" s="229">
        <v>0.55300000000000005</v>
      </c>
      <c r="FA9" s="227" t="s">
        <v>567</v>
      </c>
      <c r="FB9" s="161">
        <f t="shared" si="0"/>
        <v>898200</v>
      </c>
    </row>
    <row r="10" spans="1:158" ht="17.25" thickBot="1" x14ac:dyDescent="0.3">
      <c r="A10" s="226">
        <v>45860</v>
      </c>
      <c r="B10" s="227" t="s">
        <v>161</v>
      </c>
      <c r="C10" s="227" t="s">
        <v>607</v>
      </c>
      <c r="D10" s="228">
        <v>600</v>
      </c>
      <c r="E10" s="231">
        <v>1016.2</v>
      </c>
      <c r="F10" s="231">
        <v>1038.7</v>
      </c>
      <c r="G10" s="228">
        <v>-22.5</v>
      </c>
      <c r="H10" s="229">
        <v>-2.1700000000000001E-2</v>
      </c>
      <c r="I10" s="231">
        <v>1013.7</v>
      </c>
      <c r="J10" s="231">
        <v>1036.5999999999999</v>
      </c>
      <c r="K10" s="228">
        <v>-22.9</v>
      </c>
      <c r="L10" s="229">
        <v>-2.2100000000000002E-2</v>
      </c>
      <c r="M10" s="231">
        <v>1016.2</v>
      </c>
      <c r="N10" s="231">
        <v>1038.7</v>
      </c>
      <c r="O10" s="228">
        <v>-22.5</v>
      </c>
      <c r="P10" s="229">
        <v>-2.1700000000000001E-2</v>
      </c>
      <c r="Q10" s="231">
        <v>1020.3</v>
      </c>
      <c r="R10" s="231">
        <v>1044.4000000000001</v>
      </c>
      <c r="S10" s="228">
        <v>-24.1</v>
      </c>
      <c r="T10" s="229">
        <v>-2.3099999999999999E-2</v>
      </c>
      <c r="U10" s="228">
        <v>0</v>
      </c>
      <c r="V10" s="228">
        <v>0</v>
      </c>
      <c r="W10" s="228">
        <v>0</v>
      </c>
      <c r="X10" s="229">
        <v>0</v>
      </c>
      <c r="Y10" s="228">
        <v>2.5</v>
      </c>
      <c r="Z10" s="228">
        <v>2.1</v>
      </c>
      <c r="AA10" s="228">
        <v>0.4</v>
      </c>
      <c r="AB10" s="229">
        <v>2.5000000000000001E-3</v>
      </c>
      <c r="AC10" s="228">
        <v>2.5</v>
      </c>
      <c r="AD10" s="228">
        <v>2.1</v>
      </c>
      <c r="AE10" s="228">
        <v>0.4</v>
      </c>
      <c r="AF10" s="229">
        <v>2.5000000000000001E-3</v>
      </c>
      <c r="AG10" s="228">
        <v>6.6</v>
      </c>
      <c r="AH10" s="228">
        <v>7.8</v>
      </c>
      <c r="AI10" s="228">
        <v>-1.2</v>
      </c>
      <c r="AJ10" s="229">
        <v>6.4999999999999997E-3</v>
      </c>
      <c r="AK10" s="228">
        <v>0</v>
      </c>
      <c r="AL10" s="228">
        <v>0</v>
      </c>
      <c r="AM10" s="228">
        <v>0</v>
      </c>
      <c r="AN10" s="229">
        <v>0</v>
      </c>
      <c r="AO10" s="231">
        <v>1021.37</v>
      </c>
      <c r="AP10" s="231">
        <v>1029.53</v>
      </c>
      <c r="AQ10" s="228">
        <v>0</v>
      </c>
      <c r="AR10" s="230">
        <v>3250200</v>
      </c>
      <c r="AS10" s="230">
        <v>1437600</v>
      </c>
      <c r="AT10" s="230">
        <v>1812600</v>
      </c>
      <c r="AU10" s="229">
        <v>1.2608999999999999</v>
      </c>
      <c r="AV10" s="230">
        <v>2632800</v>
      </c>
      <c r="AW10" s="230">
        <v>1026600</v>
      </c>
      <c r="AX10" s="230">
        <v>1606200</v>
      </c>
      <c r="AY10" s="229">
        <v>1.5646</v>
      </c>
      <c r="AZ10" s="230">
        <v>589800</v>
      </c>
      <c r="BA10" s="230">
        <v>400200</v>
      </c>
      <c r="BB10" s="230">
        <v>189600</v>
      </c>
      <c r="BC10" s="229">
        <v>0.4738</v>
      </c>
      <c r="BD10" s="228">
        <v>0</v>
      </c>
      <c r="BE10" s="228">
        <v>0</v>
      </c>
      <c r="BF10" s="228">
        <v>0</v>
      </c>
      <c r="BG10" s="229">
        <v>0</v>
      </c>
      <c r="BH10" s="230">
        <v>8539200</v>
      </c>
      <c r="BI10" s="230">
        <v>5951400</v>
      </c>
      <c r="BJ10" s="230">
        <v>2587800</v>
      </c>
      <c r="BK10" s="229">
        <v>0.43480000000000002</v>
      </c>
      <c r="BL10" s="230">
        <v>3310800</v>
      </c>
      <c r="BM10" s="230">
        <v>1215600</v>
      </c>
      <c r="BN10" s="230">
        <v>2095200</v>
      </c>
      <c r="BO10" s="229">
        <v>1.7236</v>
      </c>
      <c r="BP10" s="230">
        <v>15100200</v>
      </c>
      <c r="BQ10" s="230">
        <v>8604600</v>
      </c>
      <c r="BR10" s="230">
        <v>6495600</v>
      </c>
      <c r="BS10" s="229">
        <v>0.75490000000000002</v>
      </c>
      <c r="BT10" s="230">
        <v>1434254</v>
      </c>
      <c r="BU10" s="230">
        <v>1042280</v>
      </c>
      <c r="BV10" s="230">
        <v>391974</v>
      </c>
      <c r="BW10" s="229">
        <v>0.37609999999999999</v>
      </c>
      <c r="BX10" s="230">
        <v>19807800</v>
      </c>
      <c r="BY10" s="230">
        <v>19623600</v>
      </c>
      <c r="BZ10" s="230">
        <v>184200</v>
      </c>
      <c r="CA10" s="229">
        <v>9.4000000000000004E-3</v>
      </c>
      <c r="CB10" s="230">
        <v>18234600</v>
      </c>
      <c r="CC10" s="230">
        <v>18288000</v>
      </c>
      <c r="CD10" s="230">
        <v>-53400</v>
      </c>
      <c r="CE10" s="229">
        <v>-2.8999999999999998E-3</v>
      </c>
      <c r="CF10" s="230">
        <v>1474200</v>
      </c>
      <c r="CG10" s="230">
        <v>1249200</v>
      </c>
      <c r="CH10" s="230">
        <v>225000</v>
      </c>
      <c r="CI10" s="229">
        <v>0.18010000000000001</v>
      </c>
      <c r="CJ10" s="228">
        <v>0</v>
      </c>
      <c r="CK10" s="228">
        <v>0</v>
      </c>
      <c r="CL10" s="228">
        <v>0</v>
      </c>
      <c r="CM10" s="229">
        <v>0</v>
      </c>
      <c r="CN10" s="230">
        <v>7718400</v>
      </c>
      <c r="CO10" s="230">
        <v>8379600</v>
      </c>
      <c r="CP10" s="230">
        <v>-661200</v>
      </c>
      <c r="CQ10" s="229">
        <v>-7.8899999999999998E-2</v>
      </c>
      <c r="CR10" s="230">
        <v>4669800</v>
      </c>
      <c r="CS10" s="230">
        <v>4632600</v>
      </c>
      <c r="CT10" s="230">
        <v>37200</v>
      </c>
      <c r="CU10" s="229">
        <v>8.0000000000000002E-3</v>
      </c>
      <c r="CV10" s="230">
        <v>32196000</v>
      </c>
      <c r="CW10" s="230">
        <v>32635800</v>
      </c>
      <c r="CX10" s="230">
        <v>-439800</v>
      </c>
      <c r="CY10" s="229">
        <v>-1.35E-2</v>
      </c>
      <c r="CZ10" s="228">
        <v>41.65</v>
      </c>
      <c r="DA10" s="228">
        <v>41.8</v>
      </c>
      <c r="DB10" s="228">
        <v>-0.15</v>
      </c>
      <c r="DC10" s="228">
        <v>-0.15</v>
      </c>
      <c r="DD10" s="228">
        <v>62.31</v>
      </c>
      <c r="DE10" s="228">
        <v>62.39</v>
      </c>
      <c r="DF10" s="228">
        <v>-20.66</v>
      </c>
      <c r="DG10" s="228">
        <v>-0.08</v>
      </c>
      <c r="DH10" s="228">
        <v>41.45</v>
      </c>
      <c r="DI10" s="228">
        <v>41.89</v>
      </c>
      <c r="DJ10" s="228">
        <v>-0.44</v>
      </c>
      <c r="DK10" s="228">
        <v>-0.44</v>
      </c>
      <c r="DL10" s="228">
        <v>42.15</v>
      </c>
      <c r="DM10" s="228">
        <v>41.32</v>
      </c>
      <c r="DN10" s="228">
        <v>0.83</v>
      </c>
      <c r="DO10" s="228">
        <v>0.83</v>
      </c>
      <c r="DP10" s="228">
        <v>0.61</v>
      </c>
      <c r="DQ10" s="228">
        <v>0.55000000000000004</v>
      </c>
      <c r="DR10" s="228">
        <v>0.06</v>
      </c>
      <c r="DS10" s="229">
        <v>0.1091</v>
      </c>
      <c r="DT10" s="231">
        <v>1000</v>
      </c>
      <c r="DU10" s="231">
        <v>1000</v>
      </c>
      <c r="DV10" s="228">
        <v>0.39</v>
      </c>
      <c r="DW10" s="228">
        <v>0.2</v>
      </c>
      <c r="DX10" s="228">
        <v>0.19</v>
      </c>
      <c r="DY10" s="229">
        <v>0.95</v>
      </c>
      <c r="DZ10" s="229">
        <v>7.4399999999999994E-2</v>
      </c>
      <c r="EA10" s="230">
        <v>1249200</v>
      </c>
      <c r="EB10" s="229">
        <v>4.0000000000000001E-3</v>
      </c>
      <c r="EC10" s="229">
        <v>7.4399999999999994E-2</v>
      </c>
      <c r="ED10" s="228">
        <v>8.16</v>
      </c>
      <c r="EE10" s="229">
        <v>8.0000000000000002E-3</v>
      </c>
      <c r="EF10" s="230">
        <v>425031</v>
      </c>
      <c r="EG10" s="230">
        <v>339310</v>
      </c>
      <c r="EH10" s="229">
        <v>0.25259999999999999</v>
      </c>
      <c r="EI10" s="229">
        <v>0.29630000000000001</v>
      </c>
      <c r="EJ10" s="231">
        <v>92408.61</v>
      </c>
      <c r="EK10" s="231">
        <v>33981.81</v>
      </c>
      <c r="EL10" s="231">
        <v>33247.919999999998</v>
      </c>
      <c r="EM10" s="228">
        <v>0</v>
      </c>
      <c r="EN10" s="231">
        <v>159638.34</v>
      </c>
      <c r="EO10" s="231">
        <v>93087.360000000001</v>
      </c>
      <c r="EP10" s="231">
        <v>66550.98</v>
      </c>
      <c r="EQ10" s="229">
        <v>0.71489999999999998</v>
      </c>
      <c r="ER10" s="231">
        <v>81391</v>
      </c>
      <c r="ES10" s="231">
        <v>46575</v>
      </c>
      <c r="ET10" s="231">
        <v>201359</v>
      </c>
      <c r="EU10" s="231">
        <v>123755903</v>
      </c>
      <c r="EV10" s="231">
        <v>329325</v>
      </c>
      <c r="EW10" s="231">
        <v>339178</v>
      </c>
      <c r="EX10" s="231">
        <v>-9853</v>
      </c>
      <c r="EY10" s="229">
        <v>-2.9000000000000001E-2</v>
      </c>
      <c r="EZ10" s="229">
        <v>0.26019999999999999</v>
      </c>
      <c r="FA10" s="227" t="s">
        <v>567</v>
      </c>
      <c r="FB10" s="161">
        <f t="shared" si="0"/>
        <v>1573200</v>
      </c>
    </row>
    <row r="11" spans="1:158" ht="17.25" thickBot="1" x14ac:dyDescent="0.3">
      <c r="A11" s="226">
        <v>45860</v>
      </c>
      <c r="B11" s="227" t="s">
        <v>215</v>
      </c>
      <c r="C11" s="227" t="s">
        <v>160</v>
      </c>
      <c r="D11" s="228">
        <v>475</v>
      </c>
      <c r="E11" s="231">
        <v>1425.7</v>
      </c>
      <c r="F11" s="231">
        <v>1452.9</v>
      </c>
      <c r="G11" s="228">
        <v>-27.2</v>
      </c>
      <c r="H11" s="229">
        <v>-1.8700000000000001E-2</v>
      </c>
      <c r="I11" s="231">
        <v>1420.7</v>
      </c>
      <c r="J11" s="231">
        <v>1450.5</v>
      </c>
      <c r="K11" s="228">
        <v>-29.8</v>
      </c>
      <c r="L11" s="229">
        <v>-2.0500000000000001E-2</v>
      </c>
      <c r="M11" s="231">
        <v>1425.7</v>
      </c>
      <c r="N11" s="231">
        <v>1452.9</v>
      </c>
      <c r="O11" s="228">
        <v>-27.2</v>
      </c>
      <c r="P11" s="229">
        <v>-1.8700000000000001E-2</v>
      </c>
      <c r="Q11" s="231">
        <v>1432.5</v>
      </c>
      <c r="R11" s="231">
        <v>1459.8</v>
      </c>
      <c r="S11" s="228">
        <v>-27.3</v>
      </c>
      <c r="T11" s="229">
        <v>-1.8700000000000001E-2</v>
      </c>
      <c r="U11" s="228">
        <v>0</v>
      </c>
      <c r="V11" s="228">
        <v>0</v>
      </c>
      <c r="W11" s="228">
        <v>0</v>
      </c>
      <c r="X11" s="229">
        <v>0</v>
      </c>
      <c r="Y11" s="228">
        <v>5</v>
      </c>
      <c r="Z11" s="228">
        <v>2.4</v>
      </c>
      <c r="AA11" s="228">
        <v>2.6</v>
      </c>
      <c r="AB11" s="229">
        <v>3.5000000000000001E-3</v>
      </c>
      <c r="AC11" s="228">
        <v>5</v>
      </c>
      <c r="AD11" s="228">
        <v>2.4</v>
      </c>
      <c r="AE11" s="228">
        <v>2.6</v>
      </c>
      <c r="AF11" s="229">
        <v>3.5000000000000001E-3</v>
      </c>
      <c r="AG11" s="228">
        <v>11.8</v>
      </c>
      <c r="AH11" s="228">
        <v>9.3000000000000007</v>
      </c>
      <c r="AI11" s="228">
        <v>2.5</v>
      </c>
      <c r="AJ11" s="229">
        <v>8.3000000000000001E-3</v>
      </c>
      <c r="AK11" s="228">
        <v>0</v>
      </c>
      <c r="AL11" s="228">
        <v>0</v>
      </c>
      <c r="AM11" s="228">
        <v>0</v>
      </c>
      <c r="AN11" s="229">
        <v>0</v>
      </c>
      <c r="AO11" s="231">
        <v>1436.62</v>
      </c>
      <c r="AP11" s="231">
        <v>1442.73</v>
      </c>
      <c r="AQ11" s="228">
        <v>0</v>
      </c>
      <c r="AR11" s="230">
        <v>3339725</v>
      </c>
      <c r="AS11" s="230">
        <v>1699075</v>
      </c>
      <c r="AT11" s="230">
        <v>1640650</v>
      </c>
      <c r="AU11" s="229">
        <v>0.96560000000000001</v>
      </c>
      <c r="AV11" s="230">
        <v>2427725</v>
      </c>
      <c r="AW11" s="230">
        <v>1390800</v>
      </c>
      <c r="AX11" s="230">
        <v>1036925</v>
      </c>
      <c r="AY11" s="229">
        <v>0.74560000000000004</v>
      </c>
      <c r="AZ11" s="230">
        <v>393300</v>
      </c>
      <c r="BA11" s="230">
        <v>289750</v>
      </c>
      <c r="BB11" s="230">
        <v>103550</v>
      </c>
      <c r="BC11" s="229">
        <v>0.3574</v>
      </c>
      <c r="BD11" s="228">
        <v>0</v>
      </c>
      <c r="BE11" s="228">
        <v>0</v>
      </c>
      <c r="BF11" s="228">
        <v>0</v>
      </c>
      <c r="BG11" s="229">
        <v>0</v>
      </c>
      <c r="BH11" s="230">
        <v>6598700</v>
      </c>
      <c r="BI11" s="230">
        <v>6281875</v>
      </c>
      <c r="BJ11" s="230">
        <v>316825</v>
      </c>
      <c r="BK11" s="229">
        <v>5.04E-2</v>
      </c>
      <c r="BL11" s="230">
        <v>3768175</v>
      </c>
      <c r="BM11" s="230">
        <v>2435325</v>
      </c>
      <c r="BN11" s="230">
        <v>1332850</v>
      </c>
      <c r="BO11" s="229">
        <v>0.54730000000000001</v>
      </c>
      <c r="BP11" s="230">
        <v>13706600</v>
      </c>
      <c r="BQ11" s="230">
        <v>10416275</v>
      </c>
      <c r="BR11" s="230">
        <v>3290325</v>
      </c>
      <c r="BS11" s="229">
        <v>0.31590000000000001</v>
      </c>
      <c r="BT11" s="230">
        <v>1010419</v>
      </c>
      <c r="BU11" s="230">
        <v>848676</v>
      </c>
      <c r="BV11" s="230">
        <v>161743</v>
      </c>
      <c r="BW11" s="229">
        <v>0.19059999999999999</v>
      </c>
      <c r="BX11" s="230">
        <v>22491250</v>
      </c>
      <c r="BY11" s="230">
        <v>22482225</v>
      </c>
      <c r="BZ11" s="230">
        <v>9025</v>
      </c>
      <c r="CA11" s="229">
        <v>4.0000000000000002E-4</v>
      </c>
      <c r="CB11" s="230">
        <v>20332850</v>
      </c>
      <c r="CC11" s="230">
        <v>21000700</v>
      </c>
      <c r="CD11" s="230">
        <v>-667850</v>
      </c>
      <c r="CE11" s="229">
        <v>-3.1800000000000002E-2</v>
      </c>
      <c r="CF11" s="230">
        <v>1580325</v>
      </c>
      <c r="CG11" s="230">
        <v>1404100</v>
      </c>
      <c r="CH11" s="230">
        <v>176225</v>
      </c>
      <c r="CI11" s="229">
        <v>0.1255</v>
      </c>
      <c r="CJ11" s="228">
        <v>0</v>
      </c>
      <c r="CK11" s="228">
        <v>0</v>
      </c>
      <c r="CL11" s="228">
        <v>0</v>
      </c>
      <c r="CM11" s="229">
        <v>0</v>
      </c>
      <c r="CN11" s="230">
        <v>8110150</v>
      </c>
      <c r="CO11" s="230">
        <v>7886900</v>
      </c>
      <c r="CP11" s="230">
        <v>223250</v>
      </c>
      <c r="CQ11" s="229">
        <v>2.8299999999999999E-2</v>
      </c>
      <c r="CR11" s="230">
        <v>6031075</v>
      </c>
      <c r="CS11" s="230">
        <v>5860075</v>
      </c>
      <c r="CT11" s="230">
        <v>171000</v>
      </c>
      <c r="CU11" s="229">
        <v>2.92E-2</v>
      </c>
      <c r="CV11" s="230">
        <v>36632475</v>
      </c>
      <c r="CW11" s="230">
        <v>36229200</v>
      </c>
      <c r="CX11" s="230">
        <v>403275</v>
      </c>
      <c r="CY11" s="229">
        <v>1.11E-2</v>
      </c>
      <c r="CZ11" s="228">
        <v>26.05</v>
      </c>
      <c r="DA11" s="228">
        <v>25.26</v>
      </c>
      <c r="DB11" s="228">
        <v>0.79</v>
      </c>
      <c r="DC11" s="228">
        <v>0.79</v>
      </c>
      <c r="DD11" s="228">
        <v>43.02</v>
      </c>
      <c r="DE11" s="228">
        <v>43.04</v>
      </c>
      <c r="DF11" s="228">
        <v>-16.97</v>
      </c>
      <c r="DG11" s="228">
        <v>-0.02</v>
      </c>
      <c r="DH11" s="228">
        <v>26.29</v>
      </c>
      <c r="DI11" s="228">
        <v>24.94</v>
      </c>
      <c r="DJ11" s="228">
        <v>1.35</v>
      </c>
      <c r="DK11" s="228">
        <v>1.35</v>
      </c>
      <c r="DL11" s="228">
        <v>25.62</v>
      </c>
      <c r="DM11" s="228">
        <v>26.08</v>
      </c>
      <c r="DN11" s="228">
        <v>-0.46</v>
      </c>
      <c r="DO11" s="228">
        <v>-0.46</v>
      </c>
      <c r="DP11" s="228">
        <v>0.74</v>
      </c>
      <c r="DQ11" s="228">
        <v>0.74</v>
      </c>
      <c r="DR11" s="228">
        <v>0</v>
      </c>
      <c r="DS11" s="229">
        <v>0</v>
      </c>
      <c r="DT11" s="231">
        <v>1500</v>
      </c>
      <c r="DU11" s="231">
        <v>1400</v>
      </c>
      <c r="DV11" s="228">
        <v>0.56999999999999995</v>
      </c>
      <c r="DW11" s="228">
        <v>0.39</v>
      </c>
      <c r="DX11" s="228">
        <v>0.18</v>
      </c>
      <c r="DY11" s="229">
        <v>0.46150000000000002</v>
      </c>
      <c r="DZ11" s="229">
        <v>7.0300000000000001E-2</v>
      </c>
      <c r="EA11" s="230">
        <v>1404100</v>
      </c>
      <c r="EB11" s="229">
        <v>4.7999999999999996E-3</v>
      </c>
      <c r="EC11" s="229">
        <v>7.0300000000000001E-2</v>
      </c>
      <c r="ED11" s="228">
        <v>6.11</v>
      </c>
      <c r="EE11" s="229">
        <v>4.3E-3</v>
      </c>
      <c r="EF11" s="230">
        <v>478704</v>
      </c>
      <c r="EG11" s="230">
        <v>391060</v>
      </c>
      <c r="EH11" s="229">
        <v>0.22409999999999999</v>
      </c>
      <c r="EI11" s="229">
        <v>0.4738</v>
      </c>
      <c r="EJ11" s="231">
        <v>97962.81</v>
      </c>
      <c r="EK11" s="231">
        <v>53767.81</v>
      </c>
      <c r="EL11" s="231">
        <v>48125.43</v>
      </c>
      <c r="EM11" s="228">
        <v>0</v>
      </c>
      <c r="EN11" s="231">
        <v>199856.05</v>
      </c>
      <c r="EO11" s="231">
        <v>153168.24</v>
      </c>
      <c r="EP11" s="231">
        <v>46687.81</v>
      </c>
      <c r="EQ11" s="229">
        <v>0.30480000000000002</v>
      </c>
      <c r="ER11" s="231">
        <v>119671</v>
      </c>
      <c r="ES11" s="231">
        <v>83211</v>
      </c>
      <c r="ET11" s="231">
        <v>320851</v>
      </c>
      <c r="EU11" s="231">
        <v>147352572</v>
      </c>
      <c r="EV11" s="231">
        <v>523733</v>
      </c>
      <c r="EW11" s="231">
        <v>524113</v>
      </c>
      <c r="EX11" s="228">
        <v>-380</v>
      </c>
      <c r="EY11" s="229">
        <v>-6.9999999999999999E-4</v>
      </c>
      <c r="EZ11" s="229">
        <v>0.24859999999999999</v>
      </c>
      <c r="FA11" s="227" t="s">
        <v>567</v>
      </c>
      <c r="FB11" s="161">
        <f t="shared" si="0"/>
        <v>2158400</v>
      </c>
    </row>
    <row r="12" spans="1:158" ht="17.25" thickBot="1" x14ac:dyDescent="0.3">
      <c r="A12" s="226">
        <v>45860</v>
      </c>
      <c r="B12" s="227" t="s">
        <v>170</v>
      </c>
      <c r="C12" s="227" t="s">
        <v>497</v>
      </c>
      <c r="D12" s="228">
        <v>125</v>
      </c>
      <c r="E12" s="231">
        <v>4973.6000000000004</v>
      </c>
      <c r="F12" s="231">
        <v>5006.8999999999996</v>
      </c>
      <c r="G12" s="228">
        <v>-33.299999999999997</v>
      </c>
      <c r="H12" s="229">
        <v>-6.7000000000000002E-3</v>
      </c>
      <c r="I12" s="231">
        <v>4971.8</v>
      </c>
      <c r="J12" s="231">
        <v>4999.7</v>
      </c>
      <c r="K12" s="228">
        <v>-27.9</v>
      </c>
      <c r="L12" s="229">
        <v>-5.5999999999999999E-3</v>
      </c>
      <c r="M12" s="231">
        <v>4973.6000000000004</v>
      </c>
      <c r="N12" s="231">
        <v>5006.8999999999996</v>
      </c>
      <c r="O12" s="228">
        <v>-33.299999999999997</v>
      </c>
      <c r="P12" s="229">
        <v>-6.7000000000000002E-3</v>
      </c>
      <c r="Q12" s="231">
        <v>4987.8</v>
      </c>
      <c r="R12" s="231">
        <v>5020.2</v>
      </c>
      <c r="S12" s="228">
        <v>-32.4</v>
      </c>
      <c r="T12" s="229">
        <v>-6.4999999999999997E-3</v>
      </c>
      <c r="U12" s="228">
        <v>0</v>
      </c>
      <c r="V12" s="228">
        <v>0</v>
      </c>
      <c r="W12" s="228">
        <v>0</v>
      </c>
      <c r="X12" s="229">
        <v>0</v>
      </c>
      <c r="Y12" s="228">
        <v>1.8</v>
      </c>
      <c r="Z12" s="228">
        <v>7.2</v>
      </c>
      <c r="AA12" s="228">
        <v>-5.4</v>
      </c>
      <c r="AB12" s="229">
        <v>4.0000000000000002E-4</v>
      </c>
      <c r="AC12" s="228">
        <v>1.8</v>
      </c>
      <c r="AD12" s="228">
        <v>7.2</v>
      </c>
      <c r="AE12" s="228">
        <v>-5.4</v>
      </c>
      <c r="AF12" s="229">
        <v>4.0000000000000002E-4</v>
      </c>
      <c r="AG12" s="228">
        <v>16</v>
      </c>
      <c r="AH12" s="228">
        <v>20.5</v>
      </c>
      <c r="AI12" s="228">
        <v>-4.5</v>
      </c>
      <c r="AJ12" s="229">
        <v>3.2000000000000002E-3</v>
      </c>
      <c r="AK12" s="228">
        <v>0</v>
      </c>
      <c r="AL12" s="228">
        <v>0</v>
      </c>
      <c r="AM12" s="228">
        <v>0</v>
      </c>
      <c r="AN12" s="229">
        <v>0</v>
      </c>
      <c r="AO12" s="231">
        <v>4970.04</v>
      </c>
      <c r="AP12" s="231">
        <v>4989.7700000000004</v>
      </c>
      <c r="AQ12" s="228">
        <v>0</v>
      </c>
      <c r="AR12" s="230">
        <v>116750</v>
      </c>
      <c r="AS12" s="230">
        <v>114500</v>
      </c>
      <c r="AT12" s="230">
        <v>2250</v>
      </c>
      <c r="AU12" s="229">
        <v>1.9699999999999999E-2</v>
      </c>
      <c r="AV12" s="230">
        <v>97625</v>
      </c>
      <c r="AW12" s="230">
        <v>94875</v>
      </c>
      <c r="AX12" s="230">
        <v>2750</v>
      </c>
      <c r="AY12" s="229">
        <v>2.9000000000000001E-2</v>
      </c>
      <c r="AZ12" s="230">
        <v>17500</v>
      </c>
      <c r="BA12" s="230">
        <v>19375</v>
      </c>
      <c r="BB12" s="230">
        <v>-1875</v>
      </c>
      <c r="BC12" s="229">
        <v>-9.6799999999999997E-2</v>
      </c>
      <c r="BD12" s="228">
        <v>0</v>
      </c>
      <c r="BE12" s="228">
        <v>0</v>
      </c>
      <c r="BF12" s="228">
        <v>0</v>
      </c>
      <c r="BG12" s="229">
        <v>0</v>
      </c>
      <c r="BH12" s="230">
        <v>262500</v>
      </c>
      <c r="BI12" s="230">
        <v>112500</v>
      </c>
      <c r="BJ12" s="230">
        <v>150000</v>
      </c>
      <c r="BK12" s="229">
        <v>1.3332999999999999</v>
      </c>
      <c r="BL12" s="230">
        <v>87375</v>
      </c>
      <c r="BM12" s="230">
        <v>75625</v>
      </c>
      <c r="BN12" s="230">
        <v>11750</v>
      </c>
      <c r="BO12" s="229">
        <v>0.15540000000000001</v>
      </c>
      <c r="BP12" s="230">
        <v>466625</v>
      </c>
      <c r="BQ12" s="230">
        <v>302625</v>
      </c>
      <c r="BR12" s="230">
        <v>164000</v>
      </c>
      <c r="BS12" s="229">
        <v>0.54190000000000005</v>
      </c>
      <c r="BT12" s="230">
        <v>64164</v>
      </c>
      <c r="BU12" s="230">
        <v>60044</v>
      </c>
      <c r="BV12" s="230">
        <v>4120</v>
      </c>
      <c r="BW12" s="229">
        <v>6.8599999999999994E-2</v>
      </c>
      <c r="BX12" s="230">
        <v>1213000</v>
      </c>
      <c r="BY12" s="230">
        <v>1214000</v>
      </c>
      <c r="BZ12" s="230">
        <v>-1000</v>
      </c>
      <c r="CA12" s="229">
        <v>-8.0000000000000004E-4</v>
      </c>
      <c r="CB12" s="230">
        <v>1139125</v>
      </c>
      <c r="CC12" s="230">
        <v>1144250</v>
      </c>
      <c r="CD12" s="230">
        <v>-5125</v>
      </c>
      <c r="CE12" s="229">
        <v>-4.4999999999999997E-3</v>
      </c>
      <c r="CF12" s="230">
        <v>68250</v>
      </c>
      <c r="CG12" s="230">
        <v>63500</v>
      </c>
      <c r="CH12" s="230">
        <v>4750</v>
      </c>
      <c r="CI12" s="229">
        <v>7.4800000000000005E-2</v>
      </c>
      <c r="CJ12" s="228">
        <v>0</v>
      </c>
      <c r="CK12" s="228">
        <v>0</v>
      </c>
      <c r="CL12" s="228">
        <v>0</v>
      </c>
      <c r="CM12" s="229">
        <v>0</v>
      </c>
      <c r="CN12" s="230">
        <v>349500</v>
      </c>
      <c r="CO12" s="230">
        <v>332250</v>
      </c>
      <c r="CP12" s="230">
        <v>17250</v>
      </c>
      <c r="CQ12" s="229">
        <v>5.1900000000000002E-2</v>
      </c>
      <c r="CR12" s="230">
        <v>200750</v>
      </c>
      <c r="CS12" s="230">
        <v>198750</v>
      </c>
      <c r="CT12" s="230">
        <v>2000</v>
      </c>
      <c r="CU12" s="229">
        <v>1.01E-2</v>
      </c>
      <c r="CV12" s="230">
        <v>1763250</v>
      </c>
      <c r="CW12" s="230">
        <v>1745000</v>
      </c>
      <c r="CX12" s="230">
        <v>18250</v>
      </c>
      <c r="CY12" s="229">
        <v>1.0500000000000001E-2</v>
      </c>
      <c r="CZ12" s="228">
        <v>20.76</v>
      </c>
      <c r="DA12" s="228">
        <v>20.72</v>
      </c>
      <c r="DB12" s="228">
        <v>0.04</v>
      </c>
      <c r="DC12" s="228">
        <v>0.04</v>
      </c>
      <c r="DD12" s="228">
        <v>28.97</v>
      </c>
      <c r="DE12" s="228">
        <v>29.03</v>
      </c>
      <c r="DF12" s="228">
        <v>-8.2100000000000009</v>
      </c>
      <c r="DG12" s="228">
        <v>-0.06</v>
      </c>
      <c r="DH12" s="228">
        <v>20.96</v>
      </c>
      <c r="DI12" s="228">
        <v>20.65</v>
      </c>
      <c r="DJ12" s="228">
        <v>0.31</v>
      </c>
      <c r="DK12" s="228">
        <v>0.31</v>
      </c>
      <c r="DL12" s="228">
        <v>20.16</v>
      </c>
      <c r="DM12" s="228">
        <v>20.82</v>
      </c>
      <c r="DN12" s="228">
        <v>-0.66</v>
      </c>
      <c r="DO12" s="228">
        <v>-0.66</v>
      </c>
      <c r="DP12" s="228">
        <v>0.56999999999999995</v>
      </c>
      <c r="DQ12" s="228">
        <v>0.6</v>
      </c>
      <c r="DR12" s="228">
        <v>-0.03</v>
      </c>
      <c r="DS12" s="229">
        <v>-0.05</v>
      </c>
      <c r="DT12" s="231">
        <v>5000</v>
      </c>
      <c r="DU12" s="231">
        <v>5000</v>
      </c>
      <c r="DV12" s="228">
        <v>0.33</v>
      </c>
      <c r="DW12" s="228">
        <v>0.67</v>
      </c>
      <c r="DX12" s="228">
        <v>-0.34</v>
      </c>
      <c r="DY12" s="229">
        <v>-0.50749999999999995</v>
      </c>
      <c r="DZ12" s="229">
        <v>5.6300000000000003E-2</v>
      </c>
      <c r="EA12" s="230">
        <v>63500</v>
      </c>
      <c r="EB12" s="229">
        <v>2.8999999999999998E-3</v>
      </c>
      <c r="EC12" s="229">
        <v>5.6300000000000003E-2</v>
      </c>
      <c r="ED12" s="228">
        <v>19.73</v>
      </c>
      <c r="EE12" s="229">
        <v>4.0000000000000001E-3</v>
      </c>
      <c r="EF12" s="230">
        <v>39417</v>
      </c>
      <c r="EG12" s="230">
        <v>45535</v>
      </c>
      <c r="EH12" s="229">
        <v>-0.13439999999999999</v>
      </c>
      <c r="EI12" s="229">
        <v>0.61429999999999996</v>
      </c>
      <c r="EJ12" s="231">
        <v>13569.62</v>
      </c>
      <c r="EK12" s="231">
        <v>4338.37</v>
      </c>
      <c r="EL12" s="231">
        <v>5806.34</v>
      </c>
      <c r="EM12" s="228">
        <v>0</v>
      </c>
      <c r="EN12" s="231">
        <v>23714.33</v>
      </c>
      <c r="EO12" s="231">
        <v>15220.7</v>
      </c>
      <c r="EP12" s="231">
        <v>8493.6299999999992</v>
      </c>
      <c r="EQ12" s="229">
        <v>0.55800000000000005</v>
      </c>
      <c r="ER12" s="231">
        <v>17831</v>
      </c>
      <c r="ES12" s="231">
        <v>9643</v>
      </c>
      <c r="ET12" s="231">
        <v>60341</v>
      </c>
      <c r="EU12" s="231">
        <v>10730378</v>
      </c>
      <c r="EV12" s="231">
        <v>87815</v>
      </c>
      <c r="EW12" s="231">
        <v>87253</v>
      </c>
      <c r="EX12" s="228">
        <v>562</v>
      </c>
      <c r="EY12" s="229">
        <v>6.4000000000000003E-3</v>
      </c>
      <c r="EZ12" s="229">
        <v>0.1643</v>
      </c>
      <c r="FA12" s="227" t="s">
        <v>568</v>
      </c>
      <c r="FB12" s="161">
        <f t="shared" si="0"/>
        <v>73875</v>
      </c>
    </row>
    <row r="13" spans="1:158" ht="17.25" thickBot="1" x14ac:dyDescent="0.3">
      <c r="A13" s="226">
        <v>45860</v>
      </c>
      <c r="B13" s="227" t="s">
        <v>184</v>
      </c>
      <c r="C13" s="227" t="s">
        <v>683</v>
      </c>
      <c r="D13" s="228">
        <v>100</v>
      </c>
      <c r="E13" s="231">
        <v>7388.5</v>
      </c>
      <c r="F13" s="231">
        <v>7500.5</v>
      </c>
      <c r="G13" s="228">
        <v>-112</v>
      </c>
      <c r="H13" s="229">
        <v>-1.49E-2</v>
      </c>
      <c r="I13" s="231">
        <v>7369</v>
      </c>
      <c r="J13" s="231">
        <v>7469.5</v>
      </c>
      <c r="K13" s="228">
        <v>-100.5</v>
      </c>
      <c r="L13" s="229">
        <v>-1.35E-2</v>
      </c>
      <c r="M13" s="231">
        <v>7388.5</v>
      </c>
      <c r="N13" s="231">
        <v>7500.5</v>
      </c>
      <c r="O13" s="228">
        <v>-112</v>
      </c>
      <c r="P13" s="229">
        <v>-1.49E-2</v>
      </c>
      <c r="Q13" s="231">
        <v>7419.5</v>
      </c>
      <c r="R13" s="231">
        <v>7531.5</v>
      </c>
      <c r="S13" s="228">
        <v>-112</v>
      </c>
      <c r="T13" s="229">
        <v>-1.49E-2</v>
      </c>
      <c r="U13" s="228">
        <v>0</v>
      </c>
      <c r="V13" s="228">
        <v>0</v>
      </c>
      <c r="W13" s="228">
        <v>0</v>
      </c>
      <c r="X13" s="229">
        <v>0</v>
      </c>
      <c r="Y13" s="228">
        <v>19.5</v>
      </c>
      <c r="Z13" s="228">
        <v>31</v>
      </c>
      <c r="AA13" s="228">
        <v>-11.5</v>
      </c>
      <c r="AB13" s="229">
        <v>2.5999999999999999E-3</v>
      </c>
      <c r="AC13" s="228">
        <v>19.5</v>
      </c>
      <c r="AD13" s="228">
        <v>31</v>
      </c>
      <c r="AE13" s="228">
        <v>-11.5</v>
      </c>
      <c r="AF13" s="229">
        <v>2.5999999999999999E-3</v>
      </c>
      <c r="AG13" s="228">
        <v>50.5</v>
      </c>
      <c r="AH13" s="228">
        <v>62</v>
      </c>
      <c r="AI13" s="228">
        <v>-11.5</v>
      </c>
      <c r="AJ13" s="229">
        <v>6.8999999999999999E-3</v>
      </c>
      <c r="AK13" s="228">
        <v>0</v>
      </c>
      <c r="AL13" s="228">
        <v>0</v>
      </c>
      <c r="AM13" s="228">
        <v>0</v>
      </c>
      <c r="AN13" s="229">
        <v>0</v>
      </c>
      <c r="AO13" s="231">
        <v>7467.53</v>
      </c>
      <c r="AP13" s="231">
        <v>7521.97</v>
      </c>
      <c r="AQ13" s="228">
        <v>0</v>
      </c>
      <c r="AR13" s="230">
        <v>114100</v>
      </c>
      <c r="AS13" s="230">
        <v>133100</v>
      </c>
      <c r="AT13" s="230">
        <v>-19000</v>
      </c>
      <c r="AU13" s="229">
        <v>-0.14269999999999999</v>
      </c>
      <c r="AV13" s="230">
        <v>100600</v>
      </c>
      <c r="AW13" s="230">
        <v>121500</v>
      </c>
      <c r="AX13" s="230">
        <v>-20900</v>
      </c>
      <c r="AY13" s="229">
        <v>-0.17199999999999999</v>
      </c>
      <c r="AZ13" s="230">
        <v>13200</v>
      </c>
      <c r="BA13" s="230">
        <v>11600</v>
      </c>
      <c r="BB13" s="230">
        <v>1600</v>
      </c>
      <c r="BC13" s="229">
        <v>0.13789999999999999</v>
      </c>
      <c r="BD13" s="228">
        <v>0</v>
      </c>
      <c r="BE13" s="228">
        <v>0</v>
      </c>
      <c r="BF13" s="228">
        <v>0</v>
      </c>
      <c r="BG13" s="229">
        <v>0</v>
      </c>
      <c r="BH13" s="230">
        <v>400500</v>
      </c>
      <c r="BI13" s="230">
        <v>387200</v>
      </c>
      <c r="BJ13" s="230">
        <v>13300</v>
      </c>
      <c r="BK13" s="229">
        <v>3.4299999999999997E-2</v>
      </c>
      <c r="BL13" s="230">
        <v>81700</v>
      </c>
      <c r="BM13" s="230">
        <v>142700</v>
      </c>
      <c r="BN13" s="230">
        <v>-61000</v>
      </c>
      <c r="BO13" s="229">
        <v>-0.42749999999999999</v>
      </c>
      <c r="BP13" s="230">
        <v>596300</v>
      </c>
      <c r="BQ13" s="230">
        <v>663000</v>
      </c>
      <c r="BR13" s="230">
        <v>-66700</v>
      </c>
      <c r="BS13" s="229">
        <v>-0.10059999999999999</v>
      </c>
      <c r="BT13" s="230">
        <v>170406</v>
      </c>
      <c r="BU13" s="230">
        <v>260712</v>
      </c>
      <c r="BV13" s="230">
        <v>-90306</v>
      </c>
      <c r="BW13" s="229">
        <v>-0.34639999999999999</v>
      </c>
      <c r="BX13" s="230">
        <v>321000</v>
      </c>
      <c r="BY13" s="230">
        <v>321800</v>
      </c>
      <c r="BZ13" s="228">
        <v>-800</v>
      </c>
      <c r="CA13" s="229">
        <v>-2.5000000000000001E-3</v>
      </c>
      <c r="CB13" s="230">
        <v>298900</v>
      </c>
      <c r="CC13" s="230">
        <v>301400</v>
      </c>
      <c r="CD13" s="230">
        <v>-2500</v>
      </c>
      <c r="CE13" s="229">
        <v>-8.3000000000000001E-3</v>
      </c>
      <c r="CF13" s="230">
        <v>19400</v>
      </c>
      <c r="CG13" s="230">
        <v>18000</v>
      </c>
      <c r="CH13" s="230">
        <v>1400</v>
      </c>
      <c r="CI13" s="229">
        <v>7.7799999999999994E-2</v>
      </c>
      <c r="CJ13" s="228">
        <v>0</v>
      </c>
      <c r="CK13" s="228">
        <v>0</v>
      </c>
      <c r="CL13" s="228">
        <v>0</v>
      </c>
      <c r="CM13" s="229">
        <v>0</v>
      </c>
      <c r="CN13" s="230">
        <v>306500</v>
      </c>
      <c r="CO13" s="230">
        <v>314900</v>
      </c>
      <c r="CP13" s="230">
        <v>-8400</v>
      </c>
      <c r="CQ13" s="229">
        <v>-2.6700000000000002E-2</v>
      </c>
      <c r="CR13" s="230">
        <v>179200</v>
      </c>
      <c r="CS13" s="230">
        <v>178600</v>
      </c>
      <c r="CT13" s="228">
        <v>600</v>
      </c>
      <c r="CU13" s="229">
        <v>3.3999999999999998E-3</v>
      </c>
      <c r="CV13" s="230">
        <v>806700</v>
      </c>
      <c r="CW13" s="230">
        <v>815300</v>
      </c>
      <c r="CX13" s="230">
        <v>-8600</v>
      </c>
      <c r="CY13" s="229">
        <v>-1.0500000000000001E-2</v>
      </c>
      <c r="CZ13" s="228">
        <v>40.72</v>
      </c>
      <c r="DA13" s="228">
        <v>39.659999999999997</v>
      </c>
      <c r="DB13" s="228">
        <v>1.06</v>
      </c>
      <c r="DC13" s="228">
        <v>1.06</v>
      </c>
      <c r="DD13" s="228">
        <v>58.04</v>
      </c>
      <c r="DE13" s="228">
        <v>58.15</v>
      </c>
      <c r="DF13" s="228">
        <v>-17.32</v>
      </c>
      <c r="DG13" s="228">
        <v>-0.11</v>
      </c>
      <c r="DH13" s="228">
        <v>40.97</v>
      </c>
      <c r="DI13" s="228">
        <v>39.54</v>
      </c>
      <c r="DJ13" s="228">
        <v>1.43</v>
      </c>
      <c r="DK13" s="228">
        <v>1.43</v>
      </c>
      <c r="DL13" s="228">
        <v>39.49</v>
      </c>
      <c r="DM13" s="228">
        <v>39.99</v>
      </c>
      <c r="DN13" s="228">
        <v>-0.5</v>
      </c>
      <c r="DO13" s="228">
        <v>-0.5</v>
      </c>
      <c r="DP13" s="228">
        <v>0.57999999999999996</v>
      </c>
      <c r="DQ13" s="228">
        <v>0.56999999999999995</v>
      </c>
      <c r="DR13" s="228">
        <v>0.01</v>
      </c>
      <c r="DS13" s="229">
        <v>1.7500000000000002E-2</v>
      </c>
      <c r="DT13" s="231">
        <v>7700</v>
      </c>
      <c r="DU13" s="231">
        <v>7000</v>
      </c>
      <c r="DV13" s="228">
        <v>0.2</v>
      </c>
      <c r="DW13" s="228">
        <v>0.37</v>
      </c>
      <c r="DX13" s="228">
        <v>-0.17</v>
      </c>
      <c r="DY13" s="229">
        <v>-0.45950000000000002</v>
      </c>
      <c r="DZ13" s="229">
        <v>6.0400000000000002E-2</v>
      </c>
      <c r="EA13" s="230">
        <v>18000</v>
      </c>
      <c r="EB13" s="229">
        <v>4.1999999999999997E-3</v>
      </c>
      <c r="EC13" s="229">
        <v>6.0400000000000002E-2</v>
      </c>
      <c r="ED13" s="228">
        <v>54.44</v>
      </c>
      <c r="EE13" s="229">
        <v>7.3000000000000001E-3</v>
      </c>
      <c r="EF13" s="230">
        <v>47798</v>
      </c>
      <c r="EG13" s="230">
        <v>112563</v>
      </c>
      <c r="EH13" s="229">
        <v>-0.57540000000000002</v>
      </c>
      <c r="EI13" s="229">
        <v>0.28050000000000003</v>
      </c>
      <c r="EJ13" s="231">
        <v>31683.93</v>
      </c>
      <c r="EK13" s="231">
        <v>5922.66</v>
      </c>
      <c r="EL13" s="231">
        <v>8527.77</v>
      </c>
      <c r="EM13" s="228">
        <v>0</v>
      </c>
      <c r="EN13" s="231">
        <v>46134.36</v>
      </c>
      <c r="EO13" s="231">
        <v>51210.57</v>
      </c>
      <c r="EP13" s="231">
        <v>-5076.21</v>
      </c>
      <c r="EQ13" s="229">
        <v>-9.9099999999999994E-2</v>
      </c>
      <c r="ER13" s="231">
        <v>23783</v>
      </c>
      <c r="ES13" s="231">
        <v>12944</v>
      </c>
      <c r="ET13" s="231">
        <v>23725</v>
      </c>
      <c r="EU13" s="231">
        <v>4078053</v>
      </c>
      <c r="EV13" s="231">
        <v>60452</v>
      </c>
      <c r="EW13" s="231">
        <v>61543</v>
      </c>
      <c r="EX13" s="231">
        <v>-1091</v>
      </c>
      <c r="EY13" s="229">
        <v>-1.77E-2</v>
      </c>
      <c r="EZ13" s="229">
        <v>0.1978</v>
      </c>
      <c r="FA13" s="227" t="s">
        <v>568</v>
      </c>
      <c r="FB13" s="161">
        <f t="shared" si="0"/>
        <v>22100</v>
      </c>
    </row>
    <row r="14" spans="1:158" ht="17.25" thickBot="1" x14ac:dyDescent="0.3">
      <c r="A14" s="226">
        <v>45860</v>
      </c>
      <c r="B14" s="227" t="s">
        <v>157</v>
      </c>
      <c r="C14" s="227" t="s">
        <v>164</v>
      </c>
      <c r="D14" s="228">
        <v>1050</v>
      </c>
      <c r="E14" s="228">
        <v>620.75</v>
      </c>
      <c r="F14" s="228">
        <v>614.9</v>
      </c>
      <c r="G14" s="228">
        <v>5.85</v>
      </c>
      <c r="H14" s="229">
        <v>9.4999999999999998E-3</v>
      </c>
      <c r="I14" s="228">
        <v>620.54999999999995</v>
      </c>
      <c r="J14" s="228">
        <v>613.25</v>
      </c>
      <c r="K14" s="228">
        <v>7.3</v>
      </c>
      <c r="L14" s="229">
        <v>1.1900000000000001E-2</v>
      </c>
      <c r="M14" s="228">
        <v>620.75</v>
      </c>
      <c r="N14" s="228">
        <v>614.9</v>
      </c>
      <c r="O14" s="228">
        <v>5.85</v>
      </c>
      <c r="P14" s="229">
        <v>9.4999999999999998E-3</v>
      </c>
      <c r="Q14" s="228">
        <v>623.9</v>
      </c>
      <c r="R14" s="228">
        <v>618.04999999999995</v>
      </c>
      <c r="S14" s="228">
        <v>5.85</v>
      </c>
      <c r="T14" s="229">
        <v>9.4999999999999998E-3</v>
      </c>
      <c r="U14" s="228">
        <v>0</v>
      </c>
      <c r="V14" s="228">
        <v>0</v>
      </c>
      <c r="W14" s="228">
        <v>0</v>
      </c>
      <c r="X14" s="229">
        <v>0</v>
      </c>
      <c r="Y14" s="228">
        <v>0.2</v>
      </c>
      <c r="Z14" s="228">
        <v>1.65</v>
      </c>
      <c r="AA14" s="228">
        <v>-1.45</v>
      </c>
      <c r="AB14" s="229">
        <v>2.9999999999999997E-4</v>
      </c>
      <c r="AC14" s="228">
        <v>0.2</v>
      </c>
      <c r="AD14" s="228">
        <v>1.65</v>
      </c>
      <c r="AE14" s="228">
        <v>-1.45</v>
      </c>
      <c r="AF14" s="229">
        <v>2.9999999999999997E-4</v>
      </c>
      <c r="AG14" s="228">
        <v>3.35</v>
      </c>
      <c r="AH14" s="228">
        <v>4.8</v>
      </c>
      <c r="AI14" s="228">
        <v>-1.45</v>
      </c>
      <c r="AJ14" s="229">
        <v>5.4000000000000003E-3</v>
      </c>
      <c r="AK14" s="228">
        <v>0</v>
      </c>
      <c r="AL14" s="228">
        <v>0</v>
      </c>
      <c r="AM14" s="228">
        <v>0</v>
      </c>
      <c r="AN14" s="229">
        <v>0</v>
      </c>
      <c r="AO14" s="228">
        <v>621.80999999999995</v>
      </c>
      <c r="AP14" s="228">
        <v>624.89</v>
      </c>
      <c r="AQ14" s="228">
        <v>0</v>
      </c>
      <c r="AR14" s="230">
        <v>9133950</v>
      </c>
      <c r="AS14" s="230">
        <v>7115850</v>
      </c>
      <c r="AT14" s="230">
        <v>2018100</v>
      </c>
      <c r="AU14" s="229">
        <v>0.28360000000000002</v>
      </c>
      <c r="AV14" s="230">
        <v>7506450</v>
      </c>
      <c r="AW14" s="230">
        <v>5948250</v>
      </c>
      <c r="AX14" s="230">
        <v>1558200</v>
      </c>
      <c r="AY14" s="229">
        <v>0.26200000000000001</v>
      </c>
      <c r="AZ14" s="230">
        <v>1583400</v>
      </c>
      <c r="BA14" s="230">
        <v>1100400</v>
      </c>
      <c r="BB14" s="230">
        <v>483000</v>
      </c>
      <c r="BC14" s="229">
        <v>0.43890000000000001</v>
      </c>
      <c r="BD14" s="228">
        <v>0</v>
      </c>
      <c r="BE14" s="228">
        <v>0</v>
      </c>
      <c r="BF14" s="228">
        <v>0</v>
      </c>
      <c r="BG14" s="229">
        <v>0</v>
      </c>
      <c r="BH14" s="230">
        <v>30831150</v>
      </c>
      <c r="BI14" s="230">
        <v>35318850</v>
      </c>
      <c r="BJ14" s="230">
        <v>-4487700</v>
      </c>
      <c r="BK14" s="229">
        <v>-0.12709999999999999</v>
      </c>
      <c r="BL14" s="230">
        <v>11991000</v>
      </c>
      <c r="BM14" s="230">
        <v>9392250</v>
      </c>
      <c r="BN14" s="230">
        <v>2598750</v>
      </c>
      <c r="BO14" s="229">
        <v>0.2767</v>
      </c>
      <c r="BP14" s="230">
        <v>51956100</v>
      </c>
      <c r="BQ14" s="230">
        <v>51826950</v>
      </c>
      <c r="BR14" s="230">
        <v>129150</v>
      </c>
      <c r="BS14" s="229">
        <v>2.5000000000000001E-3</v>
      </c>
      <c r="BT14" s="230">
        <v>6169753</v>
      </c>
      <c r="BU14" s="230">
        <v>4577721</v>
      </c>
      <c r="BV14" s="230">
        <v>1592032</v>
      </c>
      <c r="BW14" s="229">
        <v>0.3478</v>
      </c>
      <c r="BX14" s="230">
        <v>28242900</v>
      </c>
      <c r="BY14" s="230">
        <v>28292250</v>
      </c>
      <c r="BZ14" s="230">
        <v>-49350</v>
      </c>
      <c r="CA14" s="229">
        <v>-1.6999999999999999E-3</v>
      </c>
      <c r="CB14" s="230">
        <v>26362350</v>
      </c>
      <c r="CC14" s="230">
        <v>26746650</v>
      </c>
      <c r="CD14" s="230">
        <v>-384300</v>
      </c>
      <c r="CE14" s="229">
        <v>-1.44E-2</v>
      </c>
      <c r="CF14" s="230">
        <v>1769250</v>
      </c>
      <c r="CG14" s="230">
        <v>1441650</v>
      </c>
      <c r="CH14" s="230">
        <v>327600</v>
      </c>
      <c r="CI14" s="229">
        <v>0.22720000000000001</v>
      </c>
      <c r="CJ14" s="228">
        <v>0</v>
      </c>
      <c r="CK14" s="228">
        <v>0</v>
      </c>
      <c r="CL14" s="228">
        <v>0</v>
      </c>
      <c r="CM14" s="229">
        <v>0</v>
      </c>
      <c r="CN14" s="230">
        <v>9138150</v>
      </c>
      <c r="CO14" s="230">
        <v>9697800</v>
      </c>
      <c r="CP14" s="230">
        <v>-559650</v>
      </c>
      <c r="CQ14" s="229">
        <v>-5.7700000000000001E-2</v>
      </c>
      <c r="CR14" s="230">
        <v>7875000</v>
      </c>
      <c r="CS14" s="230">
        <v>7151550</v>
      </c>
      <c r="CT14" s="230">
        <v>723450</v>
      </c>
      <c r="CU14" s="229">
        <v>0.1012</v>
      </c>
      <c r="CV14" s="230">
        <v>45256050</v>
      </c>
      <c r="CW14" s="230">
        <v>45141600</v>
      </c>
      <c r="CX14" s="230">
        <v>114450</v>
      </c>
      <c r="CY14" s="229">
        <v>2.5000000000000001E-3</v>
      </c>
      <c r="CZ14" s="228">
        <v>23.96</v>
      </c>
      <c r="DA14" s="228">
        <v>26.25</v>
      </c>
      <c r="DB14" s="228">
        <v>-2.29</v>
      </c>
      <c r="DC14" s="228">
        <v>-2.29</v>
      </c>
      <c r="DD14" s="228">
        <v>37.04</v>
      </c>
      <c r="DE14" s="228">
        <v>37.11</v>
      </c>
      <c r="DF14" s="228">
        <v>-13.08</v>
      </c>
      <c r="DG14" s="228">
        <v>-7.0000000000000007E-2</v>
      </c>
      <c r="DH14" s="228">
        <v>23.8</v>
      </c>
      <c r="DI14" s="228">
        <v>25.81</v>
      </c>
      <c r="DJ14" s="228">
        <v>-2.0099999999999998</v>
      </c>
      <c r="DK14" s="228">
        <v>-2.0099999999999998</v>
      </c>
      <c r="DL14" s="228">
        <v>24.36</v>
      </c>
      <c r="DM14" s="228">
        <v>27.92</v>
      </c>
      <c r="DN14" s="228">
        <v>-3.56</v>
      </c>
      <c r="DO14" s="228">
        <v>-3.56</v>
      </c>
      <c r="DP14" s="228">
        <v>0.86</v>
      </c>
      <c r="DQ14" s="228">
        <v>0.74</v>
      </c>
      <c r="DR14" s="228">
        <v>0.12</v>
      </c>
      <c r="DS14" s="229">
        <v>0.16220000000000001</v>
      </c>
      <c r="DT14" s="228">
        <v>620</v>
      </c>
      <c r="DU14" s="228">
        <v>630</v>
      </c>
      <c r="DV14" s="228">
        <v>0.39</v>
      </c>
      <c r="DW14" s="228">
        <v>0.27</v>
      </c>
      <c r="DX14" s="228">
        <v>0.12</v>
      </c>
      <c r="DY14" s="229">
        <v>0.44440000000000002</v>
      </c>
      <c r="DZ14" s="229">
        <v>6.2600000000000003E-2</v>
      </c>
      <c r="EA14" s="230">
        <v>1441650</v>
      </c>
      <c r="EB14" s="229">
        <v>5.1000000000000004E-3</v>
      </c>
      <c r="EC14" s="229">
        <v>6.2600000000000003E-2</v>
      </c>
      <c r="ED14" s="228">
        <v>3.08</v>
      </c>
      <c r="EE14" s="229">
        <v>5.0000000000000001E-3</v>
      </c>
      <c r="EF14" s="230">
        <v>2995599</v>
      </c>
      <c r="EG14" s="230">
        <v>1959623</v>
      </c>
      <c r="EH14" s="229">
        <v>0.52869999999999995</v>
      </c>
      <c r="EI14" s="229">
        <v>0.48549999999999999</v>
      </c>
      <c r="EJ14" s="231">
        <v>195771.8</v>
      </c>
      <c r="EK14" s="231">
        <v>73521.759999999995</v>
      </c>
      <c r="EL14" s="231">
        <v>56847.45</v>
      </c>
      <c r="EM14" s="228">
        <v>0</v>
      </c>
      <c r="EN14" s="231">
        <v>326141.01</v>
      </c>
      <c r="EO14" s="231">
        <v>320072.11</v>
      </c>
      <c r="EP14" s="231">
        <v>6068.9</v>
      </c>
      <c r="EQ14" s="229">
        <v>1.9E-2</v>
      </c>
      <c r="ER14" s="231">
        <v>56376</v>
      </c>
      <c r="ES14" s="231">
        <v>46532</v>
      </c>
      <c r="ET14" s="231">
        <v>175381</v>
      </c>
      <c r="EU14" s="231">
        <v>159683698</v>
      </c>
      <c r="EV14" s="231">
        <v>278289</v>
      </c>
      <c r="EW14" s="231">
        <v>275328</v>
      </c>
      <c r="EX14" s="231">
        <v>2961</v>
      </c>
      <c r="EY14" s="229">
        <v>1.0800000000000001E-2</v>
      </c>
      <c r="EZ14" s="229">
        <v>0.28339999999999999</v>
      </c>
      <c r="FA14" s="227" t="s">
        <v>556</v>
      </c>
      <c r="FB14" s="161">
        <f t="shared" si="0"/>
        <v>1880550</v>
      </c>
    </row>
    <row r="15" spans="1:158" ht="17.25" thickBot="1" x14ac:dyDescent="0.3">
      <c r="A15" s="226">
        <v>45860</v>
      </c>
      <c r="B15" s="227" t="s">
        <v>175</v>
      </c>
      <c r="C15" s="227" t="s">
        <v>610</v>
      </c>
      <c r="D15" s="228">
        <v>250</v>
      </c>
      <c r="E15" s="231">
        <v>2816.6</v>
      </c>
      <c r="F15" s="231">
        <v>2710.9</v>
      </c>
      <c r="G15" s="228">
        <v>105.7</v>
      </c>
      <c r="H15" s="229">
        <v>3.9E-2</v>
      </c>
      <c r="I15" s="231">
        <v>2805.4</v>
      </c>
      <c r="J15" s="231">
        <v>2706.3</v>
      </c>
      <c r="K15" s="228">
        <v>99.1</v>
      </c>
      <c r="L15" s="229">
        <v>3.6600000000000001E-2</v>
      </c>
      <c r="M15" s="231">
        <v>2816.6</v>
      </c>
      <c r="N15" s="231">
        <v>2710.9</v>
      </c>
      <c r="O15" s="228">
        <v>105.7</v>
      </c>
      <c r="P15" s="229">
        <v>3.9E-2</v>
      </c>
      <c r="Q15" s="231">
        <v>2796.9</v>
      </c>
      <c r="R15" s="231">
        <v>2696.2</v>
      </c>
      <c r="S15" s="228">
        <v>100.7</v>
      </c>
      <c r="T15" s="229">
        <v>3.73E-2</v>
      </c>
      <c r="U15" s="228">
        <v>0</v>
      </c>
      <c r="V15" s="228">
        <v>0</v>
      </c>
      <c r="W15" s="228">
        <v>0</v>
      </c>
      <c r="X15" s="229">
        <v>0</v>
      </c>
      <c r="Y15" s="228">
        <v>11.2</v>
      </c>
      <c r="Z15" s="228">
        <v>4.5999999999999996</v>
      </c>
      <c r="AA15" s="228">
        <v>6.6</v>
      </c>
      <c r="AB15" s="229">
        <v>4.0000000000000001E-3</v>
      </c>
      <c r="AC15" s="228">
        <v>11.2</v>
      </c>
      <c r="AD15" s="228">
        <v>4.5999999999999996</v>
      </c>
      <c r="AE15" s="228">
        <v>6.6</v>
      </c>
      <c r="AF15" s="229">
        <v>4.0000000000000001E-3</v>
      </c>
      <c r="AG15" s="228">
        <v>-8.5</v>
      </c>
      <c r="AH15" s="228">
        <v>-10.1</v>
      </c>
      <c r="AI15" s="228">
        <v>1.6</v>
      </c>
      <c r="AJ15" s="229">
        <v>-3.0000000000000001E-3</v>
      </c>
      <c r="AK15" s="228">
        <v>0</v>
      </c>
      <c r="AL15" s="228">
        <v>0</v>
      </c>
      <c r="AM15" s="228">
        <v>0</v>
      </c>
      <c r="AN15" s="229">
        <v>0</v>
      </c>
      <c r="AO15" s="231">
        <v>2805.88</v>
      </c>
      <c r="AP15" s="231">
        <v>2785.22</v>
      </c>
      <c r="AQ15" s="228">
        <v>0</v>
      </c>
      <c r="AR15" s="230">
        <v>3391000</v>
      </c>
      <c r="AS15" s="230">
        <v>160250</v>
      </c>
      <c r="AT15" s="230">
        <v>3230750</v>
      </c>
      <c r="AU15" s="229">
        <v>20.160699999999999</v>
      </c>
      <c r="AV15" s="230">
        <v>2795500</v>
      </c>
      <c r="AW15" s="230">
        <v>151000</v>
      </c>
      <c r="AX15" s="230">
        <v>2644500</v>
      </c>
      <c r="AY15" s="229">
        <v>17.513200000000001</v>
      </c>
      <c r="AZ15" s="230">
        <v>560000</v>
      </c>
      <c r="BA15" s="230">
        <v>9250</v>
      </c>
      <c r="BB15" s="230">
        <v>550750</v>
      </c>
      <c r="BC15" s="229">
        <v>59.540500000000002</v>
      </c>
      <c r="BD15" s="228">
        <v>0</v>
      </c>
      <c r="BE15" s="228">
        <v>0</v>
      </c>
      <c r="BF15" s="228">
        <v>0</v>
      </c>
      <c r="BG15" s="229">
        <v>0</v>
      </c>
      <c r="BH15" s="230">
        <v>24923250</v>
      </c>
      <c r="BI15" s="230">
        <v>164750</v>
      </c>
      <c r="BJ15" s="230">
        <v>24758500</v>
      </c>
      <c r="BK15" s="229">
        <v>150.2792</v>
      </c>
      <c r="BL15" s="230">
        <v>8441000</v>
      </c>
      <c r="BM15" s="230">
        <v>222750</v>
      </c>
      <c r="BN15" s="230">
        <v>8218250</v>
      </c>
      <c r="BO15" s="229">
        <v>36.894500000000001</v>
      </c>
      <c r="BP15" s="230">
        <v>36755250</v>
      </c>
      <c r="BQ15" s="230">
        <v>547750</v>
      </c>
      <c r="BR15" s="230">
        <v>36207500</v>
      </c>
      <c r="BS15" s="229">
        <v>66.102199999999996</v>
      </c>
      <c r="BT15" s="230">
        <v>3595141</v>
      </c>
      <c r="BU15" s="230">
        <v>576011</v>
      </c>
      <c r="BV15" s="230">
        <v>3019130</v>
      </c>
      <c r="BW15" s="229">
        <v>5.2413999999999996</v>
      </c>
      <c r="BX15" s="230">
        <v>2861500</v>
      </c>
      <c r="BY15" s="230">
        <v>2988500</v>
      </c>
      <c r="BZ15" s="230">
        <v>-127000</v>
      </c>
      <c r="CA15" s="229">
        <v>-4.2500000000000003E-2</v>
      </c>
      <c r="CB15" s="230">
        <v>2158250</v>
      </c>
      <c r="CC15" s="230">
        <v>2289000</v>
      </c>
      <c r="CD15" s="230">
        <v>-130750</v>
      </c>
      <c r="CE15" s="229">
        <v>-5.7099999999999998E-2</v>
      </c>
      <c r="CF15" s="230">
        <v>649500</v>
      </c>
      <c r="CG15" s="230">
        <v>642500</v>
      </c>
      <c r="CH15" s="230">
        <v>7000</v>
      </c>
      <c r="CI15" s="229">
        <v>1.09E-2</v>
      </c>
      <c r="CJ15" s="228">
        <v>0</v>
      </c>
      <c r="CK15" s="228">
        <v>0</v>
      </c>
      <c r="CL15" s="228">
        <v>0</v>
      </c>
      <c r="CM15" s="229">
        <v>0</v>
      </c>
      <c r="CN15" s="230">
        <v>3855250</v>
      </c>
      <c r="CO15" s="230">
        <v>3644000</v>
      </c>
      <c r="CP15" s="230">
        <v>211250</v>
      </c>
      <c r="CQ15" s="229">
        <v>5.8000000000000003E-2</v>
      </c>
      <c r="CR15" s="230">
        <v>2222000</v>
      </c>
      <c r="CS15" s="230">
        <v>2437750</v>
      </c>
      <c r="CT15" s="230">
        <v>-215750</v>
      </c>
      <c r="CU15" s="229">
        <v>-8.8499999999999995E-2</v>
      </c>
      <c r="CV15" s="230">
        <v>8938750</v>
      </c>
      <c r="CW15" s="230">
        <v>9070250</v>
      </c>
      <c r="CX15" s="230">
        <v>-131500</v>
      </c>
      <c r="CY15" s="229">
        <v>-1.4500000000000001E-2</v>
      </c>
      <c r="CZ15" s="228">
        <v>41.8</v>
      </c>
      <c r="DA15" s="228">
        <v>46.2</v>
      </c>
      <c r="DB15" s="228">
        <v>-4.4000000000000004</v>
      </c>
      <c r="DC15" s="228">
        <v>-4.4000000000000004</v>
      </c>
      <c r="DD15" s="228">
        <v>59.4</v>
      </c>
      <c r="DE15" s="228">
        <v>59.32</v>
      </c>
      <c r="DF15" s="228">
        <v>-17.600000000000001</v>
      </c>
      <c r="DG15" s="228">
        <v>0.08</v>
      </c>
      <c r="DH15" s="228">
        <v>41.45</v>
      </c>
      <c r="DI15" s="228">
        <v>46.71</v>
      </c>
      <c r="DJ15" s="228">
        <v>-5.26</v>
      </c>
      <c r="DK15" s="228">
        <v>-5.26</v>
      </c>
      <c r="DL15" s="228">
        <v>42.83</v>
      </c>
      <c r="DM15" s="228">
        <v>45.83</v>
      </c>
      <c r="DN15" s="228">
        <v>-3</v>
      </c>
      <c r="DO15" s="228">
        <v>-3</v>
      </c>
      <c r="DP15" s="228">
        <v>0.57999999999999996</v>
      </c>
      <c r="DQ15" s="228">
        <v>0.67</v>
      </c>
      <c r="DR15" s="228">
        <v>-0.09</v>
      </c>
      <c r="DS15" s="229">
        <v>-0.1343</v>
      </c>
      <c r="DT15" s="231">
        <v>2800</v>
      </c>
      <c r="DU15" s="231">
        <v>2700</v>
      </c>
      <c r="DV15" s="228">
        <v>0.34</v>
      </c>
      <c r="DW15" s="228">
        <v>1.35</v>
      </c>
      <c r="DX15" s="228">
        <v>-1.01</v>
      </c>
      <c r="DY15" s="229">
        <v>-0.74809999999999999</v>
      </c>
      <c r="DZ15" s="229">
        <v>0.22700000000000001</v>
      </c>
      <c r="EA15" s="230">
        <v>642500</v>
      </c>
      <c r="EB15" s="229">
        <v>-7.0000000000000001E-3</v>
      </c>
      <c r="EC15" s="229">
        <v>0.22700000000000001</v>
      </c>
      <c r="ED15" s="228">
        <v>-20.66</v>
      </c>
      <c r="EE15" s="229">
        <v>-7.4000000000000003E-3</v>
      </c>
      <c r="EF15" s="230">
        <v>548130</v>
      </c>
      <c r="EG15" s="230">
        <v>114064</v>
      </c>
      <c r="EH15" s="229">
        <v>3.8054999999999999</v>
      </c>
      <c r="EI15" s="229">
        <v>0.1525</v>
      </c>
      <c r="EJ15" s="231">
        <v>741559.44</v>
      </c>
      <c r="EK15" s="231">
        <v>228706.57</v>
      </c>
      <c r="EL15" s="231">
        <v>95021.119999999995</v>
      </c>
      <c r="EM15" s="228">
        <v>0</v>
      </c>
      <c r="EN15" s="231">
        <v>1065287.1299999999</v>
      </c>
      <c r="EO15" s="231">
        <v>14881.09</v>
      </c>
      <c r="EP15" s="231">
        <v>1050406.04</v>
      </c>
      <c r="EQ15" s="229">
        <v>70.586600000000004</v>
      </c>
      <c r="ER15" s="231">
        <v>113271</v>
      </c>
      <c r="ES15" s="231">
        <v>58197</v>
      </c>
      <c r="ET15" s="231">
        <v>80456</v>
      </c>
      <c r="EU15" s="231">
        <v>11638502</v>
      </c>
      <c r="EV15" s="231">
        <v>251924</v>
      </c>
      <c r="EW15" s="231">
        <v>251091</v>
      </c>
      <c r="EX15" s="228">
        <v>833</v>
      </c>
      <c r="EY15" s="229">
        <v>3.3E-3</v>
      </c>
      <c r="EZ15" s="229">
        <v>0.76800000000000002</v>
      </c>
      <c r="FA15" s="227" t="s">
        <v>556</v>
      </c>
      <c r="FB15" s="161">
        <f t="shared" si="0"/>
        <v>703250</v>
      </c>
    </row>
    <row r="16" spans="1:158" ht="17.25" thickBot="1" x14ac:dyDescent="0.3">
      <c r="A16" s="226">
        <v>45860</v>
      </c>
      <c r="B16" s="227" t="s">
        <v>227</v>
      </c>
      <c r="C16" s="227" t="s">
        <v>599</v>
      </c>
      <c r="D16" s="228">
        <v>350</v>
      </c>
      <c r="E16" s="231">
        <v>1661.9</v>
      </c>
      <c r="F16" s="231">
        <v>1696.6</v>
      </c>
      <c r="G16" s="228">
        <v>-34.700000000000003</v>
      </c>
      <c r="H16" s="229">
        <v>-2.0500000000000001E-2</v>
      </c>
      <c r="I16" s="231">
        <v>1660.4</v>
      </c>
      <c r="J16" s="231">
        <v>1692.5</v>
      </c>
      <c r="K16" s="228">
        <v>-32.1</v>
      </c>
      <c r="L16" s="229">
        <v>-1.9E-2</v>
      </c>
      <c r="M16" s="231">
        <v>1661.9</v>
      </c>
      <c r="N16" s="231">
        <v>1696.6</v>
      </c>
      <c r="O16" s="228">
        <v>-34.700000000000003</v>
      </c>
      <c r="P16" s="229">
        <v>-2.0500000000000001E-2</v>
      </c>
      <c r="Q16" s="231">
        <v>1669.2</v>
      </c>
      <c r="R16" s="231">
        <v>1702.2</v>
      </c>
      <c r="S16" s="228">
        <v>-33</v>
      </c>
      <c r="T16" s="229">
        <v>-1.9400000000000001E-2</v>
      </c>
      <c r="U16" s="228">
        <v>0</v>
      </c>
      <c r="V16" s="228">
        <v>0</v>
      </c>
      <c r="W16" s="228">
        <v>0</v>
      </c>
      <c r="X16" s="229">
        <v>0</v>
      </c>
      <c r="Y16" s="228">
        <v>1.5</v>
      </c>
      <c r="Z16" s="228">
        <v>4.0999999999999996</v>
      </c>
      <c r="AA16" s="228">
        <v>-2.6</v>
      </c>
      <c r="AB16" s="229">
        <v>8.9999999999999998E-4</v>
      </c>
      <c r="AC16" s="228">
        <v>1.5</v>
      </c>
      <c r="AD16" s="228">
        <v>4.0999999999999996</v>
      </c>
      <c r="AE16" s="228">
        <v>-2.6</v>
      </c>
      <c r="AF16" s="229">
        <v>8.9999999999999998E-4</v>
      </c>
      <c r="AG16" s="228">
        <v>8.8000000000000007</v>
      </c>
      <c r="AH16" s="228">
        <v>9.6999999999999993</v>
      </c>
      <c r="AI16" s="228">
        <v>-0.9</v>
      </c>
      <c r="AJ16" s="229">
        <v>5.3E-3</v>
      </c>
      <c r="AK16" s="228">
        <v>0</v>
      </c>
      <c r="AL16" s="228">
        <v>0</v>
      </c>
      <c r="AM16" s="228">
        <v>0</v>
      </c>
      <c r="AN16" s="229">
        <v>0</v>
      </c>
      <c r="AO16" s="231">
        <v>1666.37</v>
      </c>
      <c r="AP16" s="231">
        <v>1673.71</v>
      </c>
      <c r="AQ16" s="228">
        <v>0</v>
      </c>
      <c r="AR16" s="230">
        <v>992950</v>
      </c>
      <c r="AS16" s="230">
        <v>697200</v>
      </c>
      <c r="AT16" s="230">
        <v>295750</v>
      </c>
      <c r="AU16" s="229">
        <v>0.42420000000000002</v>
      </c>
      <c r="AV16" s="230">
        <v>929250</v>
      </c>
      <c r="AW16" s="230">
        <v>609350</v>
      </c>
      <c r="AX16" s="230">
        <v>319900</v>
      </c>
      <c r="AY16" s="229">
        <v>0.52500000000000002</v>
      </c>
      <c r="AZ16" s="230">
        <v>61250</v>
      </c>
      <c r="BA16" s="230">
        <v>85050</v>
      </c>
      <c r="BB16" s="230">
        <v>-23800</v>
      </c>
      <c r="BC16" s="229">
        <v>-0.27979999999999999</v>
      </c>
      <c r="BD16" s="228">
        <v>0</v>
      </c>
      <c r="BE16" s="228">
        <v>0</v>
      </c>
      <c r="BF16" s="228">
        <v>0</v>
      </c>
      <c r="BG16" s="229">
        <v>0</v>
      </c>
      <c r="BH16" s="230">
        <v>1362900</v>
      </c>
      <c r="BI16" s="230">
        <v>1577800</v>
      </c>
      <c r="BJ16" s="230">
        <v>-214900</v>
      </c>
      <c r="BK16" s="229">
        <v>-0.13619999999999999</v>
      </c>
      <c r="BL16" s="230">
        <v>742000</v>
      </c>
      <c r="BM16" s="230">
        <v>854700</v>
      </c>
      <c r="BN16" s="230">
        <v>-112700</v>
      </c>
      <c r="BO16" s="229">
        <v>-0.13189999999999999</v>
      </c>
      <c r="BP16" s="230">
        <v>3097850</v>
      </c>
      <c r="BQ16" s="230">
        <v>3129700</v>
      </c>
      <c r="BR16" s="230">
        <v>-31850</v>
      </c>
      <c r="BS16" s="229">
        <v>-1.0200000000000001E-2</v>
      </c>
      <c r="BT16" s="230">
        <v>463418</v>
      </c>
      <c r="BU16" s="230">
        <v>413899</v>
      </c>
      <c r="BV16" s="230">
        <v>49519</v>
      </c>
      <c r="BW16" s="229">
        <v>0.1196</v>
      </c>
      <c r="BX16" s="230">
        <v>4400200</v>
      </c>
      <c r="BY16" s="230">
        <v>4364850</v>
      </c>
      <c r="BZ16" s="230">
        <v>35350</v>
      </c>
      <c r="CA16" s="229">
        <v>8.0999999999999996E-3</v>
      </c>
      <c r="CB16" s="230">
        <v>4214700</v>
      </c>
      <c r="CC16" s="230">
        <v>4183550</v>
      </c>
      <c r="CD16" s="230">
        <v>31150</v>
      </c>
      <c r="CE16" s="229">
        <v>7.4000000000000003E-3</v>
      </c>
      <c r="CF16" s="230">
        <v>172200</v>
      </c>
      <c r="CG16" s="230">
        <v>168000</v>
      </c>
      <c r="CH16" s="230">
        <v>4200</v>
      </c>
      <c r="CI16" s="229">
        <v>2.5000000000000001E-2</v>
      </c>
      <c r="CJ16" s="228">
        <v>0</v>
      </c>
      <c r="CK16" s="228">
        <v>0</v>
      </c>
      <c r="CL16" s="228">
        <v>0</v>
      </c>
      <c r="CM16" s="229">
        <v>0</v>
      </c>
      <c r="CN16" s="230">
        <v>2592100</v>
      </c>
      <c r="CO16" s="230">
        <v>2465750</v>
      </c>
      <c r="CP16" s="230">
        <v>126350</v>
      </c>
      <c r="CQ16" s="229">
        <v>5.1200000000000002E-2</v>
      </c>
      <c r="CR16" s="230">
        <v>1729000</v>
      </c>
      <c r="CS16" s="230">
        <v>1715350</v>
      </c>
      <c r="CT16" s="230">
        <v>13650</v>
      </c>
      <c r="CU16" s="229">
        <v>8.0000000000000002E-3</v>
      </c>
      <c r="CV16" s="230">
        <v>8721300</v>
      </c>
      <c r="CW16" s="230">
        <v>8545950</v>
      </c>
      <c r="CX16" s="230">
        <v>175350</v>
      </c>
      <c r="CY16" s="229">
        <v>2.0500000000000001E-2</v>
      </c>
      <c r="CZ16" s="228">
        <v>33.409999999999997</v>
      </c>
      <c r="DA16" s="228">
        <v>30.73</v>
      </c>
      <c r="DB16" s="228">
        <v>2.68</v>
      </c>
      <c r="DC16" s="228">
        <v>2.68</v>
      </c>
      <c r="DD16" s="228">
        <v>36.299999999999997</v>
      </c>
      <c r="DE16" s="228">
        <v>36.299999999999997</v>
      </c>
      <c r="DF16" s="228">
        <v>-2.89</v>
      </c>
      <c r="DG16" s="228">
        <v>0</v>
      </c>
      <c r="DH16" s="228">
        <v>34.86</v>
      </c>
      <c r="DI16" s="228">
        <v>31.5</v>
      </c>
      <c r="DJ16" s="228">
        <v>3.36</v>
      </c>
      <c r="DK16" s="228">
        <v>3.36</v>
      </c>
      <c r="DL16" s="228">
        <v>30.75</v>
      </c>
      <c r="DM16" s="228">
        <v>29.29</v>
      </c>
      <c r="DN16" s="228">
        <v>1.46</v>
      </c>
      <c r="DO16" s="228">
        <v>1.46</v>
      </c>
      <c r="DP16" s="228">
        <v>0.67</v>
      </c>
      <c r="DQ16" s="228">
        <v>0.7</v>
      </c>
      <c r="DR16" s="228">
        <v>-0.03</v>
      </c>
      <c r="DS16" s="229">
        <v>-4.2900000000000001E-2</v>
      </c>
      <c r="DT16" s="231">
        <v>1800</v>
      </c>
      <c r="DU16" s="231">
        <v>1680</v>
      </c>
      <c r="DV16" s="228">
        <v>0.54</v>
      </c>
      <c r="DW16" s="228">
        <v>0.54</v>
      </c>
      <c r="DX16" s="228">
        <v>0</v>
      </c>
      <c r="DY16" s="229">
        <v>0</v>
      </c>
      <c r="DZ16" s="229">
        <v>3.9100000000000003E-2</v>
      </c>
      <c r="EA16" s="230">
        <v>168000</v>
      </c>
      <c r="EB16" s="229">
        <v>4.4000000000000003E-3</v>
      </c>
      <c r="EC16" s="229">
        <v>3.9100000000000003E-2</v>
      </c>
      <c r="ED16" s="228">
        <v>7.34</v>
      </c>
      <c r="EE16" s="229">
        <v>4.4000000000000003E-3</v>
      </c>
      <c r="EF16" s="230">
        <v>250743</v>
      </c>
      <c r="EG16" s="230">
        <v>213226</v>
      </c>
      <c r="EH16" s="229">
        <v>0.1759</v>
      </c>
      <c r="EI16" s="229">
        <v>0.54110000000000003</v>
      </c>
      <c r="EJ16" s="231">
        <v>24790.59</v>
      </c>
      <c r="EK16" s="231">
        <v>12476.28</v>
      </c>
      <c r="EL16" s="231">
        <v>16550.97</v>
      </c>
      <c r="EM16" s="228">
        <v>0</v>
      </c>
      <c r="EN16" s="231">
        <v>53817.84</v>
      </c>
      <c r="EO16" s="231">
        <v>54687.67</v>
      </c>
      <c r="EP16" s="228">
        <v>-869.83</v>
      </c>
      <c r="EQ16" s="229">
        <v>-1.5900000000000001E-2</v>
      </c>
      <c r="ER16" s="231">
        <v>47018</v>
      </c>
      <c r="ES16" s="231">
        <v>29200</v>
      </c>
      <c r="ET16" s="231">
        <v>73142</v>
      </c>
      <c r="EU16" s="231">
        <v>39789217</v>
      </c>
      <c r="EV16" s="231">
        <v>149359</v>
      </c>
      <c r="EW16" s="231">
        <v>148017</v>
      </c>
      <c r="EX16" s="231">
        <v>1342</v>
      </c>
      <c r="EY16" s="229">
        <v>9.1000000000000004E-3</v>
      </c>
      <c r="EZ16" s="229">
        <v>0.21920000000000001</v>
      </c>
      <c r="FA16" s="227" t="s">
        <v>567</v>
      </c>
      <c r="FB16" s="161">
        <f t="shared" si="0"/>
        <v>185500</v>
      </c>
    </row>
    <row r="17" spans="1:158" ht="17.25" thickBot="1" x14ac:dyDescent="0.3">
      <c r="A17" s="226">
        <v>45860</v>
      </c>
      <c r="B17" s="227" t="s">
        <v>170</v>
      </c>
      <c r="C17" s="227" t="s">
        <v>165</v>
      </c>
      <c r="D17" s="228">
        <v>125</v>
      </c>
      <c r="E17" s="231">
        <v>7258</v>
      </c>
      <c r="F17" s="231">
        <v>7271</v>
      </c>
      <c r="G17" s="228">
        <v>-13</v>
      </c>
      <c r="H17" s="229">
        <v>-1.8E-3</v>
      </c>
      <c r="I17" s="231">
        <v>7246.5</v>
      </c>
      <c r="J17" s="231">
        <v>7254.5</v>
      </c>
      <c r="K17" s="228">
        <v>-8</v>
      </c>
      <c r="L17" s="229">
        <v>-1.1000000000000001E-3</v>
      </c>
      <c r="M17" s="231">
        <v>7258</v>
      </c>
      <c r="N17" s="231">
        <v>7271</v>
      </c>
      <c r="O17" s="228">
        <v>-13</v>
      </c>
      <c r="P17" s="229">
        <v>-1.8E-3</v>
      </c>
      <c r="Q17" s="231">
        <v>7287</v>
      </c>
      <c r="R17" s="231">
        <v>7299.5</v>
      </c>
      <c r="S17" s="228">
        <v>-12.5</v>
      </c>
      <c r="T17" s="229">
        <v>-1.6999999999999999E-3</v>
      </c>
      <c r="U17" s="228">
        <v>0</v>
      </c>
      <c r="V17" s="228">
        <v>0</v>
      </c>
      <c r="W17" s="228">
        <v>0</v>
      </c>
      <c r="X17" s="229">
        <v>0</v>
      </c>
      <c r="Y17" s="228">
        <v>11.5</v>
      </c>
      <c r="Z17" s="228">
        <v>16.5</v>
      </c>
      <c r="AA17" s="228">
        <v>-5</v>
      </c>
      <c r="AB17" s="229">
        <v>1.6000000000000001E-3</v>
      </c>
      <c r="AC17" s="228">
        <v>11.5</v>
      </c>
      <c r="AD17" s="228">
        <v>16.5</v>
      </c>
      <c r="AE17" s="228">
        <v>-5</v>
      </c>
      <c r="AF17" s="229">
        <v>1.6000000000000001E-3</v>
      </c>
      <c r="AG17" s="228">
        <v>40.5</v>
      </c>
      <c r="AH17" s="228">
        <v>45</v>
      </c>
      <c r="AI17" s="228">
        <v>-4.5</v>
      </c>
      <c r="AJ17" s="229">
        <v>5.5999999999999999E-3</v>
      </c>
      <c r="AK17" s="228">
        <v>0</v>
      </c>
      <c r="AL17" s="228">
        <v>0</v>
      </c>
      <c r="AM17" s="228">
        <v>0</v>
      </c>
      <c r="AN17" s="229">
        <v>0</v>
      </c>
      <c r="AO17" s="231">
        <v>7261.92</v>
      </c>
      <c r="AP17" s="231">
        <v>7286.1</v>
      </c>
      <c r="AQ17" s="228">
        <v>0</v>
      </c>
      <c r="AR17" s="230">
        <v>192750</v>
      </c>
      <c r="AS17" s="230">
        <v>250375</v>
      </c>
      <c r="AT17" s="230">
        <v>-57625</v>
      </c>
      <c r="AU17" s="229">
        <v>-0.23019999999999999</v>
      </c>
      <c r="AV17" s="230">
        <v>163625</v>
      </c>
      <c r="AW17" s="230">
        <v>216625</v>
      </c>
      <c r="AX17" s="230">
        <v>-53000</v>
      </c>
      <c r="AY17" s="229">
        <v>-0.2447</v>
      </c>
      <c r="AZ17" s="230">
        <v>27375</v>
      </c>
      <c r="BA17" s="230">
        <v>31000</v>
      </c>
      <c r="BB17" s="230">
        <v>-3625</v>
      </c>
      <c r="BC17" s="229">
        <v>-0.1169</v>
      </c>
      <c r="BD17" s="228">
        <v>0</v>
      </c>
      <c r="BE17" s="228">
        <v>0</v>
      </c>
      <c r="BF17" s="228">
        <v>0</v>
      </c>
      <c r="BG17" s="229">
        <v>0</v>
      </c>
      <c r="BH17" s="230">
        <v>1106750</v>
      </c>
      <c r="BI17" s="230">
        <v>1170875</v>
      </c>
      <c r="BJ17" s="230">
        <v>-64125</v>
      </c>
      <c r="BK17" s="229">
        <v>-5.4800000000000001E-2</v>
      </c>
      <c r="BL17" s="230">
        <v>510375</v>
      </c>
      <c r="BM17" s="230">
        <v>708750</v>
      </c>
      <c r="BN17" s="230">
        <v>-198375</v>
      </c>
      <c r="BO17" s="229">
        <v>-0.27989999999999998</v>
      </c>
      <c r="BP17" s="230">
        <v>1809875</v>
      </c>
      <c r="BQ17" s="230">
        <v>2130000</v>
      </c>
      <c r="BR17" s="230">
        <v>-320125</v>
      </c>
      <c r="BS17" s="229">
        <v>-0.15029999999999999</v>
      </c>
      <c r="BT17" s="230">
        <v>303846</v>
      </c>
      <c r="BU17" s="230">
        <v>220137</v>
      </c>
      <c r="BV17" s="230">
        <v>83709</v>
      </c>
      <c r="BW17" s="229">
        <v>0.38030000000000003</v>
      </c>
      <c r="BX17" s="230">
        <v>2744375</v>
      </c>
      <c r="BY17" s="230">
        <v>2775625</v>
      </c>
      <c r="BZ17" s="230">
        <v>-31250</v>
      </c>
      <c r="CA17" s="229">
        <v>-1.1299999999999999E-2</v>
      </c>
      <c r="CB17" s="230">
        <v>2583875</v>
      </c>
      <c r="CC17" s="230">
        <v>2631125</v>
      </c>
      <c r="CD17" s="230">
        <v>-47250</v>
      </c>
      <c r="CE17" s="229">
        <v>-1.7999999999999999E-2</v>
      </c>
      <c r="CF17" s="230">
        <v>148875</v>
      </c>
      <c r="CG17" s="230">
        <v>133250</v>
      </c>
      <c r="CH17" s="230">
        <v>15625</v>
      </c>
      <c r="CI17" s="229">
        <v>0.1173</v>
      </c>
      <c r="CJ17" s="228">
        <v>0</v>
      </c>
      <c r="CK17" s="228">
        <v>0</v>
      </c>
      <c r="CL17" s="228">
        <v>0</v>
      </c>
      <c r="CM17" s="229">
        <v>0</v>
      </c>
      <c r="CN17" s="230">
        <v>2003875</v>
      </c>
      <c r="CO17" s="230">
        <v>1962375</v>
      </c>
      <c r="CP17" s="230">
        <v>41500</v>
      </c>
      <c r="CQ17" s="229">
        <v>2.1100000000000001E-2</v>
      </c>
      <c r="CR17" s="230">
        <v>957250</v>
      </c>
      <c r="CS17" s="230">
        <v>969750</v>
      </c>
      <c r="CT17" s="230">
        <v>-12500</v>
      </c>
      <c r="CU17" s="229">
        <v>-1.29E-2</v>
      </c>
      <c r="CV17" s="230">
        <v>5705500</v>
      </c>
      <c r="CW17" s="230">
        <v>5707750</v>
      </c>
      <c r="CX17" s="230">
        <v>-2250</v>
      </c>
      <c r="CY17" s="229">
        <v>-4.0000000000000002E-4</v>
      </c>
      <c r="CZ17" s="228">
        <v>19.14</v>
      </c>
      <c r="DA17" s="228">
        <v>20.11</v>
      </c>
      <c r="DB17" s="228">
        <v>-0.97</v>
      </c>
      <c r="DC17" s="228">
        <v>-0.97</v>
      </c>
      <c r="DD17" s="228">
        <v>26.66</v>
      </c>
      <c r="DE17" s="228">
        <v>26.72</v>
      </c>
      <c r="DF17" s="228">
        <v>-7.52</v>
      </c>
      <c r="DG17" s="228">
        <v>-0.06</v>
      </c>
      <c r="DH17" s="228">
        <v>19.86</v>
      </c>
      <c r="DI17" s="228">
        <v>21.07</v>
      </c>
      <c r="DJ17" s="228">
        <v>-1.21</v>
      </c>
      <c r="DK17" s="228">
        <v>-1.21</v>
      </c>
      <c r="DL17" s="228">
        <v>17.600000000000001</v>
      </c>
      <c r="DM17" s="228">
        <v>18.52</v>
      </c>
      <c r="DN17" s="228">
        <v>-0.92</v>
      </c>
      <c r="DO17" s="228">
        <v>-0.92</v>
      </c>
      <c r="DP17" s="228">
        <v>0.48</v>
      </c>
      <c r="DQ17" s="228">
        <v>0.49</v>
      </c>
      <c r="DR17" s="228">
        <v>-0.01</v>
      </c>
      <c r="DS17" s="229">
        <v>-2.0400000000000001E-2</v>
      </c>
      <c r="DT17" s="231">
        <v>8000</v>
      </c>
      <c r="DU17" s="231">
        <v>7000</v>
      </c>
      <c r="DV17" s="228">
        <v>0.46</v>
      </c>
      <c r="DW17" s="228">
        <v>0.61</v>
      </c>
      <c r="DX17" s="228">
        <v>-0.15</v>
      </c>
      <c r="DY17" s="229">
        <v>-0.24590000000000001</v>
      </c>
      <c r="DZ17" s="229">
        <v>5.4199999999999998E-2</v>
      </c>
      <c r="EA17" s="230">
        <v>133250</v>
      </c>
      <c r="EB17" s="229">
        <v>4.0000000000000001E-3</v>
      </c>
      <c r="EC17" s="229">
        <v>5.4199999999999998E-2</v>
      </c>
      <c r="ED17" s="228">
        <v>24.18</v>
      </c>
      <c r="EE17" s="229">
        <v>3.3E-3</v>
      </c>
      <c r="EF17" s="230">
        <v>234187</v>
      </c>
      <c r="EG17" s="230">
        <v>150399</v>
      </c>
      <c r="EH17" s="229">
        <v>0.55710000000000004</v>
      </c>
      <c r="EI17" s="229">
        <v>0.77070000000000005</v>
      </c>
      <c r="EJ17" s="231">
        <v>83187.97</v>
      </c>
      <c r="EK17" s="231">
        <v>36742.01</v>
      </c>
      <c r="EL17" s="231">
        <v>14004.88</v>
      </c>
      <c r="EM17" s="228">
        <v>0</v>
      </c>
      <c r="EN17" s="231">
        <v>133934.85999999999</v>
      </c>
      <c r="EO17" s="231">
        <v>158285.26</v>
      </c>
      <c r="EP17" s="231">
        <v>-24350.400000000001</v>
      </c>
      <c r="EQ17" s="229">
        <v>-0.15379999999999999</v>
      </c>
      <c r="ER17" s="231">
        <v>154564</v>
      </c>
      <c r="ES17" s="231">
        <v>68049</v>
      </c>
      <c r="ET17" s="231">
        <v>199237</v>
      </c>
      <c r="EU17" s="231">
        <v>20320323</v>
      </c>
      <c r="EV17" s="231">
        <v>421850</v>
      </c>
      <c r="EW17" s="231">
        <v>422284</v>
      </c>
      <c r="EX17" s="228">
        <v>-434</v>
      </c>
      <c r="EY17" s="229">
        <v>-1E-3</v>
      </c>
      <c r="EZ17" s="229">
        <v>0.28079999999999999</v>
      </c>
      <c r="FA17" s="227" t="s">
        <v>568</v>
      </c>
      <c r="FB17" s="161">
        <f t="shared" si="0"/>
        <v>160500</v>
      </c>
    </row>
    <row r="18" spans="1:158" ht="17.25" thickBot="1" x14ac:dyDescent="0.3">
      <c r="A18" s="226">
        <v>45860</v>
      </c>
      <c r="B18" s="227" t="s">
        <v>162</v>
      </c>
      <c r="C18" s="227" t="s">
        <v>167</v>
      </c>
      <c r="D18" s="228">
        <v>5000</v>
      </c>
      <c r="E18" s="228">
        <v>124.05</v>
      </c>
      <c r="F18" s="228">
        <v>124.9</v>
      </c>
      <c r="G18" s="228">
        <v>-0.85</v>
      </c>
      <c r="H18" s="229">
        <v>-6.7999999999999996E-3</v>
      </c>
      <c r="I18" s="228">
        <v>124</v>
      </c>
      <c r="J18" s="228">
        <v>124.8</v>
      </c>
      <c r="K18" s="228">
        <v>-0.8</v>
      </c>
      <c r="L18" s="229">
        <v>-6.4000000000000003E-3</v>
      </c>
      <c r="M18" s="228">
        <v>124.05</v>
      </c>
      <c r="N18" s="228">
        <v>124.9</v>
      </c>
      <c r="O18" s="228">
        <v>-0.85</v>
      </c>
      <c r="P18" s="229">
        <v>-6.7999999999999996E-3</v>
      </c>
      <c r="Q18" s="228">
        <v>124.6</v>
      </c>
      <c r="R18" s="228">
        <v>125.45</v>
      </c>
      <c r="S18" s="228">
        <v>-0.85</v>
      </c>
      <c r="T18" s="229">
        <v>-6.7999999999999996E-3</v>
      </c>
      <c r="U18" s="228">
        <v>0</v>
      </c>
      <c r="V18" s="228">
        <v>0</v>
      </c>
      <c r="W18" s="228">
        <v>0</v>
      </c>
      <c r="X18" s="229">
        <v>0</v>
      </c>
      <c r="Y18" s="228">
        <v>0.05</v>
      </c>
      <c r="Z18" s="228">
        <v>0.1</v>
      </c>
      <c r="AA18" s="228">
        <v>-0.05</v>
      </c>
      <c r="AB18" s="229">
        <v>4.0000000000000002E-4</v>
      </c>
      <c r="AC18" s="228">
        <v>0.05</v>
      </c>
      <c r="AD18" s="228">
        <v>0.1</v>
      </c>
      <c r="AE18" s="228">
        <v>-0.05</v>
      </c>
      <c r="AF18" s="229">
        <v>4.0000000000000002E-4</v>
      </c>
      <c r="AG18" s="228">
        <v>0.6</v>
      </c>
      <c r="AH18" s="228">
        <v>0.65</v>
      </c>
      <c r="AI18" s="228">
        <v>-0.05</v>
      </c>
      <c r="AJ18" s="229">
        <v>4.7999999999999996E-3</v>
      </c>
      <c r="AK18" s="228">
        <v>0</v>
      </c>
      <c r="AL18" s="228">
        <v>0</v>
      </c>
      <c r="AM18" s="228">
        <v>0</v>
      </c>
      <c r="AN18" s="229">
        <v>0</v>
      </c>
      <c r="AO18" s="228">
        <v>124.27</v>
      </c>
      <c r="AP18" s="228">
        <v>124.67</v>
      </c>
      <c r="AQ18" s="228">
        <v>0</v>
      </c>
      <c r="AR18" s="230">
        <v>12610000</v>
      </c>
      <c r="AS18" s="230">
        <v>16245000</v>
      </c>
      <c r="AT18" s="230">
        <v>-3635000</v>
      </c>
      <c r="AU18" s="229">
        <v>-0.2238</v>
      </c>
      <c r="AV18" s="230">
        <v>9580000</v>
      </c>
      <c r="AW18" s="230">
        <v>13670000</v>
      </c>
      <c r="AX18" s="230">
        <v>-4090000</v>
      </c>
      <c r="AY18" s="229">
        <v>-0.29920000000000002</v>
      </c>
      <c r="AZ18" s="230">
        <v>2880000</v>
      </c>
      <c r="BA18" s="230">
        <v>2385000</v>
      </c>
      <c r="BB18" s="230">
        <v>495000</v>
      </c>
      <c r="BC18" s="229">
        <v>0.20749999999999999</v>
      </c>
      <c r="BD18" s="228">
        <v>0</v>
      </c>
      <c r="BE18" s="228">
        <v>0</v>
      </c>
      <c r="BF18" s="228">
        <v>0</v>
      </c>
      <c r="BG18" s="229">
        <v>0</v>
      </c>
      <c r="BH18" s="230">
        <v>13115000</v>
      </c>
      <c r="BI18" s="230">
        <v>27845000</v>
      </c>
      <c r="BJ18" s="230">
        <v>-14730000</v>
      </c>
      <c r="BK18" s="229">
        <v>-0.52900000000000003</v>
      </c>
      <c r="BL18" s="230">
        <v>8790000</v>
      </c>
      <c r="BM18" s="230">
        <v>16425000</v>
      </c>
      <c r="BN18" s="230">
        <v>-7635000</v>
      </c>
      <c r="BO18" s="229">
        <v>-0.46479999999999999</v>
      </c>
      <c r="BP18" s="230">
        <v>34515000</v>
      </c>
      <c r="BQ18" s="230">
        <v>60515000</v>
      </c>
      <c r="BR18" s="230">
        <v>-26000000</v>
      </c>
      <c r="BS18" s="229">
        <v>-0.42959999999999998</v>
      </c>
      <c r="BT18" s="230">
        <v>9385131</v>
      </c>
      <c r="BU18" s="230">
        <v>8657180</v>
      </c>
      <c r="BV18" s="230">
        <v>727951</v>
      </c>
      <c r="BW18" s="229">
        <v>8.4099999999999994E-2</v>
      </c>
      <c r="BX18" s="230">
        <v>86900000</v>
      </c>
      <c r="BY18" s="230">
        <v>86825000</v>
      </c>
      <c r="BZ18" s="230">
        <v>75000</v>
      </c>
      <c r="CA18" s="229">
        <v>8.9999999999999998E-4</v>
      </c>
      <c r="CB18" s="230">
        <v>82050000</v>
      </c>
      <c r="CC18" s="230">
        <v>82510000</v>
      </c>
      <c r="CD18" s="230">
        <v>-460000</v>
      </c>
      <c r="CE18" s="229">
        <v>-5.5999999999999999E-3</v>
      </c>
      <c r="CF18" s="230">
        <v>4445000</v>
      </c>
      <c r="CG18" s="230">
        <v>3915000</v>
      </c>
      <c r="CH18" s="230">
        <v>530000</v>
      </c>
      <c r="CI18" s="229">
        <v>0.13539999999999999</v>
      </c>
      <c r="CJ18" s="228">
        <v>0</v>
      </c>
      <c r="CK18" s="228">
        <v>0</v>
      </c>
      <c r="CL18" s="228">
        <v>0</v>
      </c>
      <c r="CM18" s="229">
        <v>0</v>
      </c>
      <c r="CN18" s="230">
        <v>33525000</v>
      </c>
      <c r="CO18" s="230">
        <v>33210000</v>
      </c>
      <c r="CP18" s="230">
        <v>315000</v>
      </c>
      <c r="CQ18" s="229">
        <v>9.4999999999999998E-3</v>
      </c>
      <c r="CR18" s="230">
        <v>22970000</v>
      </c>
      <c r="CS18" s="230">
        <v>23080000</v>
      </c>
      <c r="CT18" s="230">
        <v>-110000</v>
      </c>
      <c r="CU18" s="229">
        <v>-4.7999999999999996E-3</v>
      </c>
      <c r="CV18" s="230">
        <v>143395000</v>
      </c>
      <c r="CW18" s="230">
        <v>143115000</v>
      </c>
      <c r="CX18" s="230">
        <v>280000</v>
      </c>
      <c r="CY18" s="229">
        <v>2E-3</v>
      </c>
      <c r="CZ18" s="228">
        <v>25.02</v>
      </c>
      <c r="DA18" s="228">
        <v>26.31</v>
      </c>
      <c r="DB18" s="228">
        <v>-1.29</v>
      </c>
      <c r="DC18" s="228">
        <v>-1.29</v>
      </c>
      <c r="DD18" s="228">
        <v>35.42</v>
      </c>
      <c r="DE18" s="228">
        <v>35.5</v>
      </c>
      <c r="DF18" s="228">
        <v>-10.4</v>
      </c>
      <c r="DG18" s="228">
        <v>-0.08</v>
      </c>
      <c r="DH18" s="228">
        <v>25.67</v>
      </c>
      <c r="DI18" s="228">
        <v>26.25</v>
      </c>
      <c r="DJ18" s="228">
        <v>-0.57999999999999996</v>
      </c>
      <c r="DK18" s="228">
        <v>-0.57999999999999996</v>
      </c>
      <c r="DL18" s="228">
        <v>24.06</v>
      </c>
      <c r="DM18" s="228">
        <v>26.41</v>
      </c>
      <c r="DN18" s="228">
        <v>-2.35</v>
      </c>
      <c r="DO18" s="228">
        <v>-2.35</v>
      </c>
      <c r="DP18" s="228">
        <v>0.69</v>
      </c>
      <c r="DQ18" s="228">
        <v>0.69</v>
      </c>
      <c r="DR18" s="228">
        <v>0</v>
      </c>
      <c r="DS18" s="229">
        <v>0</v>
      </c>
      <c r="DT18" s="228">
        <v>130</v>
      </c>
      <c r="DU18" s="228">
        <v>125</v>
      </c>
      <c r="DV18" s="228">
        <v>0.67</v>
      </c>
      <c r="DW18" s="228">
        <v>0.59</v>
      </c>
      <c r="DX18" s="228">
        <v>0.08</v>
      </c>
      <c r="DY18" s="229">
        <v>0.1356</v>
      </c>
      <c r="DZ18" s="229">
        <v>5.1200000000000002E-2</v>
      </c>
      <c r="EA18" s="230">
        <v>3915000</v>
      </c>
      <c r="EB18" s="229">
        <v>4.4000000000000003E-3</v>
      </c>
      <c r="EC18" s="229">
        <v>5.1200000000000002E-2</v>
      </c>
      <c r="ED18" s="228">
        <v>0.4</v>
      </c>
      <c r="EE18" s="229">
        <v>3.2000000000000002E-3</v>
      </c>
      <c r="EF18" s="230">
        <v>6489029</v>
      </c>
      <c r="EG18" s="230">
        <v>5020404</v>
      </c>
      <c r="EH18" s="229">
        <v>0.29249999999999998</v>
      </c>
      <c r="EI18" s="229">
        <v>0.69140000000000001</v>
      </c>
      <c r="EJ18" s="231">
        <v>16844.349999999999</v>
      </c>
      <c r="EK18" s="231">
        <v>10929.15</v>
      </c>
      <c r="EL18" s="231">
        <v>15682.85</v>
      </c>
      <c r="EM18" s="228">
        <v>0</v>
      </c>
      <c r="EN18" s="231">
        <v>43456.35</v>
      </c>
      <c r="EO18" s="231">
        <v>76359.850000000006</v>
      </c>
      <c r="EP18" s="231">
        <v>-32903.5</v>
      </c>
      <c r="EQ18" s="229">
        <v>-0.43090000000000001</v>
      </c>
      <c r="ER18" s="231">
        <v>43085</v>
      </c>
      <c r="ES18" s="231">
        <v>27746</v>
      </c>
      <c r="ET18" s="231">
        <v>107829</v>
      </c>
      <c r="EU18" s="231">
        <v>564878806</v>
      </c>
      <c r="EV18" s="231">
        <v>178660</v>
      </c>
      <c r="EW18" s="231">
        <v>179037</v>
      </c>
      <c r="EX18" s="228">
        <v>-377</v>
      </c>
      <c r="EY18" s="229">
        <v>-2.0999999999999999E-3</v>
      </c>
      <c r="EZ18" s="229">
        <v>0.25390000000000001</v>
      </c>
      <c r="FA18" s="227" t="s">
        <v>567</v>
      </c>
      <c r="FB18" s="161">
        <f t="shared" si="0"/>
        <v>4850000</v>
      </c>
    </row>
    <row r="19" spans="1:158" ht="17.25" thickBot="1" x14ac:dyDescent="0.3">
      <c r="A19" s="226">
        <v>45860</v>
      </c>
      <c r="B19" s="227" t="s">
        <v>168</v>
      </c>
      <c r="C19" s="227" t="s">
        <v>169</v>
      </c>
      <c r="D19" s="228">
        <v>250</v>
      </c>
      <c r="E19" s="231">
        <v>2365.8000000000002</v>
      </c>
      <c r="F19" s="231">
        <v>2377</v>
      </c>
      <c r="G19" s="228">
        <v>-11.2</v>
      </c>
      <c r="H19" s="229">
        <v>-4.7000000000000002E-3</v>
      </c>
      <c r="I19" s="231">
        <v>2365.1999999999998</v>
      </c>
      <c r="J19" s="231">
        <v>2375.4</v>
      </c>
      <c r="K19" s="228">
        <v>-10.199999999999999</v>
      </c>
      <c r="L19" s="229">
        <v>-4.3E-3</v>
      </c>
      <c r="M19" s="231">
        <v>2365.8000000000002</v>
      </c>
      <c r="N19" s="231">
        <v>2377</v>
      </c>
      <c r="O19" s="228">
        <v>-11.2</v>
      </c>
      <c r="P19" s="229">
        <v>-4.7000000000000002E-3</v>
      </c>
      <c r="Q19" s="231">
        <v>2378.5</v>
      </c>
      <c r="R19" s="231">
        <v>2389.6</v>
      </c>
      <c r="S19" s="228">
        <v>-11.1</v>
      </c>
      <c r="T19" s="229">
        <v>-4.5999999999999999E-3</v>
      </c>
      <c r="U19" s="228">
        <v>0</v>
      </c>
      <c r="V19" s="228">
        <v>0</v>
      </c>
      <c r="W19" s="228">
        <v>0</v>
      </c>
      <c r="X19" s="229">
        <v>0</v>
      </c>
      <c r="Y19" s="228">
        <v>0.6</v>
      </c>
      <c r="Z19" s="228">
        <v>1.6</v>
      </c>
      <c r="AA19" s="228">
        <v>-1</v>
      </c>
      <c r="AB19" s="229">
        <v>2.9999999999999997E-4</v>
      </c>
      <c r="AC19" s="228">
        <v>0.6</v>
      </c>
      <c r="AD19" s="228">
        <v>1.6</v>
      </c>
      <c r="AE19" s="228">
        <v>-1</v>
      </c>
      <c r="AF19" s="229">
        <v>2.9999999999999997E-4</v>
      </c>
      <c r="AG19" s="228">
        <v>13.3</v>
      </c>
      <c r="AH19" s="228">
        <v>14.2</v>
      </c>
      <c r="AI19" s="228">
        <v>-0.9</v>
      </c>
      <c r="AJ19" s="229">
        <v>5.5999999999999999E-3</v>
      </c>
      <c r="AK19" s="228">
        <v>0</v>
      </c>
      <c r="AL19" s="228">
        <v>0</v>
      </c>
      <c r="AM19" s="228">
        <v>0</v>
      </c>
      <c r="AN19" s="229">
        <v>0</v>
      </c>
      <c r="AO19" s="231">
        <v>2369.65</v>
      </c>
      <c r="AP19" s="231">
        <v>2381.64</v>
      </c>
      <c r="AQ19" s="228">
        <v>0</v>
      </c>
      <c r="AR19" s="230">
        <v>945500</v>
      </c>
      <c r="AS19" s="230">
        <v>1148000</v>
      </c>
      <c r="AT19" s="230">
        <v>-202500</v>
      </c>
      <c r="AU19" s="229">
        <v>-0.1764</v>
      </c>
      <c r="AV19" s="230">
        <v>777500</v>
      </c>
      <c r="AW19" s="230">
        <v>1020750</v>
      </c>
      <c r="AX19" s="230">
        <v>-243250</v>
      </c>
      <c r="AY19" s="229">
        <v>-0.23830000000000001</v>
      </c>
      <c r="AZ19" s="230">
        <v>152250</v>
      </c>
      <c r="BA19" s="230">
        <v>104750</v>
      </c>
      <c r="BB19" s="230">
        <v>47500</v>
      </c>
      <c r="BC19" s="229">
        <v>0.45350000000000001</v>
      </c>
      <c r="BD19" s="228">
        <v>0</v>
      </c>
      <c r="BE19" s="228">
        <v>0</v>
      </c>
      <c r="BF19" s="228">
        <v>0</v>
      </c>
      <c r="BG19" s="229">
        <v>0</v>
      </c>
      <c r="BH19" s="230">
        <v>4032000</v>
      </c>
      <c r="BI19" s="230">
        <v>5106750</v>
      </c>
      <c r="BJ19" s="230">
        <v>-1074750</v>
      </c>
      <c r="BK19" s="229">
        <v>-0.21049999999999999</v>
      </c>
      <c r="BL19" s="230">
        <v>1573000</v>
      </c>
      <c r="BM19" s="230">
        <v>2125000</v>
      </c>
      <c r="BN19" s="230">
        <v>-552000</v>
      </c>
      <c r="BO19" s="229">
        <v>-0.25979999999999998</v>
      </c>
      <c r="BP19" s="230">
        <v>6550500</v>
      </c>
      <c r="BQ19" s="230">
        <v>8379750</v>
      </c>
      <c r="BR19" s="230">
        <v>-1829250</v>
      </c>
      <c r="BS19" s="229">
        <v>-0.21829999999999999</v>
      </c>
      <c r="BT19" s="230">
        <v>440293</v>
      </c>
      <c r="BU19" s="230">
        <v>402690</v>
      </c>
      <c r="BV19" s="230">
        <v>37603</v>
      </c>
      <c r="BW19" s="229">
        <v>9.3399999999999997E-2</v>
      </c>
      <c r="BX19" s="230">
        <v>15336750</v>
      </c>
      <c r="BY19" s="230">
        <v>15241750</v>
      </c>
      <c r="BZ19" s="230">
        <v>95000</v>
      </c>
      <c r="CA19" s="229">
        <v>6.1999999999999998E-3</v>
      </c>
      <c r="CB19" s="230">
        <v>14142000</v>
      </c>
      <c r="CC19" s="230">
        <v>14159000</v>
      </c>
      <c r="CD19" s="230">
        <v>-17000</v>
      </c>
      <c r="CE19" s="229">
        <v>-1.1999999999999999E-3</v>
      </c>
      <c r="CF19" s="230">
        <v>1065750</v>
      </c>
      <c r="CG19" s="230">
        <v>960750</v>
      </c>
      <c r="CH19" s="230">
        <v>105000</v>
      </c>
      <c r="CI19" s="229">
        <v>0.10929999999999999</v>
      </c>
      <c r="CJ19" s="228">
        <v>0</v>
      </c>
      <c r="CK19" s="228">
        <v>0</v>
      </c>
      <c r="CL19" s="228">
        <v>0</v>
      </c>
      <c r="CM19" s="229">
        <v>0</v>
      </c>
      <c r="CN19" s="230">
        <v>9227250</v>
      </c>
      <c r="CO19" s="230">
        <v>9368500</v>
      </c>
      <c r="CP19" s="230">
        <v>-141250</v>
      </c>
      <c r="CQ19" s="229">
        <v>-1.5100000000000001E-2</v>
      </c>
      <c r="CR19" s="230">
        <v>4494000</v>
      </c>
      <c r="CS19" s="230">
        <v>4493250</v>
      </c>
      <c r="CT19" s="228">
        <v>750</v>
      </c>
      <c r="CU19" s="229">
        <v>2.0000000000000001E-4</v>
      </c>
      <c r="CV19" s="230">
        <v>29058000</v>
      </c>
      <c r="CW19" s="230">
        <v>29103500</v>
      </c>
      <c r="CX19" s="230">
        <v>-45500</v>
      </c>
      <c r="CY19" s="229">
        <v>-1.6000000000000001E-3</v>
      </c>
      <c r="CZ19" s="228">
        <v>24.83</v>
      </c>
      <c r="DA19" s="228">
        <v>24.37</v>
      </c>
      <c r="DB19" s="228">
        <v>0.46</v>
      </c>
      <c r="DC19" s="228">
        <v>0.46</v>
      </c>
      <c r="DD19" s="228">
        <v>24.35</v>
      </c>
      <c r="DE19" s="228">
        <v>24.4</v>
      </c>
      <c r="DF19" s="228">
        <v>0.48</v>
      </c>
      <c r="DG19" s="228">
        <v>-0.05</v>
      </c>
      <c r="DH19" s="228">
        <v>25.32</v>
      </c>
      <c r="DI19" s="228">
        <v>24.84</v>
      </c>
      <c r="DJ19" s="228">
        <v>0.48</v>
      </c>
      <c r="DK19" s="228">
        <v>0.48</v>
      </c>
      <c r="DL19" s="228">
        <v>23.57</v>
      </c>
      <c r="DM19" s="228">
        <v>23.23</v>
      </c>
      <c r="DN19" s="228">
        <v>0.34</v>
      </c>
      <c r="DO19" s="228">
        <v>0.34</v>
      </c>
      <c r="DP19" s="228">
        <v>0.49</v>
      </c>
      <c r="DQ19" s="228">
        <v>0.48</v>
      </c>
      <c r="DR19" s="228">
        <v>0.01</v>
      </c>
      <c r="DS19" s="229">
        <v>2.0799999999999999E-2</v>
      </c>
      <c r="DT19" s="231">
        <v>2500</v>
      </c>
      <c r="DU19" s="231">
        <v>2300</v>
      </c>
      <c r="DV19" s="228">
        <v>0.39</v>
      </c>
      <c r="DW19" s="228">
        <v>0.42</v>
      </c>
      <c r="DX19" s="228">
        <v>-0.03</v>
      </c>
      <c r="DY19" s="229">
        <v>-7.1400000000000005E-2</v>
      </c>
      <c r="DZ19" s="229">
        <v>6.9500000000000006E-2</v>
      </c>
      <c r="EA19" s="230">
        <v>960750</v>
      </c>
      <c r="EB19" s="229">
        <v>5.4000000000000003E-3</v>
      </c>
      <c r="EC19" s="229">
        <v>6.9500000000000006E-2</v>
      </c>
      <c r="ED19" s="228">
        <v>11.99</v>
      </c>
      <c r="EE19" s="229">
        <v>5.1000000000000004E-3</v>
      </c>
      <c r="EF19" s="230">
        <v>276321</v>
      </c>
      <c r="EG19" s="230">
        <v>220078</v>
      </c>
      <c r="EH19" s="229">
        <v>0.25559999999999999</v>
      </c>
      <c r="EI19" s="229">
        <v>0.62760000000000005</v>
      </c>
      <c r="EJ19" s="231">
        <v>100480.73</v>
      </c>
      <c r="EK19" s="231">
        <v>37053.08</v>
      </c>
      <c r="EL19" s="231">
        <v>22427.59</v>
      </c>
      <c r="EM19" s="228">
        <v>0</v>
      </c>
      <c r="EN19" s="231">
        <v>159961.4</v>
      </c>
      <c r="EO19" s="231">
        <v>204845.88</v>
      </c>
      <c r="EP19" s="231">
        <v>-44884.480000000003</v>
      </c>
      <c r="EQ19" s="229">
        <v>-0.21909999999999999</v>
      </c>
      <c r="ER19" s="231">
        <v>230767</v>
      </c>
      <c r="ES19" s="231">
        <v>104417</v>
      </c>
      <c r="ET19" s="231">
        <v>363005</v>
      </c>
      <c r="EU19" s="231">
        <v>90791585</v>
      </c>
      <c r="EV19" s="231">
        <v>698189</v>
      </c>
      <c r="EW19" s="231">
        <v>701782</v>
      </c>
      <c r="EX19" s="231">
        <v>-3593</v>
      </c>
      <c r="EY19" s="229">
        <v>-5.1000000000000004E-3</v>
      </c>
      <c r="EZ19" s="229">
        <v>0.3201</v>
      </c>
      <c r="FA19" s="227" t="s">
        <v>567</v>
      </c>
      <c r="FB19" s="161">
        <f t="shared" si="0"/>
        <v>1194750</v>
      </c>
    </row>
    <row r="20" spans="1:158" ht="17.25" thickBot="1" x14ac:dyDescent="0.3">
      <c r="A20" s="226">
        <v>45860</v>
      </c>
      <c r="B20" s="227" t="s">
        <v>184</v>
      </c>
      <c r="C20" s="227" t="s">
        <v>503</v>
      </c>
      <c r="D20" s="228">
        <v>425</v>
      </c>
      <c r="E20" s="231">
        <v>1473.6</v>
      </c>
      <c r="F20" s="231">
        <v>1504.4</v>
      </c>
      <c r="G20" s="228">
        <v>-30.8</v>
      </c>
      <c r="H20" s="229">
        <v>-2.0500000000000001E-2</v>
      </c>
      <c r="I20" s="231">
        <v>1475</v>
      </c>
      <c r="J20" s="231">
        <v>1501</v>
      </c>
      <c r="K20" s="228">
        <v>-26</v>
      </c>
      <c r="L20" s="229">
        <v>-1.7299999999999999E-2</v>
      </c>
      <c r="M20" s="231">
        <v>1473.6</v>
      </c>
      <c r="N20" s="231">
        <v>1504.4</v>
      </c>
      <c r="O20" s="228">
        <v>-30.8</v>
      </c>
      <c r="P20" s="229">
        <v>-2.0500000000000001E-2</v>
      </c>
      <c r="Q20" s="231">
        <v>1469.8</v>
      </c>
      <c r="R20" s="231">
        <v>1501.9</v>
      </c>
      <c r="S20" s="228">
        <v>-32.1</v>
      </c>
      <c r="T20" s="229">
        <v>-2.1399999999999999E-2</v>
      </c>
      <c r="U20" s="228">
        <v>0</v>
      </c>
      <c r="V20" s="228">
        <v>0</v>
      </c>
      <c r="W20" s="228">
        <v>0</v>
      </c>
      <c r="X20" s="229">
        <v>0</v>
      </c>
      <c r="Y20" s="228">
        <v>-1.4</v>
      </c>
      <c r="Z20" s="228">
        <v>3.4</v>
      </c>
      <c r="AA20" s="228">
        <v>-4.8</v>
      </c>
      <c r="AB20" s="229">
        <v>-8.9999999999999998E-4</v>
      </c>
      <c r="AC20" s="228">
        <v>-1.4</v>
      </c>
      <c r="AD20" s="228">
        <v>3.4</v>
      </c>
      <c r="AE20" s="228">
        <v>-4.8</v>
      </c>
      <c r="AF20" s="229">
        <v>-8.9999999999999998E-4</v>
      </c>
      <c r="AG20" s="228">
        <v>-5.2</v>
      </c>
      <c r="AH20" s="228">
        <v>0.9</v>
      </c>
      <c r="AI20" s="228">
        <v>-6.1</v>
      </c>
      <c r="AJ20" s="229">
        <v>-3.5000000000000001E-3</v>
      </c>
      <c r="AK20" s="228">
        <v>0</v>
      </c>
      <c r="AL20" s="228">
        <v>0</v>
      </c>
      <c r="AM20" s="228">
        <v>0</v>
      </c>
      <c r="AN20" s="229">
        <v>0</v>
      </c>
      <c r="AO20" s="231">
        <v>1495</v>
      </c>
      <c r="AP20" s="231">
        <v>1488.14</v>
      </c>
      <c r="AQ20" s="228">
        <v>0</v>
      </c>
      <c r="AR20" s="230">
        <v>1533825</v>
      </c>
      <c r="AS20" s="230">
        <v>728450</v>
      </c>
      <c r="AT20" s="230">
        <v>805375</v>
      </c>
      <c r="AU20" s="229">
        <v>1.1055999999999999</v>
      </c>
      <c r="AV20" s="230">
        <v>1071000</v>
      </c>
      <c r="AW20" s="230">
        <v>555900</v>
      </c>
      <c r="AX20" s="230">
        <v>515100</v>
      </c>
      <c r="AY20" s="229">
        <v>0.92659999999999998</v>
      </c>
      <c r="AZ20" s="230">
        <v>421600</v>
      </c>
      <c r="BA20" s="230">
        <v>162350</v>
      </c>
      <c r="BB20" s="230">
        <v>259250</v>
      </c>
      <c r="BC20" s="229">
        <v>1.5969</v>
      </c>
      <c r="BD20" s="228">
        <v>0</v>
      </c>
      <c r="BE20" s="228">
        <v>0</v>
      </c>
      <c r="BF20" s="228">
        <v>0</v>
      </c>
      <c r="BG20" s="229">
        <v>0</v>
      </c>
      <c r="BH20" s="230">
        <v>4034525</v>
      </c>
      <c r="BI20" s="230">
        <v>2422925</v>
      </c>
      <c r="BJ20" s="230">
        <v>1611600</v>
      </c>
      <c r="BK20" s="229">
        <v>0.66510000000000002</v>
      </c>
      <c r="BL20" s="230">
        <v>1385925</v>
      </c>
      <c r="BM20" s="230">
        <v>932875</v>
      </c>
      <c r="BN20" s="230">
        <v>453050</v>
      </c>
      <c r="BO20" s="229">
        <v>0.48559999999999998</v>
      </c>
      <c r="BP20" s="230">
        <v>6954275</v>
      </c>
      <c r="BQ20" s="230">
        <v>4084250</v>
      </c>
      <c r="BR20" s="230">
        <v>2870025</v>
      </c>
      <c r="BS20" s="229">
        <v>0.70269999999999999</v>
      </c>
      <c r="BT20" s="230">
        <v>350095</v>
      </c>
      <c r="BU20" s="230">
        <v>449660</v>
      </c>
      <c r="BV20" s="230">
        <v>-99565</v>
      </c>
      <c r="BW20" s="229">
        <v>-0.22140000000000001</v>
      </c>
      <c r="BX20" s="230">
        <v>6202875</v>
      </c>
      <c r="BY20" s="230">
        <v>5980175</v>
      </c>
      <c r="BZ20" s="230">
        <v>222700</v>
      </c>
      <c r="CA20" s="229">
        <v>3.7199999999999997E-2</v>
      </c>
      <c r="CB20" s="230">
        <v>5125925</v>
      </c>
      <c r="CC20" s="230">
        <v>5091075</v>
      </c>
      <c r="CD20" s="230">
        <v>34850</v>
      </c>
      <c r="CE20" s="229">
        <v>6.7999999999999996E-3</v>
      </c>
      <c r="CF20" s="230">
        <v>991100</v>
      </c>
      <c r="CG20" s="230">
        <v>817700</v>
      </c>
      <c r="CH20" s="230">
        <v>173400</v>
      </c>
      <c r="CI20" s="229">
        <v>0.21210000000000001</v>
      </c>
      <c r="CJ20" s="228">
        <v>0</v>
      </c>
      <c r="CK20" s="228">
        <v>0</v>
      </c>
      <c r="CL20" s="228">
        <v>0</v>
      </c>
      <c r="CM20" s="229">
        <v>0</v>
      </c>
      <c r="CN20" s="230">
        <v>3462475</v>
      </c>
      <c r="CO20" s="230">
        <v>3504550</v>
      </c>
      <c r="CP20" s="230">
        <v>-42075</v>
      </c>
      <c r="CQ20" s="229">
        <v>-1.2E-2</v>
      </c>
      <c r="CR20" s="230">
        <v>1424600</v>
      </c>
      <c r="CS20" s="230">
        <v>1329400</v>
      </c>
      <c r="CT20" s="230">
        <v>95200</v>
      </c>
      <c r="CU20" s="229">
        <v>7.1599999999999997E-2</v>
      </c>
      <c r="CV20" s="230">
        <v>11089950</v>
      </c>
      <c r="CW20" s="230">
        <v>10814125</v>
      </c>
      <c r="CX20" s="230">
        <v>275825</v>
      </c>
      <c r="CY20" s="229">
        <v>2.5499999999999998E-2</v>
      </c>
      <c r="CZ20" s="228">
        <v>29.25</v>
      </c>
      <c r="DA20" s="228">
        <v>28.76</v>
      </c>
      <c r="DB20" s="228">
        <v>0.49</v>
      </c>
      <c r="DC20" s="228">
        <v>0.49</v>
      </c>
      <c r="DD20" s="228">
        <v>33.200000000000003</v>
      </c>
      <c r="DE20" s="228">
        <v>33.159999999999997</v>
      </c>
      <c r="DF20" s="228">
        <v>-3.95</v>
      </c>
      <c r="DG20" s="228">
        <v>0.04</v>
      </c>
      <c r="DH20" s="228">
        <v>29.79</v>
      </c>
      <c r="DI20" s="228">
        <v>28.98</v>
      </c>
      <c r="DJ20" s="228">
        <v>0.81</v>
      </c>
      <c r="DK20" s="228">
        <v>0.81</v>
      </c>
      <c r="DL20" s="228">
        <v>27.69</v>
      </c>
      <c r="DM20" s="228">
        <v>28.18</v>
      </c>
      <c r="DN20" s="228">
        <v>-0.49</v>
      </c>
      <c r="DO20" s="228">
        <v>-0.49</v>
      </c>
      <c r="DP20" s="228">
        <v>0.41</v>
      </c>
      <c r="DQ20" s="228">
        <v>0.38</v>
      </c>
      <c r="DR20" s="228">
        <v>0.03</v>
      </c>
      <c r="DS20" s="229">
        <v>7.8899999999999998E-2</v>
      </c>
      <c r="DT20" s="231">
        <v>1600</v>
      </c>
      <c r="DU20" s="231">
        <v>1500</v>
      </c>
      <c r="DV20" s="228">
        <v>0.34</v>
      </c>
      <c r="DW20" s="228">
        <v>0.39</v>
      </c>
      <c r="DX20" s="228">
        <v>-0.05</v>
      </c>
      <c r="DY20" s="229">
        <v>-0.12820000000000001</v>
      </c>
      <c r="DZ20" s="229">
        <v>0.1598</v>
      </c>
      <c r="EA20" s="230">
        <v>817700</v>
      </c>
      <c r="EB20" s="229">
        <v>-2.5999999999999999E-3</v>
      </c>
      <c r="EC20" s="229">
        <v>0.1598</v>
      </c>
      <c r="ED20" s="228">
        <v>-6.86</v>
      </c>
      <c r="EE20" s="229">
        <v>-4.5999999999999999E-3</v>
      </c>
      <c r="EF20" s="230">
        <v>130346</v>
      </c>
      <c r="EG20" s="230">
        <v>284088</v>
      </c>
      <c r="EH20" s="229">
        <v>-0.54120000000000001</v>
      </c>
      <c r="EI20" s="229">
        <v>0.37230000000000002</v>
      </c>
      <c r="EJ20" s="231">
        <v>63173.24</v>
      </c>
      <c r="EK20" s="231">
        <v>20501.63</v>
      </c>
      <c r="EL20" s="231">
        <v>22899</v>
      </c>
      <c r="EM20" s="228">
        <v>0</v>
      </c>
      <c r="EN20" s="231">
        <v>106573.87</v>
      </c>
      <c r="EO20" s="231">
        <v>63081.24</v>
      </c>
      <c r="EP20" s="231">
        <v>43492.63</v>
      </c>
      <c r="EQ20" s="229">
        <v>0.6895</v>
      </c>
      <c r="ER20" s="231">
        <v>54305</v>
      </c>
      <c r="ES20" s="231">
        <v>20747</v>
      </c>
      <c r="ET20" s="231">
        <v>91365</v>
      </c>
      <c r="EU20" s="231">
        <v>24660712</v>
      </c>
      <c r="EV20" s="231">
        <v>166418</v>
      </c>
      <c r="EW20" s="231">
        <v>164322</v>
      </c>
      <c r="EX20" s="231">
        <v>2096</v>
      </c>
      <c r="EY20" s="229">
        <v>1.2800000000000001E-2</v>
      </c>
      <c r="EZ20" s="229">
        <v>0.44969999999999999</v>
      </c>
      <c r="FA20" s="227" t="s">
        <v>567</v>
      </c>
      <c r="FB20" s="161">
        <f t="shared" si="0"/>
        <v>1076950</v>
      </c>
    </row>
    <row r="21" spans="1:158" ht="17.25" thickBot="1" x14ac:dyDescent="0.3">
      <c r="A21" s="226">
        <v>45860</v>
      </c>
      <c r="B21" s="227" t="s">
        <v>193</v>
      </c>
      <c r="C21" s="227" t="s">
        <v>590</v>
      </c>
      <c r="D21" s="228">
        <v>875</v>
      </c>
      <c r="E21" s="228">
        <v>647.54999999999995</v>
      </c>
      <c r="F21" s="228">
        <v>660.3</v>
      </c>
      <c r="G21" s="228">
        <v>-12.75</v>
      </c>
      <c r="H21" s="229">
        <v>-1.9300000000000001E-2</v>
      </c>
      <c r="I21" s="228">
        <v>646.95000000000005</v>
      </c>
      <c r="J21" s="228">
        <v>657.75</v>
      </c>
      <c r="K21" s="228">
        <v>-10.8</v>
      </c>
      <c r="L21" s="229">
        <v>-1.6400000000000001E-2</v>
      </c>
      <c r="M21" s="228">
        <v>647.54999999999995</v>
      </c>
      <c r="N21" s="228">
        <v>660.3</v>
      </c>
      <c r="O21" s="228">
        <v>-12.75</v>
      </c>
      <c r="P21" s="229">
        <v>-1.9300000000000001E-2</v>
      </c>
      <c r="Q21" s="228">
        <v>649.95000000000005</v>
      </c>
      <c r="R21" s="228">
        <v>662.25</v>
      </c>
      <c r="S21" s="228">
        <v>-12.3</v>
      </c>
      <c r="T21" s="229">
        <v>-1.8599999999999998E-2</v>
      </c>
      <c r="U21" s="228">
        <v>0</v>
      </c>
      <c r="V21" s="228">
        <v>0</v>
      </c>
      <c r="W21" s="228">
        <v>0</v>
      </c>
      <c r="X21" s="229">
        <v>0</v>
      </c>
      <c r="Y21" s="228">
        <v>0.6</v>
      </c>
      <c r="Z21" s="228">
        <v>2.5499999999999998</v>
      </c>
      <c r="AA21" s="228">
        <v>-1.95</v>
      </c>
      <c r="AB21" s="229">
        <v>8.9999999999999998E-4</v>
      </c>
      <c r="AC21" s="228">
        <v>0.6</v>
      </c>
      <c r="AD21" s="228">
        <v>2.5499999999999998</v>
      </c>
      <c r="AE21" s="228">
        <v>-1.95</v>
      </c>
      <c r="AF21" s="229">
        <v>8.9999999999999998E-4</v>
      </c>
      <c r="AG21" s="228">
        <v>3</v>
      </c>
      <c r="AH21" s="228">
        <v>4.5</v>
      </c>
      <c r="AI21" s="228">
        <v>-1.5</v>
      </c>
      <c r="AJ21" s="229">
        <v>4.5999999999999999E-3</v>
      </c>
      <c r="AK21" s="228">
        <v>0</v>
      </c>
      <c r="AL21" s="228">
        <v>0</v>
      </c>
      <c r="AM21" s="228">
        <v>0</v>
      </c>
      <c r="AN21" s="229">
        <v>0</v>
      </c>
      <c r="AO21" s="228">
        <v>652.65</v>
      </c>
      <c r="AP21" s="228">
        <v>654.89</v>
      </c>
      <c r="AQ21" s="228">
        <v>0</v>
      </c>
      <c r="AR21" s="230">
        <v>861000</v>
      </c>
      <c r="AS21" s="230">
        <v>723625</v>
      </c>
      <c r="AT21" s="230">
        <v>137375</v>
      </c>
      <c r="AU21" s="229">
        <v>0.1898</v>
      </c>
      <c r="AV21" s="230">
        <v>692125</v>
      </c>
      <c r="AW21" s="230">
        <v>621250</v>
      </c>
      <c r="AX21" s="230">
        <v>70875</v>
      </c>
      <c r="AY21" s="229">
        <v>0.11409999999999999</v>
      </c>
      <c r="AZ21" s="230">
        <v>168875</v>
      </c>
      <c r="BA21" s="230">
        <v>102375</v>
      </c>
      <c r="BB21" s="230">
        <v>66500</v>
      </c>
      <c r="BC21" s="229">
        <v>0.64959999999999996</v>
      </c>
      <c r="BD21" s="228">
        <v>0</v>
      </c>
      <c r="BE21" s="228">
        <v>0</v>
      </c>
      <c r="BF21" s="228">
        <v>0</v>
      </c>
      <c r="BG21" s="229">
        <v>0</v>
      </c>
      <c r="BH21" s="230">
        <v>1794625</v>
      </c>
      <c r="BI21" s="230">
        <v>1372000</v>
      </c>
      <c r="BJ21" s="230">
        <v>422625</v>
      </c>
      <c r="BK21" s="229">
        <v>0.308</v>
      </c>
      <c r="BL21" s="230">
        <v>467250</v>
      </c>
      <c r="BM21" s="230">
        <v>478625</v>
      </c>
      <c r="BN21" s="230">
        <v>-11375</v>
      </c>
      <c r="BO21" s="229">
        <v>-2.3800000000000002E-2</v>
      </c>
      <c r="BP21" s="230">
        <v>3122875</v>
      </c>
      <c r="BQ21" s="230">
        <v>2574250</v>
      </c>
      <c r="BR21" s="230">
        <v>548625</v>
      </c>
      <c r="BS21" s="229">
        <v>0.21310000000000001</v>
      </c>
      <c r="BT21" s="230">
        <v>473702</v>
      </c>
      <c r="BU21" s="230">
        <v>482481</v>
      </c>
      <c r="BV21" s="230">
        <v>-8779</v>
      </c>
      <c r="BW21" s="229">
        <v>-1.8200000000000001E-2</v>
      </c>
      <c r="BX21" s="230">
        <v>5462625</v>
      </c>
      <c r="BY21" s="230">
        <v>5464375</v>
      </c>
      <c r="BZ21" s="230">
        <v>-1750</v>
      </c>
      <c r="CA21" s="229">
        <v>-2.9999999999999997E-4</v>
      </c>
      <c r="CB21" s="230">
        <v>4905250</v>
      </c>
      <c r="CC21" s="230">
        <v>4976125</v>
      </c>
      <c r="CD21" s="230">
        <v>-70875</v>
      </c>
      <c r="CE21" s="229">
        <v>-1.4200000000000001E-2</v>
      </c>
      <c r="CF21" s="230">
        <v>557375</v>
      </c>
      <c r="CG21" s="230">
        <v>488250</v>
      </c>
      <c r="CH21" s="230">
        <v>69125</v>
      </c>
      <c r="CI21" s="229">
        <v>0.1416</v>
      </c>
      <c r="CJ21" s="228">
        <v>0</v>
      </c>
      <c r="CK21" s="228">
        <v>0</v>
      </c>
      <c r="CL21" s="228">
        <v>0</v>
      </c>
      <c r="CM21" s="229">
        <v>0</v>
      </c>
      <c r="CN21" s="230">
        <v>4242000</v>
      </c>
      <c r="CO21" s="230">
        <v>4165875</v>
      </c>
      <c r="CP21" s="230">
        <v>76125</v>
      </c>
      <c r="CQ21" s="229">
        <v>1.83E-2</v>
      </c>
      <c r="CR21" s="230">
        <v>1913625</v>
      </c>
      <c r="CS21" s="230">
        <v>1915375</v>
      </c>
      <c r="CT21" s="230">
        <v>-1750</v>
      </c>
      <c r="CU21" s="229">
        <v>-8.9999999999999998E-4</v>
      </c>
      <c r="CV21" s="230">
        <v>11618250</v>
      </c>
      <c r="CW21" s="230">
        <v>11545625</v>
      </c>
      <c r="CX21" s="230">
        <v>72625</v>
      </c>
      <c r="CY21" s="229">
        <v>6.3E-3</v>
      </c>
      <c r="CZ21" s="228">
        <v>42.96</v>
      </c>
      <c r="DA21" s="228">
        <v>39.58</v>
      </c>
      <c r="DB21" s="228">
        <v>3.38</v>
      </c>
      <c r="DC21" s="228">
        <v>3.38</v>
      </c>
      <c r="DD21" s="228">
        <v>56.52</v>
      </c>
      <c r="DE21" s="228">
        <v>56.6</v>
      </c>
      <c r="DF21" s="228">
        <v>-13.56</v>
      </c>
      <c r="DG21" s="228">
        <v>-0.08</v>
      </c>
      <c r="DH21" s="228">
        <v>43.37</v>
      </c>
      <c r="DI21" s="228">
        <v>39.86</v>
      </c>
      <c r="DJ21" s="228">
        <v>3.51</v>
      </c>
      <c r="DK21" s="228">
        <v>3.51</v>
      </c>
      <c r="DL21" s="228">
        <v>41.41</v>
      </c>
      <c r="DM21" s="228">
        <v>38.770000000000003</v>
      </c>
      <c r="DN21" s="228">
        <v>2.64</v>
      </c>
      <c r="DO21" s="228">
        <v>2.64</v>
      </c>
      <c r="DP21" s="228">
        <v>0.45</v>
      </c>
      <c r="DQ21" s="228">
        <v>0.46</v>
      </c>
      <c r="DR21" s="228">
        <v>-0.01</v>
      </c>
      <c r="DS21" s="229">
        <v>-2.1700000000000001E-2</v>
      </c>
      <c r="DT21" s="228">
        <v>700</v>
      </c>
      <c r="DU21" s="228">
        <v>680</v>
      </c>
      <c r="DV21" s="228">
        <v>0.26</v>
      </c>
      <c r="DW21" s="228">
        <v>0.35</v>
      </c>
      <c r="DX21" s="228">
        <v>-0.09</v>
      </c>
      <c r="DY21" s="229">
        <v>-0.2571</v>
      </c>
      <c r="DZ21" s="229">
        <v>0.10199999999999999</v>
      </c>
      <c r="EA21" s="230">
        <v>488250</v>
      </c>
      <c r="EB21" s="229">
        <v>3.7000000000000002E-3</v>
      </c>
      <c r="EC21" s="229">
        <v>0.10199999999999999</v>
      </c>
      <c r="ED21" s="228">
        <v>2.2400000000000002</v>
      </c>
      <c r="EE21" s="229">
        <v>3.3999999999999998E-3</v>
      </c>
      <c r="EF21" s="230">
        <v>189973</v>
      </c>
      <c r="EG21" s="230">
        <v>177405</v>
      </c>
      <c r="EH21" s="229">
        <v>7.0800000000000002E-2</v>
      </c>
      <c r="EI21" s="229">
        <v>0.40100000000000002</v>
      </c>
      <c r="EJ21" s="231">
        <v>12411.43</v>
      </c>
      <c r="EK21" s="231">
        <v>3126.98</v>
      </c>
      <c r="EL21" s="231">
        <v>5623.07</v>
      </c>
      <c r="EM21" s="228">
        <v>0</v>
      </c>
      <c r="EN21" s="231">
        <v>21161.48</v>
      </c>
      <c r="EO21" s="231">
        <v>17502.099999999999</v>
      </c>
      <c r="EP21" s="231">
        <v>3659.38</v>
      </c>
      <c r="EQ21" s="229">
        <v>0.20910000000000001</v>
      </c>
      <c r="ER21" s="231">
        <v>29622</v>
      </c>
      <c r="ES21" s="231">
        <v>12504</v>
      </c>
      <c r="ET21" s="231">
        <v>35387</v>
      </c>
      <c r="EU21" s="231">
        <v>55429320</v>
      </c>
      <c r="EV21" s="231">
        <v>77512</v>
      </c>
      <c r="EW21" s="231">
        <v>77730</v>
      </c>
      <c r="EX21" s="228">
        <v>-218</v>
      </c>
      <c r="EY21" s="229">
        <v>-2.8E-3</v>
      </c>
      <c r="EZ21" s="229">
        <v>0.20960000000000001</v>
      </c>
      <c r="FA21" s="227" t="s">
        <v>568</v>
      </c>
      <c r="FB21" s="161">
        <f t="shared" si="0"/>
        <v>557375</v>
      </c>
    </row>
    <row r="22" spans="1:158" ht="17.25" thickBot="1" x14ac:dyDescent="0.3">
      <c r="A22" s="226">
        <v>45860</v>
      </c>
      <c r="B22" s="227" t="s">
        <v>172</v>
      </c>
      <c r="C22" s="227" t="s">
        <v>495</v>
      </c>
      <c r="D22" s="228">
        <v>1000</v>
      </c>
      <c r="E22" s="228">
        <v>728.2</v>
      </c>
      <c r="F22" s="228">
        <v>753.2</v>
      </c>
      <c r="G22" s="228">
        <v>-25</v>
      </c>
      <c r="H22" s="229">
        <v>-3.32E-2</v>
      </c>
      <c r="I22" s="228">
        <v>725.8</v>
      </c>
      <c r="J22" s="228">
        <v>752.9</v>
      </c>
      <c r="K22" s="228">
        <v>-27.1</v>
      </c>
      <c r="L22" s="229">
        <v>-3.5999999999999997E-2</v>
      </c>
      <c r="M22" s="228">
        <v>728.2</v>
      </c>
      <c r="N22" s="228">
        <v>753.2</v>
      </c>
      <c r="O22" s="228">
        <v>-25</v>
      </c>
      <c r="P22" s="229">
        <v>-3.32E-2</v>
      </c>
      <c r="Q22" s="228">
        <v>729</v>
      </c>
      <c r="R22" s="228">
        <v>753.8</v>
      </c>
      <c r="S22" s="228">
        <v>-24.8</v>
      </c>
      <c r="T22" s="229">
        <v>-3.2899999999999999E-2</v>
      </c>
      <c r="U22" s="228">
        <v>0</v>
      </c>
      <c r="V22" s="228">
        <v>0</v>
      </c>
      <c r="W22" s="228">
        <v>0</v>
      </c>
      <c r="X22" s="229">
        <v>0</v>
      </c>
      <c r="Y22" s="228">
        <v>2.4</v>
      </c>
      <c r="Z22" s="228">
        <v>0.3</v>
      </c>
      <c r="AA22" s="228">
        <v>2.1</v>
      </c>
      <c r="AB22" s="229">
        <v>3.3E-3</v>
      </c>
      <c r="AC22" s="228">
        <v>2.4</v>
      </c>
      <c r="AD22" s="228">
        <v>0.3</v>
      </c>
      <c r="AE22" s="228">
        <v>2.1</v>
      </c>
      <c r="AF22" s="229">
        <v>3.3E-3</v>
      </c>
      <c r="AG22" s="228">
        <v>3.2</v>
      </c>
      <c r="AH22" s="228">
        <v>0.9</v>
      </c>
      <c r="AI22" s="228">
        <v>2.2999999999999998</v>
      </c>
      <c r="AJ22" s="229">
        <v>4.4000000000000003E-3</v>
      </c>
      <c r="AK22" s="228">
        <v>0</v>
      </c>
      <c r="AL22" s="228">
        <v>0</v>
      </c>
      <c r="AM22" s="228">
        <v>0</v>
      </c>
      <c r="AN22" s="229">
        <v>0</v>
      </c>
      <c r="AO22" s="228">
        <v>735.51</v>
      </c>
      <c r="AP22" s="228">
        <v>735.82</v>
      </c>
      <c r="AQ22" s="228">
        <v>0</v>
      </c>
      <c r="AR22" s="230">
        <v>8902000</v>
      </c>
      <c r="AS22" s="230">
        <v>19014000</v>
      </c>
      <c r="AT22" s="230">
        <v>-10112000</v>
      </c>
      <c r="AU22" s="229">
        <v>-0.53180000000000005</v>
      </c>
      <c r="AV22" s="230">
        <v>6819000</v>
      </c>
      <c r="AW22" s="230">
        <v>16273000</v>
      </c>
      <c r="AX22" s="230">
        <v>-9454000</v>
      </c>
      <c r="AY22" s="229">
        <v>-0.58099999999999996</v>
      </c>
      <c r="AZ22" s="230">
        <v>1968000</v>
      </c>
      <c r="BA22" s="230">
        <v>2599000</v>
      </c>
      <c r="BB22" s="230">
        <v>-631000</v>
      </c>
      <c r="BC22" s="229">
        <v>-0.24279999999999999</v>
      </c>
      <c r="BD22" s="228">
        <v>0</v>
      </c>
      <c r="BE22" s="228">
        <v>0</v>
      </c>
      <c r="BF22" s="228">
        <v>0</v>
      </c>
      <c r="BG22" s="229">
        <v>0</v>
      </c>
      <c r="BH22" s="230">
        <v>24052000</v>
      </c>
      <c r="BI22" s="230">
        <v>50633000</v>
      </c>
      <c r="BJ22" s="230">
        <v>-26581000</v>
      </c>
      <c r="BK22" s="229">
        <v>-0.52500000000000002</v>
      </c>
      <c r="BL22" s="230">
        <v>14610000</v>
      </c>
      <c r="BM22" s="230">
        <v>32042000</v>
      </c>
      <c r="BN22" s="230">
        <v>-17432000</v>
      </c>
      <c r="BO22" s="229">
        <v>-0.54400000000000004</v>
      </c>
      <c r="BP22" s="230">
        <v>47564000</v>
      </c>
      <c r="BQ22" s="230">
        <v>101689000</v>
      </c>
      <c r="BR22" s="230">
        <v>-54125000</v>
      </c>
      <c r="BS22" s="229">
        <v>-0.5323</v>
      </c>
      <c r="BT22" s="230">
        <v>4957698</v>
      </c>
      <c r="BU22" s="230">
        <v>11890097</v>
      </c>
      <c r="BV22" s="230">
        <v>-6932399</v>
      </c>
      <c r="BW22" s="229">
        <v>-0.58299999999999996</v>
      </c>
      <c r="BX22" s="230">
        <v>18632000</v>
      </c>
      <c r="BY22" s="230">
        <v>17212000</v>
      </c>
      <c r="BZ22" s="230">
        <v>1420000</v>
      </c>
      <c r="CA22" s="229">
        <v>8.2500000000000004E-2</v>
      </c>
      <c r="CB22" s="230">
        <v>15270000</v>
      </c>
      <c r="CC22" s="230">
        <v>14480000</v>
      </c>
      <c r="CD22" s="230">
        <v>790000</v>
      </c>
      <c r="CE22" s="229">
        <v>5.4600000000000003E-2</v>
      </c>
      <c r="CF22" s="230">
        <v>3126000</v>
      </c>
      <c r="CG22" s="230">
        <v>2543000</v>
      </c>
      <c r="CH22" s="230">
        <v>583000</v>
      </c>
      <c r="CI22" s="229">
        <v>0.2293</v>
      </c>
      <c r="CJ22" s="228">
        <v>0</v>
      </c>
      <c r="CK22" s="228">
        <v>0</v>
      </c>
      <c r="CL22" s="228">
        <v>0</v>
      </c>
      <c r="CM22" s="229">
        <v>0</v>
      </c>
      <c r="CN22" s="230">
        <v>13363000</v>
      </c>
      <c r="CO22" s="230">
        <v>10283000</v>
      </c>
      <c r="CP22" s="230">
        <v>3080000</v>
      </c>
      <c r="CQ22" s="229">
        <v>0.29949999999999999</v>
      </c>
      <c r="CR22" s="230">
        <v>6033000</v>
      </c>
      <c r="CS22" s="230">
        <v>6181000</v>
      </c>
      <c r="CT22" s="230">
        <v>-148000</v>
      </c>
      <c r="CU22" s="229">
        <v>-2.3900000000000001E-2</v>
      </c>
      <c r="CV22" s="230">
        <v>38028000</v>
      </c>
      <c r="CW22" s="230">
        <v>33676000</v>
      </c>
      <c r="CX22" s="230">
        <v>4352000</v>
      </c>
      <c r="CY22" s="229">
        <v>0.12920000000000001</v>
      </c>
      <c r="CZ22" s="228">
        <v>30.07</v>
      </c>
      <c r="DA22" s="228">
        <v>28.71</v>
      </c>
      <c r="DB22" s="228">
        <v>1.36</v>
      </c>
      <c r="DC22" s="228">
        <v>1.36</v>
      </c>
      <c r="DD22" s="228">
        <v>38.85</v>
      </c>
      <c r="DE22" s="228">
        <v>38.630000000000003</v>
      </c>
      <c r="DF22" s="228">
        <v>-8.7799999999999994</v>
      </c>
      <c r="DG22" s="228">
        <v>0.22</v>
      </c>
      <c r="DH22" s="228">
        <v>31.5</v>
      </c>
      <c r="DI22" s="228">
        <v>29.34</v>
      </c>
      <c r="DJ22" s="228">
        <v>2.16</v>
      </c>
      <c r="DK22" s="228">
        <v>2.16</v>
      </c>
      <c r="DL22" s="228">
        <v>27.7</v>
      </c>
      <c r="DM22" s="228">
        <v>27.71</v>
      </c>
      <c r="DN22" s="228">
        <v>-0.01</v>
      </c>
      <c r="DO22" s="228">
        <v>-0.01</v>
      </c>
      <c r="DP22" s="228">
        <v>0.45</v>
      </c>
      <c r="DQ22" s="228">
        <v>0.6</v>
      </c>
      <c r="DR22" s="228">
        <v>-0.15</v>
      </c>
      <c r="DS22" s="229">
        <v>-0.25</v>
      </c>
      <c r="DT22" s="228">
        <v>800</v>
      </c>
      <c r="DU22" s="228">
        <v>800</v>
      </c>
      <c r="DV22" s="228">
        <v>0.61</v>
      </c>
      <c r="DW22" s="228">
        <v>0.63</v>
      </c>
      <c r="DX22" s="228">
        <v>-0.02</v>
      </c>
      <c r="DY22" s="229">
        <v>-3.1699999999999999E-2</v>
      </c>
      <c r="DZ22" s="229">
        <v>0.1678</v>
      </c>
      <c r="EA22" s="230">
        <v>2543000</v>
      </c>
      <c r="EB22" s="229">
        <v>1.1000000000000001E-3</v>
      </c>
      <c r="EC22" s="229">
        <v>0.1678</v>
      </c>
      <c r="ED22" s="228">
        <v>0.31</v>
      </c>
      <c r="EE22" s="229">
        <v>4.0000000000000002E-4</v>
      </c>
      <c r="EF22" s="230">
        <v>2473457</v>
      </c>
      <c r="EG22" s="230">
        <v>5246644</v>
      </c>
      <c r="EH22" s="229">
        <v>-0.52859999999999996</v>
      </c>
      <c r="EI22" s="229">
        <v>0.49890000000000001</v>
      </c>
      <c r="EJ22" s="231">
        <v>185832.82</v>
      </c>
      <c r="EK22" s="231">
        <v>108043.75</v>
      </c>
      <c r="EL22" s="231">
        <v>65483.11</v>
      </c>
      <c r="EM22" s="228">
        <v>0</v>
      </c>
      <c r="EN22" s="231">
        <v>359359.68</v>
      </c>
      <c r="EO22" s="231">
        <v>785540.47</v>
      </c>
      <c r="EP22" s="231">
        <v>-426180.79</v>
      </c>
      <c r="EQ22" s="229">
        <v>-0.54249999999999998</v>
      </c>
      <c r="ER22" s="231">
        <v>107068</v>
      </c>
      <c r="ES22" s="231">
        <v>45079</v>
      </c>
      <c r="ET22" s="231">
        <v>135705</v>
      </c>
      <c r="EU22" s="231">
        <v>114846423</v>
      </c>
      <c r="EV22" s="231">
        <v>287852</v>
      </c>
      <c r="EW22" s="231">
        <v>259888</v>
      </c>
      <c r="EX22" s="231">
        <v>27964</v>
      </c>
      <c r="EY22" s="229">
        <v>0.1076</v>
      </c>
      <c r="EZ22" s="229">
        <v>0.33110000000000001</v>
      </c>
      <c r="FA22" s="227" t="s">
        <v>567</v>
      </c>
      <c r="FB22" s="161">
        <f t="shared" si="0"/>
        <v>3362000</v>
      </c>
    </row>
    <row r="23" spans="1:158" ht="17.25" thickBot="1" x14ac:dyDescent="0.3">
      <c r="A23" s="226">
        <v>45860</v>
      </c>
      <c r="B23" s="227" t="s">
        <v>170</v>
      </c>
      <c r="C23" s="227" t="s">
        <v>171</v>
      </c>
      <c r="D23" s="228">
        <v>550</v>
      </c>
      <c r="E23" s="231">
        <v>1104.9000000000001</v>
      </c>
      <c r="F23" s="231">
        <v>1140.8</v>
      </c>
      <c r="G23" s="228">
        <v>-35.9</v>
      </c>
      <c r="H23" s="229">
        <v>-3.15E-2</v>
      </c>
      <c r="I23" s="231">
        <v>1101.4000000000001</v>
      </c>
      <c r="J23" s="231">
        <v>1138.5</v>
      </c>
      <c r="K23" s="228">
        <v>-37.1</v>
      </c>
      <c r="L23" s="229">
        <v>-3.2599999999999997E-2</v>
      </c>
      <c r="M23" s="231">
        <v>1104.9000000000001</v>
      </c>
      <c r="N23" s="231">
        <v>1140.8</v>
      </c>
      <c r="O23" s="228">
        <v>-35.9</v>
      </c>
      <c r="P23" s="229">
        <v>-3.15E-2</v>
      </c>
      <c r="Q23" s="231">
        <v>1110.0999999999999</v>
      </c>
      <c r="R23" s="231">
        <v>1146.5999999999999</v>
      </c>
      <c r="S23" s="228">
        <v>-36.5</v>
      </c>
      <c r="T23" s="229">
        <v>-3.1800000000000002E-2</v>
      </c>
      <c r="U23" s="228">
        <v>0</v>
      </c>
      <c r="V23" s="228">
        <v>0</v>
      </c>
      <c r="W23" s="228">
        <v>0</v>
      </c>
      <c r="X23" s="229">
        <v>0</v>
      </c>
      <c r="Y23" s="228">
        <v>3.5</v>
      </c>
      <c r="Z23" s="228">
        <v>2.2999999999999998</v>
      </c>
      <c r="AA23" s="228">
        <v>1.2</v>
      </c>
      <c r="AB23" s="229">
        <v>3.2000000000000002E-3</v>
      </c>
      <c r="AC23" s="228">
        <v>3.5</v>
      </c>
      <c r="AD23" s="228">
        <v>2.2999999999999998</v>
      </c>
      <c r="AE23" s="228">
        <v>1.2</v>
      </c>
      <c r="AF23" s="229">
        <v>3.2000000000000002E-3</v>
      </c>
      <c r="AG23" s="228">
        <v>8.6999999999999993</v>
      </c>
      <c r="AH23" s="228">
        <v>8.1</v>
      </c>
      <c r="AI23" s="228">
        <v>0.6</v>
      </c>
      <c r="AJ23" s="229">
        <v>7.9000000000000008E-3</v>
      </c>
      <c r="AK23" s="228">
        <v>0</v>
      </c>
      <c r="AL23" s="228">
        <v>0</v>
      </c>
      <c r="AM23" s="228">
        <v>0</v>
      </c>
      <c r="AN23" s="229">
        <v>0</v>
      </c>
      <c r="AO23" s="231">
        <v>1113.51</v>
      </c>
      <c r="AP23" s="231">
        <v>1120.3399999999999</v>
      </c>
      <c r="AQ23" s="228">
        <v>0</v>
      </c>
      <c r="AR23" s="230">
        <v>4027100</v>
      </c>
      <c r="AS23" s="230">
        <v>4604600</v>
      </c>
      <c r="AT23" s="230">
        <v>-577500</v>
      </c>
      <c r="AU23" s="229">
        <v>-0.12540000000000001</v>
      </c>
      <c r="AV23" s="230">
        <v>2607550</v>
      </c>
      <c r="AW23" s="230">
        <v>2692800</v>
      </c>
      <c r="AX23" s="230">
        <v>-85250</v>
      </c>
      <c r="AY23" s="229">
        <v>-3.1699999999999999E-2</v>
      </c>
      <c r="AZ23" s="230">
        <v>1378850</v>
      </c>
      <c r="BA23" s="230">
        <v>1909600</v>
      </c>
      <c r="BB23" s="230">
        <v>-530750</v>
      </c>
      <c r="BC23" s="229">
        <v>-0.27789999999999998</v>
      </c>
      <c r="BD23" s="228">
        <v>0</v>
      </c>
      <c r="BE23" s="228">
        <v>0</v>
      </c>
      <c r="BF23" s="228">
        <v>0</v>
      </c>
      <c r="BG23" s="229">
        <v>0</v>
      </c>
      <c r="BH23" s="230">
        <v>6371750</v>
      </c>
      <c r="BI23" s="230">
        <v>1851300</v>
      </c>
      <c r="BJ23" s="230">
        <v>4520450</v>
      </c>
      <c r="BK23" s="229">
        <v>2.4418000000000002</v>
      </c>
      <c r="BL23" s="230">
        <v>4194850</v>
      </c>
      <c r="BM23" s="230">
        <v>675400</v>
      </c>
      <c r="BN23" s="230">
        <v>3519450</v>
      </c>
      <c r="BO23" s="229">
        <v>5.2108999999999996</v>
      </c>
      <c r="BP23" s="230">
        <v>14593700</v>
      </c>
      <c r="BQ23" s="230">
        <v>7131300</v>
      </c>
      <c r="BR23" s="230">
        <v>7462400</v>
      </c>
      <c r="BS23" s="229">
        <v>1.0464</v>
      </c>
      <c r="BT23" s="230">
        <v>1141543</v>
      </c>
      <c r="BU23" s="230">
        <v>340422</v>
      </c>
      <c r="BV23" s="230">
        <v>801121</v>
      </c>
      <c r="BW23" s="229">
        <v>2.3532999999999999</v>
      </c>
      <c r="BX23" s="230">
        <v>20510600</v>
      </c>
      <c r="BY23" s="230">
        <v>19722450</v>
      </c>
      <c r="BZ23" s="230">
        <v>788150</v>
      </c>
      <c r="CA23" s="229">
        <v>0.04</v>
      </c>
      <c r="CB23" s="230">
        <v>17312900</v>
      </c>
      <c r="CC23" s="230">
        <v>17262300</v>
      </c>
      <c r="CD23" s="230">
        <v>50600</v>
      </c>
      <c r="CE23" s="229">
        <v>2.8999999999999998E-3</v>
      </c>
      <c r="CF23" s="230">
        <v>3138850</v>
      </c>
      <c r="CG23" s="230">
        <v>2428800</v>
      </c>
      <c r="CH23" s="230">
        <v>710050</v>
      </c>
      <c r="CI23" s="229">
        <v>0.2923</v>
      </c>
      <c r="CJ23" s="228">
        <v>0</v>
      </c>
      <c r="CK23" s="228">
        <v>0</v>
      </c>
      <c r="CL23" s="228">
        <v>0</v>
      </c>
      <c r="CM23" s="229">
        <v>0</v>
      </c>
      <c r="CN23" s="230">
        <v>4891150</v>
      </c>
      <c r="CO23" s="230">
        <v>4356550</v>
      </c>
      <c r="CP23" s="230">
        <v>534600</v>
      </c>
      <c r="CQ23" s="229">
        <v>0.1227</v>
      </c>
      <c r="CR23" s="230">
        <v>3229600</v>
      </c>
      <c r="CS23" s="230">
        <v>2948000</v>
      </c>
      <c r="CT23" s="230">
        <v>281600</v>
      </c>
      <c r="CU23" s="229">
        <v>9.5500000000000002E-2</v>
      </c>
      <c r="CV23" s="230">
        <v>28631350</v>
      </c>
      <c r="CW23" s="230">
        <v>27027000</v>
      </c>
      <c r="CX23" s="230">
        <v>1604350</v>
      </c>
      <c r="CY23" s="229">
        <v>5.9400000000000001E-2</v>
      </c>
      <c r="CZ23" s="228">
        <v>30.45</v>
      </c>
      <c r="DA23" s="228">
        <v>27.23</v>
      </c>
      <c r="DB23" s="228">
        <v>3.22</v>
      </c>
      <c r="DC23" s="228">
        <v>3.22</v>
      </c>
      <c r="DD23" s="228">
        <v>35.53</v>
      </c>
      <c r="DE23" s="228">
        <v>35.35</v>
      </c>
      <c r="DF23" s="228">
        <v>-5.08</v>
      </c>
      <c r="DG23" s="228">
        <v>0.18</v>
      </c>
      <c r="DH23" s="228">
        <v>32.06</v>
      </c>
      <c r="DI23" s="228">
        <v>27.32</v>
      </c>
      <c r="DJ23" s="228">
        <v>4.74</v>
      </c>
      <c r="DK23" s="228">
        <v>4.74</v>
      </c>
      <c r="DL23" s="228">
        <v>28</v>
      </c>
      <c r="DM23" s="228">
        <v>27</v>
      </c>
      <c r="DN23" s="228">
        <v>1</v>
      </c>
      <c r="DO23" s="228">
        <v>1</v>
      </c>
      <c r="DP23" s="228">
        <v>0.66</v>
      </c>
      <c r="DQ23" s="228">
        <v>0.68</v>
      </c>
      <c r="DR23" s="228">
        <v>-0.02</v>
      </c>
      <c r="DS23" s="229">
        <v>-2.9399999999999999E-2</v>
      </c>
      <c r="DT23" s="231">
        <v>1200</v>
      </c>
      <c r="DU23" s="231">
        <v>1100</v>
      </c>
      <c r="DV23" s="228">
        <v>0.66</v>
      </c>
      <c r="DW23" s="228">
        <v>0.36</v>
      </c>
      <c r="DX23" s="228">
        <v>0.3</v>
      </c>
      <c r="DY23" s="229">
        <v>0.83330000000000004</v>
      </c>
      <c r="DZ23" s="229">
        <v>0.153</v>
      </c>
      <c r="EA23" s="230">
        <v>2428800</v>
      </c>
      <c r="EB23" s="229">
        <v>4.7000000000000002E-3</v>
      </c>
      <c r="EC23" s="229">
        <v>0.153</v>
      </c>
      <c r="ED23" s="228">
        <v>6.83</v>
      </c>
      <c r="EE23" s="229">
        <v>6.1000000000000004E-3</v>
      </c>
      <c r="EF23" s="230">
        <v>457989</v>
      </c>
      <c r="EG23" s="230">
        <v>157204</v>
      </c>
      <c r="EH23" s="229">
        <v>1.9133</v>
      </c>
      <c r="EI23" s="229">
        <v>0.4012</v>
      </c>
      <c r="EJ23" s="231">
        <v>75170.36</v>
      </c>
      <c r="EK23" s="231">
        <v>46450.73</v>
      </c>
      <c r="EL23" s="231">
        <v>44941.89</v>
      </c>
      <c r="EM23" s="228">
        <v>0</v>
      </c>
      <c r="EN23" s="231">
        <v>166562.98000000001</v>
      </c>
      <c r="EO23" s="231">
        <v>82519.839999999997</v>
      </c>
      <c r="EP23" s="231">
        <v>84043.14</v>
      </c>
      <c r="EQ23" s="229">
        <v>1.0185</v>
      </c>
      <c r="ER23" s="231">
        <v>57921</v>
      </c>
      <c r="ES23" s="231">
        <v>35596</v>
      </c>
      <c r="ET23" s="231">
        <v>226792</v>
      </c>
      <c r="EU23" s="231">
        <v>55970580</v>
      </c>
      <c r="EV23" s="231">
        <v>320309</v>
      </c>
      <c r="EW23" s="231">
        <v>309660</v>
      </c>
      <c r="EX23" s="231">
        <v>10649</v>
      </c>
      <c r="EY23" s="229">
        <v>3.44E-2</v>
      </c>
      <c r="EZ23" s="229">
        <v>0.51149999999999995</v>
      </c>
      <c r="FA23" s="227" t="s">
        <v>567</v>
      </c>
      <c r="FB23" s="161">
        <f t="shared" si="0"/>
        <v>3197700</v>
      </c>
    </row>
    <row r="24" spans="1:158" ht="17.25" thickBot="1" x14ac:dyDescent="0.3">
      <c r="A24" s="226">
        <v>45860</v>
      </c>
      <c r="B24" s="227" t="s">
        <v>172</v>
      </c>
      <c r="C24" s="227" t="s">
        <v>173</v>
      </c>
      <c r="D24" s="228">
        <v>625</v>
      </c>
      <c r="E24" s="231">
        <v>1101.5</v>
      </c>
      <c r="F24" s="231">
        <v>1103.0999999999999</v>
      </c>
      <c r="G24" s="228">
        <v>-1.6</v>
      </c>
      <c r="H24" s="229">
        <v>-1.5E-3</v>
      </c>
      <c r="I24" s="231">
        <v>1098</v>
      </c>
      <c r="J24" s="231">
        <v>1099.5999999999999</v>
      </c>
      <c r="K24" s="228">
        <v>-1.6</v>
      </c>
      <c r="L24" s="229">
        <v>-1.5E-3</v>
      </c>
      <c r="M24" s="231">
        <v>1101.5</v>
      </c>
      <c r="N24" s="231">
        <v>1103.0999999999999</v>
      </c>
      <c r="O24" s="228">
        <v>-1.6</v>
      </c>
      <c r="P24" s="229">
        <v>-1.5E-3</v>
      </c>
      <c r="Q24" s="231">
        <v>1106.5999999999999</v>
      </c>
      <c r="R24" s="231">
        <v>1108.5</v>
      </c>
      <c r="S24" s="228">
        <v>-1.9</v>
      </c>
      <c r="T24" s="229">
        <v>-1.6999999999999999E-3</v>
      </c>
      <c r="U24" s="228">
        <v>0</v>
      </c>
      <c r="V24" s="228">
        <v>0</v>
      </c>
      <c r="W24" s="228">
        <v>0</v>
      </c>
      <c r="X24" s="229">
        <v>0</v>
      </c>
      <c r="Y24" s="228">
        <v>3.5</v>
      </c>
      <c r="Z24" s="228">
        <v>3.5</v>
      </c>
      <c r="AA24" s="228">
        <v>0</v>
      </c>
      <c r="AB24" s="229">
        <v>3.2000000000000002E-3</v>
      </c>
      <c r="AC24" s="228">
        <v>3.5</v>
      </c>
      <c r="AD24" s="228">
        <v>3.5</v>
      </c>
      <c r="AE24" s="228">
        <v>0</v>
      </c>
      <c r="AF24" s="229">
        <v>3.2000000000000002E-3</v>
      </c>
      <c r="AG24" s="228">
        <v>8.6</v>
      </c>
      <c r="AH24" s="228">
        <v>8.9</v>
      </c>
      <c r="AI24" s="228">
        <v>-0.3</v>
      </c>
      <c r="AJ24" s="229">
        <v>7.7999999999999996E-3</v>
      </c>
      <c r="AK24" s="228">
        <v>0</v>
      </c>
      <c r="AL24" s="228">
        <v>0</v>
      </c>
      <c r="AM24" s="228">
        <v>0</v>
      </c>
      <c r="AN24" s="229">
        <v>0</v>
      </c>
      <c r="AO24" s="231">
        <v>1106.3499999999999</v>
      </c>
      <c r="AP24" s="231">
        <v>1110.81</v>
      </c>
      <c r="AQ24" s="228">
        <v>0</v>
      </c>
      <c r="AR24" s="230">
        <v>14527500</v>
      </c>
      <c r="AS24" s="230">
        <v>22985625</v>
      </c>
      <c r="AT24" s="230">
        <v>-8458125</v>
      </c>
      <c r="AU24" s="229">
        <v>-0.36799999999999999</v>
      </c>
      <c r="AV24" s="230">
        <v>12204375</v>
      </c>
      <c r="AW24" s="230">
        <v>19678750</v>
      </c>
      <c r="AX24" s="230">
        <v>-7474375</v>
      </c>
      <c r="AY24" s="229">
        <v>-0.37980000000000003</v>
      </c>
      <c r="AZ24" s="230">
        <v>2223750</v>
      </c>
      <c r="BA24" s="230">
        <v>3143750</v>
      </c>
      <c r="BB24" s="230">
        <v>-920000</v>
      </c>
      <c r="BC24" s="229">
        <v>-0.29260000000000003</v>
      </c>
      <c r="BD24" s="228">
        <v>0</v>
      </c>
      <c r="BE24" s="228">
        <v>0</v>
      </c>
      <c r="BF24" s="228">
        <v>0</v>
      </c>
      <c r="BG24" s="229">
        <v>0</v>
      </c>
      <c r="BH24" s="230">
        <v>62638125</v>
      </c>
      <c r="BI24" s="230">
        <v>120570625</v>
      </c>
      <c r="BJ24" s="230">
        <v>-57932500</v>
      </c>
      <c r="BK24" s="229">
        <v>-0.48049999999999998</v>
      </c>
      <c r="BL24" s="230">
        <v>28189375</v>
      </c>
      <c r="BM24" s="230">
        <v>72600000</v>
      </c>
      <c r="BN24" s="230">
        <v>-44410625</v>
      </c>
      <c r="BO24" s="229">
        <v>-0.61170000000000002</v>
      </c>
      <c r="BP24" s="230">
        <v>105355000</v>
      </c>
      <c r="BQ24" s="230">
        <v>216156250</v>
      </c>
      <c r="BR24" s="230">
        <v>-110801250</v>
      </c>
      <c r="BS24" s="229">
        <v>-0.51259999999999994</v>
      </c>
      <c r="BT24" s="230">
        <v>10455171</v>
      </c>
      <c r="BU24" s="230">
        <v>16199285</v>
      </c>
      <c r="BV24" s="230">
        <v>-5744114</v>
      </c>
      <c r="BW24" s="229">
        <v>-0.35460000000000003</v>
      </c>
      <c r="BX24" s="230">
        <v>82059375</v>
      </c>
      <c r="BY24" s="230">
        <v>78468125</v>
      </c>
      <c r="BZ24" s="230">
        <v>3591250</v>
      </c>
      <c r="CA24" s="229">
        <v>4.58E-2</v>
      </c>
      <c r="CB24" s="230">
        <v>69791250</v>
      </c>
      <c r="CC24" s="230">
        <v>67115000</v>
      </c>
      <c r="CD24" s="230">
        <v>2676250</v>
      </c>
      <c r="CE24" s="229">
        <v>3.9899999999999998E-2</v>
      </c>
      <c r="CF24" s="230">
        <v>11347500</v>
      </c>
      <c r="CG24" s="230">
        <v>10447500</v>
      </c>
      <c r="CH24" s="230">
        <v>900000</v>
      </c>
      <c r="CI24" s="229">
        <v>8.6099999999999996E-2</v>
      </c>
      <c r="CJ24" s="228">
        <v>0</v>
      </c>
      <c r="CK24" s="228">
        <v>0</v>
      </c>
      <c r="CL24" s="228">
        <v>0</v>
      </c>
      <c r="CM24" s="229">
        <v>0</v>
      </c>
      <c r="CN24" s="230">
        <v>55954375</v>
      </c>
      <c r="CO24" s="230">
        <v>56648750</v>
      </c>
      <c r="CP24" s="230">
        <v>-694375</v>
      </c>
      <c r="CQ24" s="229">
        <v>-1.23E-2</v>
      </c>
      <c r="CR24" s="230">
        <v>20903750</v>
      </c>
      <c r="CS24" s="230">
        <v>21699375</v>
      </c>
      <c r="CT24" s="230">
        <v>-795625</v>
      </c>
      <c r="CU24" s="229">
        <v>-3.6700000000000003E-2</v>
      </c>
      <c r="CV24" s="230">
        <v>158917500</v>
      </c>
      <c r="CW24" s="230">
        <v>156816250</v>
      </c>
      <c r="CX24" s="230">
        <v>2101250</v>
      </c>
      <c r="CY24" s="229">
        <v>1.34E-2</v>
      </c>
      <c r="CZ24" s="228">
        <v>19.77</v>
      </c>
      <c r="DA24" s="228">
        <v>20.63</v>
      </c>
      <c r="DB24" s="228">
        <v>-0.86</v>
      </c>
      <c r="DC24" s="228">
        <v>-0.86</v>
      </c>
      <c r="DD24" s="228">
        <v>28.51</v>
      </c>
      <c r="DE24" s="228">
        <v>28.58</v>
      </c>
      <c r="DF24" s="228">
        <v>-8.74</v>
      </c>
      <c r="DG24" s="228">
        <v>-7.0000000000000007E-2</v>
      </c>
      <c r="DH24" s="228">
        <v>20.329999999999998</v>
      </c>
      <c r="DI24" s="228">
        <v>20.79</v>
      </c>
      <c r="DJ24" s="228">
        <v>-0.46</v>
      </c>
      <c r="DK24" s="228">
        <v>-0.46</v>
      </c>
      <c r="DL24" s="228">
        <v>18.510000000000002</v>
      </c>
      <c r="DM24" s="228">
        <v>20.37</v>
      </c>
      <c r="DN24" s="228">
        <v>-1.86</v>
      </c>
      <c r="DO24" s="228">
        <v>-1.86</v>
      </c>
      <c r="DP24" s="228">
        <v>0.37</v>
      </c>
      <c r="DQ24" s="228">
        <v>0.38</v>
      </c>
      <c r="DR24" s="228">
        <v>-0.01</v>
      </c>
      <c r="DS24" s="229">
        <v>-2.63E-2</v>
      </c>
      <c r="DT24" s="231">
        <v>1200</v>
      </c>
      <c r="DU24" s="231">
        <v>1100</v>
      </c>
      <c r="DV24" s="228">
        <v>0.45</v>
      </c>
      <c r="DW24" s="228">
        <v>0.6</v>
      </c>
      <c r="DX24" s="228">
        <v>-0.15</v>
      </c>
      <c r="DY24" s="229">
        <v>-0.25</v>
      </c>
      <c r="DZ24" s="229">
        <v>0.13830000000000001</v>
      </c>
      <c r="EA24" s="230">
        <v>10447500</v>
      </c>
      <c r="EB24" s="229">
        <v>4.5999999999999999E-3</v>
      </c>
      <c r="EC24" s="229">
        <v>0.13830000000000001</v>
      </c>
      <c r="ED24" s="228">
        <v>4.46</v>
      </c>
      <c r="EE24" s="229">
        <v>4.0000000000000001E-3</v>
      </c>
      <c r="EF24" s="230">
        <v>7253971</v>
      </c>
      <c r="EG24" s="230">
        <v>10827456</v>
      </c>
      <c r="EH24" s="229">
        <v>-0.33</v>
      </c>
      <c r="EI24" s="229">
        <v>0.69379999999999997</v>
      </c>
      <c r="EJ24" s="231">
        <v>717181.7</v>
      </c>
      <c r="EK24" s="231">
        <v>309116.15999999997</v>
      </c>
      <c r="EL24" s="231">
        <v>160836.6</v>
      </c>
      <c r="EM24" s="228">
        <v>0</v>
      </c>
      <c r="EN24" s="231">
        <v>1187134.46</v>
      </c>
      <c r="EO24" s="231">
        <v>2417444.7000000002</v>
      </c>
      <c r="EP24" s="231">
        <v>-1230310.24</v>
      </c>
      <c r="EQ24" s="229">
        <v>-0.50890000000000002</v>
      </c>
      <c r="ER24" s="231">
        <v>663688</v>
      </c>
      <c r="ES24" s="231">
        <v>232472</v>
      </c>
      <c r="ET24" s="231">
        <v>904571</v>
      </c>
      <c r="EU24" s="231">
        <v>549885930</v>
      </c>
      <c r="EV24" s="231">
        <v>1800731</v>
      </c>
      <c r="EW24" s="231">
        <v>1779711</v>
      </c>
      <c r="EX24" s="231">
        <v>21020</v>
      </c>
      <c r="EY24" s="229">
        <v>1.18E-2</v>
      </c>
      <c r="EZ24" s="229">
        <v>0.28899999999999998</v>
      </c>
      <c r="FA24" s="227" t="s">
        <v>567</v>
      </c>
      <c r="FB24" s="161">
        <f t="shared" si="0"/>
        <v>12268125</v>
      </c>
    </row>
    <row r="25" spans="1:158" ht="17.25" thickBot="1" x14ac:dyDescent="0.3">
      <c r="A25" s="226">
        <v>45860</v>
      </c>
      <c r="B25" s="227" t="s">
        <v>162</v>
      </c>
      <c r="C25" s="227" t="s">
        <v>174</v>
      </c>
      <c r="D25" s="228">
        <v>75</v>
      </c>
      <c r="E25" s="231">
        <v>8300.5</v>
      </c>
      <c r="F25" s="231">
        <v>8446</v>
      </c>
      <c r="G25" s="228">
        <v>-145.5</v>
      </c>
      <c r="H25" s="229">
        <v>-1.72E-2</v>
      </c>
      <c r="I25" s="231">
        <v>8295</v>
      </c>
      <c r="J25" s="231">
        <v>8438.5</v>
      </c>
      <c r="K25" s="228">
        <v>-143.5</v>
      </c>
      <c r="L25" s="229">
        <v>-1.7000000000000001E-2</v>
      </c>
      <c r="M25" s="231">
        <v>8300.5</v>
      </c>
      <c r="N25" s="231">
        <v>8446</v>
      </c>
      <c r="O25" s="228">
        <v>-145.5</v>
      </c>
      <c r="P25" s="229">
        <v>-1.72E-2</v>
      </c>
      <c r="Q25" s="231">
        <v>8342</v>
      </c>
      <c r="R25" s="231">
        <v>8487</v>
      </c>
      <c r="S25" s="228">
        <v>-145</v>
      </c>
      <c r="T25" s="229">
        <v>-1.7100000000000001E-2</v>
      </c>
      <c r="U25" s="228">
        <v>0</v>
      </c>
      <c r="V25" s="228">
        <v>0</v>
      </c>
      <c r="W25" s="228">
        <v>0</v>
      </c>
      <c r="X25" s="229">
        <v>0</v>
      </c>
      <c r="Y25" s="228">
        <v>5.5</v>
      </c>
      <c r="Z25" s="228">
        <v>7.5</v>
      </c>
      <c r="AA25" s="228">
        <v>-2</v>
      </c>
      <c r="AB25" s="229">
        <v>6.9999999999999999E-4</v>
      </c>
      <c r="AC25" s="228">
        <v>5.5</v>
      </c>
      <c r="AD25" s="228">
        <v>7.5</v>
      </c>
      <c r="AE25" s="228">
        <v>-2</v>
      </c>
      <c r="AF25" s="229">
        <v>6.9999999999999999E-4</v>
      </c>
      <c r="AG25" s="228">
        <v>47</v>
      </c>
      <c r="AH25" s="228">
        <v>48.5</v>
      </c>
      <c r="AI25" s="228">
        <v>-1.5</v>
      </c>
      <c r="AJ25" s="229">
        <v>5.7000000000000002E-3</v>
      </c>
      <c r="AK25" s="228">
        <v>0</v>
      </c>
      <c r="AL25" s="228">
        <v>0</v>
      </c>
      <c r="AM25" s="228">
        <v>0</v>
      </c>
      <c r="AN25" s="229">
        <v>0</v>
      </c>
      <c r="AO25" s="231">
        <v>8352.7000000000007</v>
      </c>
      <c r="AP25" s="231">
        <v>8388.44</v>
      </c>
      <c r="AQ25" s="228">
        <v>0</v>
      </c>
      <c r="AR25" s="230">
        <v>369300</v>
      </c>
      <c r="AS25" s="230">
        <v>342900</v>
      </c>
      <c r="AT25" s="230">
        <v>26400</v>
      </c>
      <c r="AU25" s="229">
        <v>7.6999999999999999E-2</v>
      </c>
      <c r="AV25" s="230">
        <v>302325</v>
      </c>
      <c r="AW25" s="230">
        <v>303375</v>
      </c>
      <c r="AX25" s="230">
        <v>-1050</v>
      </c>
      <c r="AY25" s="229">
        <v>-3.5000000000000001E-3</v>
      </c>
      <c r="AZ25" s="230">
        <v>60300</v>
      </c>
      <c r="BA25" s="230">
        <v>37500</v>
      </c>
      <c r="BB25" s="230">
        <v>22800</v>
      </c>
      <c r="BC25" s="229">
        <v>0.60799999999999998</v>
      </c>
      <c r="BD25" s="228">
        <v>0</v>
      </c>
      <c r="BE25" s="228">
        <v>0</v>
      </c>
      <c r="BF25" s="228">
        <v>0</v>
      </c>
      <c r="BG25" s="229">
        <v>0</v>
      </c>
      <c r="BH25" s="230">
        <v>2070825</v>
      </c>
      <c r="BI25" s="230">
        <v>2081325</v>
      </c>
      <c r="BJ25" s="230">
        <v>-10500</v>
      </c>
      <c r="BK25" s="229">
        <v>-5.0000000000000001E-3</v>
      </c>
      <c r="BL25" s="230">
        <v>1376550</v>
      </c>
      <c r="BM25" s="230">
        <v>1082400</v>
      </c>
      <c r="BN25" s="230">
        <v>294150</v>
      </c>
      <c r="BO25" s="229">
        <v>0.27179999999999999</v>
      </c>
      <c r="BP25" s="230">
        <v>3816675</v>
      </c>
      <c r="BQ25" s="230">
        <v>3506625</v>
      </c>
      <c r="BR25" s="230">
        <v>310050</v>
      </c>
      <c r="BS25" s="229">
        <v>8.8400000000000006E-2</v>
      </c>
      <c r="BT25" s="230">
        <v>310669</v>
      </c>
      <c r="BU25" s="230">
        <v>265535</v>
      </c>
      <c r="BV25" s="230">
        <v>45134</v>
      </c>
      <c r="BW25" s="229">
        <v>0.17</v>
      </c>
      <c r="BX25" s="230">
        <v>2660850</v>
      </c>
      <c r="BY25" s="230">
        <v>2610750</v>
      </c>
      <c r="BZ25" s="230">
        <v>50100</v>
      </c>
      <c r="CA25" s="229">
        <v>1.9199999999999998E-2</v>
      </c>
      <c r="CB25" s="230">
        <v>2461425</v>
      </c>
      <c r="CC25" s="230">
        <v>2443200</v>
      </c>
      <c r="CD25" s="230">
        <v>18225</v>
      </c>
      <c r="CE25" s="229">
        <v>7.4999999999999997E-3</v>
      </c>
      <c r="CF25" s="230">
        <v>181725</v>
      </c>
      <c r="CG25" s="230">
        <v>154575</v>
      </c>
      <c r="CH25" s="230">
        <v>27150</v>
      </c>
      <c r="CI25" s="229">
        <v>0.17560000000000001</v>
      </c>
      <c r="CJ25" s="228">
        <v>0</v>
      </c>
      <c r="CK25" s="228">
        <v>0</v>
      </c>
      <c r="CL25" s="228">
        <v>0</v>
      </c>
      <c r="CM25" s="229">
        <v>0</v>
      </c>
      <c r="CN25" s="230">
        <v>1512075</v>
      </c>
      <c r="CO25" s="230">
        <v>1355025</v>
      </c>
      <c r="CP25" s="230">
        <v>157050</v>
      </c>
      <c r="CQ25" s="229">
        <v>0.1159</v>
      </c>
      <c r="CR25" s="230">
        <v>958650</v>
      </c>
      <c r="CS25" s="230">
        <v>939975</v>
      </c>
      <c r="CT25" s="230">
        <v>18675</v>
      </c>
      <c r="CU25" s="229">
        <v>1.9900000000000001E-2</v>
      </c>
      <c r="CV25" s="230">
        <v>5131575</v>
      </c>
      <c r="CW25" s="230">
        <v>4905750</v>
      </c>
      <c r="CX25" s="230">
        <v>225825</v>
      </c>
      <c r="CY25" s="229">
        <v>4.5999999999999999E-2</v>
      </c>
      <c r="CZ25" s="228">
        <v>22.65</v>
      </c>
      <c r="DA25" s="228">
        <v>21.94</v>
      </c>
      <c r="DB25" s="228">
        <v>0.71</v>
      </c>
      <c r="DC25" s="228">
        <v>0.71</v>
      </c>
      <c r="DD25" s="228">
        <v>32.06</v>
      </c>
      <c r="DE25" s="228">
        <v>32.049999999999997</v>
      </c>
      <c r="DF25" s="228">
        <v>-9.41</v>
      </c>
      <c r="DG25" s="228">
        <v>0.01</v>
      </c>
      <c r="DH25" s="228">
        <v>22.59</v>
      </c>
      <c r="DI25" s="228">
        <v>21.39</v>
      </c>
      <c r="DJ25" s="228">
        <v>1.2</v>
      </c>
      <c r="DK25" s="228">
        <v>1.2</v>
      </c>
      <c r="DL25" s="228">
        <v>22.73</v>
      </c>
      <c r="DM25" s="228">
        <v>23</v>
      </c>
      <c r="DN25" s="228">
        <v>-0.27</v>
      </c>
      <c r="DO25" s="228">
        <v>-0.27</v>
      </c>
      <c r="DP25" s="228">
        <v>0.63</v>
      </c>
      <c r="DQ25" s="228">
        <v>0.69</v>
      </c>
      <c r="DR25" s="228">
        <v>-0.06</v>
      </c>
      <c r="DS25" s="229">
        <v>-8.6999999999999994E-2</v>
      </c>
      <c r="DT25" s="231">
        <v>9000</v>
      </c>
      <c r="DU25" s="231">
        <v>8000</v>
      </c>
      <c r="DV25" s="228">
        <v>0.66</v>
      </c>
      <c r="DW25" s="228">
        <v>0.52</v>
      </c>
      <c r="DX25" s="228">
        <v>0.14000000000000001</v>
      </c>
      <c r="DY25" s="229">
        <v>0.26919999999999999</v>
      </c>
      <c r="DZ25" s="229">
        <v>6.83E-2</v>
      </c>
      <c r="EA25" s="230">
        <v>154575</v>
      </c>
      <c r="EB25" s="229">
        <v>5.0000000000000001E-3</v>
      </c>
      <c r="EC25" s="229">
        <v>6.83E-2</v>
      </c>
      <c r="ED25" s="228">
        <v>35.74</v>
      </c>
      <c r="EE25" s="229">
        <v>4.3E-3</v>
      </c>
      <c r="EF25" s="230">
        <v>177986</v>
      </c>
      <c r="EG25" s="230">
        <v>141622</v>
      </c>
      <c r="EH25" s="229">
        <v>0.25679999999999997</v>
      </c>
      <c r="EI25" s="229">
        <v>0.57289999999999996</v>
      </c>
      <c r="EJ25" s="231">
        <v>178453.07</v>
      </c>
      <c r="EK25" s="231">
        <v>112684.56</v>
      </c>
      <c r="EL25" s="231">
        <v>30873.9</v>
      </c>
      <c r="EM25" s="228">
        <v>0</v>
      </c>
      <c r="EN25" s="231">
        <v>322011.53000000003</v>
      </c>
      <c r="EO25" s="231">
        <v>297824.76</v>
      </c>
      <c r="EP25" s="231">
        <v>24186.77</v>
      </c>
      <c r="EQ25" s="229">
        <v>8.1199999999999994E-2</v>
      </c>
      <c r="ER25" s="231">
        <v>132032</v>
      </c>
      <c r="ES25" s="231">
        <v>77498</v>
      </c>
      <c r="ET25" s="231">
        <v>220956</v>
      </c>
      <c r="EU25" s="231">
        <v>25086000</v>
      </c>
      <c r="EV25" s="231">
        <v>430486</v>
      </c>
      <c r="EW25" s="231">
        <v>415410</v>
      </c>
      <c r="EX25" s="231">
        <v>15076</v>
      </c>
      <c r="EY25" s="229">
        <v>3.6299999999999999E-2</v>
      </c>
      <c r="EZ25" s="229">
        <v>0.2046</v>
      </c>
      <c r="FA25" s="227" t="s">
        <v>567</v>
      </c>
      <c r="FB25" s="161">
        <f t="shared" si="0"/>
        <v>199425</v>
      </c>
    </row>
    <row r="26" spans="1:158" ht="17.25" thickBot="1" x14ac:dyDescent="0.3">
      <c r="A26" s="226">
        <v>45860</v>
      </c>
      <c r="B26" s="227" t="s">
        <v>175</v>
      </c>
      <c r="C26" s="227" t="s">
        <v>176</v>
      </c>
      <c r="D26" s="228">
        <v>500</v>
      </c>
      <c r="E26" s="231">
        <v>2043</v>
      </c>
      <c r="F26" s="231">
        <v>2060.5</v>
      </c>
      <c r="G26" s="228">
        <v>-17.5</v>
      </c>
      <c r="H26" s="229">
        <v>-8.5000000000000006E-3</v>
      </c>
      <c r="I26" s="231">
        <v>2039.6</v>
      </c>
      <c r="J26" s="231">
        <v>2053.9</v>
      </c>
      <c r="K26" s="228">
        <v>-14.3</v>
      </c>
      <c r="L26" s="229">
        <v>-7.0000000000000001E-3</v>
      </c>
      <c r="M26" s="231">
        <v>2043</v>
      </c>
      <c r="N26" s="231">
        <v>2060.5</v>
      </c>
      <c r="O26" s="228">
        <v>-17.5</v>
      </c>
      <c r="P26" s="229">
        <v>-8.5000000000000006E-3</v>
      </c>
      <c r="Q26" s="231">
        <v>2053</v>
      </c>
      <c r="R26" s="231">
        <v>2070.3000000000002</v>
      </c>
      <c r="S26" s="228">
        <v>-17.3</v>
      </c>
      <c r="T26" s="229">
        <v>-8.3999999999999995E-3</v>
      </c>
      <c r="U26" s="228">
        <v>0</v>
      </c>
      <c r="V26" s="228">
        <v>0</v>
      </c>
      <c r="W26" s="228">
        <v>0</v>
      </c>
      <c r="X26" s="229">
        <v>0</v>
      </c>
      <c r="Y26" s="228">
        <v>3.4</v>
      </c>
      <c r="Z26" s="228">
        <v>6.6</v>
      </c>
      <c r="AA26" s="228">
        <v>-3.2</v>
      </c>
      <c r="AB26" s="229">
        <v>1.6999999999999999E-3</v>
      </c>
      <c r="AC26" s="228">
        <v>3.4</v>
      </c>
      <c r="AD26" s="228">
        <v>6.6</v>
      </c>
      <c r="AE26" s="228">
        <v>-3.2</v>
      </c>
      <c r="AF26" s="229">
        <v>1.6999999999999999E-3</v>
      </c>
      <c r="AG26" s="228">
        <v>13.4</v>
      </c>
      <c r="AH26" s="228">
        <v>16.399999999999999</v>
      </c>
      <c r="AI26" s="228">
        <v>-3</v>
      </c>
      <c r="AJ26" s="229">
        <v>6.6E-3</v>
      </c>
      <c r="AK26" s="228">
        <v>0</v>
      </c>
      <c r="AL26" s="228">
        <v>0</v>
      </c>
      <c r="AM26" s="228">
        <v>0</v>
      </c>
      <c r="AN26" s="229">
        <v>0</v>
      </c>
      <c r="AO26" s="231">
        <v>2038.28</v>
      </c>
      <c r="AP26" s="231">
        <v>2046.5</v>
      </c>
      <c r="AQ26" s="228">
        <v>0</v>
      </c>
      <c r="AR26" s="230">
        <v>3006000</v>
      </c>
      <c r="AS26" s="230">
        <v>2264000</v>
      </c>
      <c r="AT26" s="230">
        <v>742000</v>
      </c>
      <c r="AU26" s="229">
        <v>0.32769999999999999</v>
      </c>
      <c r="AV26" s="230">
        <v>2483000</v>
      </c>
      <c r="AW26" s="230">
        <v>1927500</v>
      </c>
      <c r="AX26" s="230">
        <v>555500</v>
      </c>
      <c r="AY26" s="229">
        <v>0.28820000000000001</v>
      </c>
      <c r="AZ26" s="230">
        <v>489500</v>
      </c>
      <c r="BA26" s="230">
        <v>303500</v>
      </c>
      <c r="BB26" s="230">
        <v>186000</v>
      </c>
      <c r="BC26" s="229">
        <v>0.6129</v>
      </c>
      <c r="BD26" s="228">
        <v>0</v>
      </c>
      <c r="BE26" s="228">
        <v>0</v>
      </c>
      <c r="BF26" s="228">
        <v>0</v>
      </c>
      <c r="BG26" s="229">
        <v>0</v>
      </c>
      <c r="BH26" s="230">
        <v>10463000</v>
      </c>
      <c r="BI26" s="230">
        <v>9764000</v>
      </c>
      <c r="BJ26" s="230">
        <v>699000</v>
      </c>
      <c r="BK26" s="229">
        <v>7.1599999999999997E-2</v>
      </c>
      <c r="BL26" s="230">
        <v>6155000</v>
      </c>
      <c r="BM26" s="230">
        <v>5465500</v>
      </c>
      <c r="BN26" s="230">
        <v>689500</v>
      </c>
      <c r="BO26" s="229">
        <v>0.12620000000000001</v>
      </c>
      <c r="BP26" s="230">
        <v>19624000</v>
      </c>
      <c r="BQ26" s="230">
        <v>17493500</v>
      </c>
      <c r="BR26" s="230">
        <v>2130500</v>
      </c>
      <c r="BS26" s="229">
        <v>0.12180000000000001</v>
      </c>
      <c r="BT26" s="230">
        <v>1231878</v>
      </c>
      <c r="BU26" s="230">
        <v>1035509</v>
      </c>
      <c r="BV26" s="230">
        <v>196369</v>
      </c>
      <c r="BW26" s="229">
        <v>0.18959999999999999</v>
      </c>
      <c r="BX26" s="230">
        <v>16371500</v>
      </c>
      <c r="BY26" s="230">
        <v>16277000</v>
      </c>
      <c r="BZ26" s="230">
        <v>94500</v>
      </c>
      <c r="CA26" s="229">
        <v>5.7999999999999996E-3</v>
      </c>
      <c r="CB26" s="230">
        <v>15449500</v>
      </c>
      <c r="CC26" s="230">
        <v>15512000</v>
      </c>
      <c r="CD26" s="230">
        <v>-62500</v>
      </c>
      <c r="CE26" s="229">
        <v>-4.0000000000000001E-3</v>
      </c>
      <c r="CF26" s="230">
        <v>873500</v>
      </c>
      <c r="CG26" s="230">
        <v>716500</v>
      </c>
      <c r="CH26" s="230">
        <v>157000</v>
      </c>
      <c r="CI26" s="229">
        <v>0.21909999999999999</v>
      </c>
      <c r="CJ26" s="228">
        <v>0</v>
      </c>
      <c r="CK26" s="228">
        <v>0</v>
      </c>
      <c r="CL26" s="228">
        <v>0</v>
      </c>
      <c r="CM26" s="229">
        <v>0</v>
      </c>
      <c r="CN26" s="230">
        <v>7963000</v>
      </c>
      <c r="CO26" s="230">
        <v>7944500</v>
      </c>
      <c r="CP26" s="230">
        <v>18500</v>
      </c>
      <c r="CQ26" s="229">
        <v>2.3E-3</v>
      </c>
      <c r="CR26" s="230">
        <v>4393500</v>
      </c>
      <c r="CS26" s="230">
        <v>4482500</v>
      </c>
      <c r="CT26" s="230">
        <v>-89000</v>
      </c>
      <c r="CU26" s="229">
        <v>-1.9900000000000001E-2</v>
      </c>
      <c r="CV26" s="230">
        <v>28728000</v>
      </c>
      <c r="CW26" s="230">
        <v>28704000</v>
      </c>
      <c r="CX26" s="230">
        <v>24000</v>
      </c>
      <c r="CY26" s="229">
        <v>8.0000000000000004E-4</v>
      </c>
      <c r="CZ26" s="228">
        <v>27.18</v>
      </c>
      <c r="DA26" s="228">
        <v>26.47</v>
      </c>
      <c r="DB26" s="228">
        <v>0.71</v>
      </c>
      <c r="DC26" s="228">
        <v>0.71</v>
      </c>
      <c r="DD26" s="228">
        <v>30.17</v>
      </c>
      <c r="DE26" s="228">
        <v>30.23</v>
      </c>
      <c r="DF26" s="228">
        <v>-2.99</v>
      </c>
      <c r="DG26" s="228">
        <v>-0.06</v>
      </c>
      <c r="DH26" s="228">
        <v>26.3</v>
      </c>
      <c r="DI26" s="228">
        <v>25.38</v>
      </c>
      <c r="DJ26" s="228">
        <v>0.92</v>
      </c>
      <c r="DK26" s="228">
        <v>0.92</v>
      </c>
      <c r="DL26" s="228">
        <v>28.67</v>
      </c>
      <c r="DM26" s="228">
        <v>28.42</v>
      </c>
      <c r="DN26" s="228">
        <v>0.25</v>
      </c>
      <c r="DO26" s="228">
        <v>0.25</v>
      </c>
      <c r="DP26" s="228">
        <v>0.55000000000000004</v>
      </c>
      <c r="DQ26" s="228">
        <v>0.56000000000000005</v>
      </c>
      <c r="DR26" s="228">
        <v>-0.01</v>
      </c>
      <c r="DS26" s="229">
        <v>-1.7899999999999999E-2</v>
      </c>
      <c r="DT26" s="231">
        <v>2100</v>
      </c>
      <c r="DU26" s="231">
        <v>2000</v>
      </c>
      <c r="DV26" s="228">
        <v>0.59</v>
      </c>
      <c r="DW26" s="228">
        <v>0.56000000000000005</v>
      </c>
      <c r="DX26" s="228">
        <v>0.03</v>
      </c>
      <c r="DY26" s="229">
        <v>5.3600000000000002E-2</v>
      </c>
      <c r="DZ26" s="229">
        <v>5.3400000000000003E-2</v>
      </c>
      <c r="EA26" s="230">
        <v>716500</v>
      </c>
      <c r="EB26" s="229">
        <v>4.8999999999999998E-3</v>
      </c>
      <c r="EC26" s="229">
        <v>5.3400000000000003E-2</v>
      </c>
      <c r="ED26" s="228">
        <v>8.2200000000000006</v>
      </c>
      <c r="EE26" s="229">
        <v>4.0000000000000001E-3</v>
      </c>
      <c r="EF26" s="230">
        <v>607549</v>
      </c>
      <c r="EG26" s="230">
        <v>547823</v>
      </c>
      <c r="EH26" s="229">
        <v>0.109</v>
      </c>
      <c r="EI26" s="229">
        <v>0.49320000000000003</v>
      </c>
      <c r="EJ26" s="231">
        <v>220229.73</v>
      </c>
      <c r="EK26" s="231">
        <v>124852.26</v>
      </c>
      <c r="EL26" s="231">
        <v>61317.37</v>
      </c>
      <c r="EM26" s="228">
        <v>0</v>
      </c>
      <c r="EN26" s="231">
        <v>406399.36</v>
      </c>
      <c r="EO26" s="231">
        <v>363001.28</v>
      </c>
      <c r="EP26" s="231">
        <v>43398.080000000002</v>
      </c>
      <c r="EQ26" s="229">
        <v>0.1196</v>
      </c>
      <c r="ER26" s="231">
        <v>169776</v>
      </c>
      <c r="ES26" s="231">
        <v>84947</v>
      </c>
      <c r="ET26" s="231">
        <v>334567</v>
      </c>
      <c r="EU26" s="231">
        <v>125347779</v>
      </c>
      <c r="EV26" s="231">
        <v>589289</v>
      </c>
      <c r="EW26" s="231">
        <v>591676</v>
      </c>
      <c r="EX26" s="231">
        <v>-2387</v>
      </c>
      <c r="EY26" s="229">
        <v>-4.0000000000000001E-3</v>
      </c>
      <c r="EZ26" s="229">
        <v>0.22919999999999999</v>
      </c>
      <c r="FA26" s="227" t="s">
        <v>567</v>
      </c>
      <c r="FB26" s="161">
        <f t="shared" si="0"/>
        <v>922000</v>
      </c>
    </row>
    <row r="27" spans="1:158" ht="17.25" thickBot="1" x14ac:dyDescent="0.3">
      <c r="A27" s="226">
        <v>45860</v>
      </c>
      <c r="B27" s="227" t="s">
        <v>175</v>
      </c>
      <c r="C27" s="227" t="s">
        <v>177</v>
      </c>
      <c r="D27" s="228">
        <v>750</v>
      </c>
      <c r="E27" s="228">
        <v>955.95</v>
      </c>
      <c r="F27" s="228">
        <v>951.15</v>
      </c>
      <c r="G27" s="228">
        <v>4.8</v>
      </c>
      <c r="H27" s="229">
        <v>5.0000000000000001E-3</v>
      </c>
      <c r="I27" s="228">
        <v>952.55</v>
      </c>
      <c r="J27" s="228">
        <v>948.45</v>
      </c>
      <c r="K27" s="228">
        <v>4.0999999999999996</v>
      </c>
      <c r="L27" s="229">
        <v>4.3E-3</v>
      </c>
      <c r="M27" s="228">
        <v>955.95</v>
      </c>
      <c r="N27" s="228">
        <v>951.15</v>
      </c>
      <c r="O27" s="228">
        <v>4.8</v>
      </c>
      <c r="P27" s="229">
        <v>5.0000000000000001E-3</v>
      </c>
      <c r="Q27" s="228">
        <v>960.6</v>
      </c>
      <c r="R27" s="228">
        <v>955.95</v>
      </c>
      <c r="S27" s="228">
        <v>4.6500000000000004</v>
      </c>
      <c r="T27" s="229">
        <v>4.8999999999999998E-3</v>
      </c>
      <c r="U27" s="228">
        <v>0</v>
      </c>
      <c r="V27" s="228">
        <v>0</v>
      </c>
      <c r="W27" s="228">
        <v>0</v>
      </c>
      <c r="X27" s="229">
        <v>0</v>
      </c>
      <c r="Y27" s="228">
        <v>3.4</v>
      </c>
      <c r="Z27" s="228">
        <v>2.7</v>
      </c>
      <c r="AA27" s="228">
        <v>0.7</v>
      </c>
      <c r="AB27" s="229">
        <v>3.5999999999999999E-3</v>
      </c>
      <c r="AC27" s="228">
        <v>3.4</v>
      </c>
      <c r="AD27" s="228">
        <v>2.7</v>
      </c>
      <c r="AE27" s="228">
        <v>0.7</v>
      </c>
      <c r="AF27" s="229">
        <v>3.5999999999999999E-3</v>
      </c>
      <c r="AG27" s="228">
        <v>8.0500000000000007</v>
      </c>
      <c r="AH27" s="228">
        <v>7.5</v>
      </c>
      <c r="AI27" s="228">
        <v>0.55000000000000004</v>
      </c>
      <c r="AJ27" s="229">
        <v>8.5000000000000006E-3</v>
      </c>
      <c r="AK27" s="228">
        <v>0</v>
      </c>
      <c r="AL27" s="228">
        <v>0</v>
      </c>
      <c r="AM27" s="228">
        <v>0</v>
      </c>
      <c r="AN27" s="229">
        <v>0</v>
      </c>
      <c r="AO27" s="228">
        <v>952.31</v>
      </c>
      <c r="AP27" s="228">
        <v>956.66</v>
      </c>
      <c r="AQ27" s="228">
        <v>0</v>
      </c>
      <c r="AR27" s="230">
        <v>14757000</v>
      </c>
      <c r="AS27" s="230">
        <v>8982000</v>
      </c>
      <c r="AT27" s="230">
        <v>5775000</v>
      </c>
      <c r="AU27" s="229">
        <v>0.64300000000000002</v>
      </c>
      <c r="AV27" s="230">
        <v>11524500</v>
      </c>
      <c r="AW27" s="230">
        <v>7430250</v>
      </c>
      <c r="AX27" s="230">
        <v>4094250</v>
      </c>
      <c r="AY27" s="229">
        <v>0.55100000000000005</v>
      </c>
      <c r="AZ27" s="230">
        <v>3088500</v>
      </c>
      <c r="BA27" s="230">
        <v>1501500</v>
      </c>
      <c r="BB27" s="230">
        <v>1587000</v>
      </c>
      <c r="BC27" s="229">
        <v>1.0569</v>
      </c>
      <c r="BD27" s="228">
        <v>0</v>
      </c>
      <c r="BE27" s="228">
        <v>0</v>
      </c>
      <c r="BF27" s="228">
        <v>0</v>
      </c>
      <c r="BG27" s="229">
        <v>0</v>
      </c>
      <c r="BH27" s="230">
        <v>33546000</v>
      </c>
      <c r="BI27" s="230">
        <v>24185250</v>
      </c>
      <c r="BJ27" s="230">
        <v>9360750</v>
      </c>
      <c r="BK27" s="229">
        <v>0.38700000000000001</v>
      </c>
      <c r="BL27" s="230">
        <v>20154000</v>
      </c>
      <c r="BM27" s="230">
        <v>14587500</v>
      </c>
      <c r="BN27" s="230">
        <v>5566500</v>
      </c>
      <c r="BO27" s="229">
        <v>0.38159999999999999</v>
      </c>
      <c r="BP27" s="230">
        <v>68457000</v>
      </c>
      <c r="BQ27" s="230">
        <v>47754750</v>
      </c>
      <c r="BR27" s="230">
        <v>20702250</v>
      </c>
      <c r="BS27" s="229">
        <v>0.4335</v>
      </c>
      <c r="BT27" s="230">
        <v>6770365</v>
      </c>
      <c r="BU27" s="230">
        <v>4894717</v>
      </c>
      <c r="BV27" s="230">
        <v>1875648</v>
      </c>
      <c r="BW27" s="229">
        <v>0.38319999999999999</v>
      </c>
      <c r="BX27" s="230">
        <v>88088250</v>
      </c>
      <c r="BY27" s="230">
        <v>88553250</v>
      </c>
      <c r="BZ27" s="230">
        <v>-465000</v>
      </c>
      <c r="CA27" s="229">
        <v>-5.3E-3</v>
      </c>
      <c r="CB27" s="230">
        <v>79263000</v>
      </c>
      <c r="CC27" s="230">
        <v>81031500</v>
      </c>
      <c r="CD27" s="230">
        <v>-1768500</v>
      </c>
      <c r="CE27" s="229">
        <v>-2.18E-2</v>
      </c>
      <c r="CF27" s="230">
        <v>6562500</v>
      </c>
      <c r="CG27" s="230">
        <v>5282250</v>
      </c>
      <c r="CH27" s="230">
        <v>1280250</v>
      </c>
      <c r="CI27" s="229">
        <v>0.2424</v>
      </c>
      <c r="CJ27" s="228">
        <v>0</v>
      </c>
      <c r="CK27" s="228">
        <v>0</v>
      </c>
      <c r="CL27" s="228">
        <v>0</v>
      </c>
      <c r="CM27" s="229">
        <v>0</v>
      </c>
      <c r="CN27" s="230">
        <v>20360250</v>
      </c>
      <c r="CO27" s="230">
        <v>20421750</v>
      </c>
      <c r="CP27" s="230">
        <v>-61500</v>
      </c>
      <c r="CQ27" s="229">
        <v>-3.0000000000000001E-3</v>
      </c>
      <c r="CR27" s="230">
        <v>17978250</v>
      </c>
      <c r="CS27" s="230">
        <v>17369250</v>
      </c>
      <c r="CT27" s="230">
        <v>609000</v>
      </c>
      <c r="CU27" s="229">
        <v>3.5099999999999999E-2</v>
      </c>
      <c r="CV27" s="230">
        <v>126426750</v>
      </c>
      <c r="CW27" s="230">
        <v>126344250</v>
      </c>
      <c r="CX27" s="230">
        <v>82500</v>
      </c>
      <c r="CY27" s="229">
        <v>6.9999999999999999E-4</v>
      </c>
      <c r="CZ27" s="228">
        <v>32.06</v>
      </c>
      <c r="DA27" s="228">
        <v>32.92</v>
      </c>
      <c r="DB27" s="228">
        <v>-0.86</v>
      </c>
      <c r="DC27" s="228">
        <v>-0.86</v>
      </c>
      <c r="DD27" s="228">
        <v>31.02</v>
      </c>
      <c r="DE27" s="228">
        <v>31.09</v>
      </c>
      <c r="DF27" s="228">
        <v>1.04</v>
      </c>
      <c r="DG27" s="228">
        <v>-7.0000000000000007E-2</v>
      </c>
      <c r="DH27" s="228">
        <v>31.48</v>
      </c>
      <c r="DI27" s="228">
        <v>32.17</v>
      </c>
      <c r="DJ27" s="228">
        <v>-0.69</v>
      </c>
      <c r="DK27" s="228">
        <v>-0.69</v>
      </c>
      <c r="DL27" s="228">
        <v>33.03</v>
      </c>
      <c r="DM27" s="228">
        <v>34.17</v>
      </c>
      <c r="DN27" s="228">
        <v>-1.1399999999999999</v>
      </c>
      <c r="DO27" s="228">
        <v>-1.1399999999999999</v>
      </c>
      <c r="DP27" s="228">
        <v>0.88</v>
      </c>
      <c r="DQ27" s="228">
        <v>0.85</v>
      </c>
      <c r="DR27" s="228">
        <v>0.03</v>
      </c>
      <c r="DS27" s="229">
        <v>3.5299999999999998E-2</v>
      </c>
      <c r="DT27" s="231">
        <v>1000</v>
      </c>
      <c r="DU27" s="228">
        <v>900</v>
      </c>
      <c r="DV27" s="228">
        <v>0.6</v>
      </c>
      <c r="DW27" s="228">
        <v>0.6</v>
      </c>
      <c r="DX27" s="228">
        <v>0</v>
      </c>
      <c r="DY27" s="229">
        <v>0</v>
      </c>
      <c r="DZ27" s="229">
        <v>7.4499999999999997E-2</v>
      </c>
      <c r="EA27" s="230">
        <v>5282250</v>
      </c>
      <c r="EB27" s="229">
        <v>4.8999999999999998E-3</v>
      </c>
      <c r="EC27" s="229">
        <v>7.4499999999999997E-2</v>
      </c>
      <c r="ED27" s="228">
        <v>4.3499999999999996</v>
      </c>
      <c r="EE27" s="229">
        <v>4.5999999999999999E-3</v>
      </c>
      <c r="EF27" s="230">
        <v>3058797</v>
      </c>
      <c r="EG27" s="230">
        <v>2462351</v>
      </c>
      <c r="EH27" s="229">
        <v>0.2422</v>
      </c>
      <c r="EI27" s="229">
        <v>0.45179999999999998</v>
      </c>
      <c r="EJ27" s="231">
        <v>330876.24</v>
      </c>
      <c r="EK27" s="231">
        <v>188659.21</v>
      </c>
      <c r="EL27" s="231">
        <v>140680.56</v>
      </c>
      <c r="EM27" s="228">
        <v>0</v>
      </c>
      <c r="EN27" s="231">
        <v>660216.01</v>
      </c>
      <c r="EO27" s="231">
        <v>457676.1</v>
      </c>
      <c r="EP27" s="231">
        <v>202539.91</v>
      </c>
      <c r="EQ27" s="229">
        <v>0.4425</v>
      </c>
      <c r="ER27" s="231">
        <v>198785</v>
      </c>
      <c r="ES27" s="231">
        <v>161638</v>
      </c>
      <c r="ET27" s="231">
        <v>842613</v>
      </c>
      <c r="EU27" s="231">
        <v>562142812</v>
      </c>
      <c r="EV27" s="231">
        <v>1203036</v>
      </c>
      <c r="EW27" s="231">
        <v>1197267</v>
      </c>
      <c r="EX27" s="231">
        <v>5769</v>
      </c>
      <c r="EY27" s="229">
        <v>4.7999999999999996E-3</v>
      </c>
      <c r="EZ27" s="229">
        <v>0.22489999999999999</v>
      </c>
      <c r="FA27" s="227" t="s">
        <v>556</v>
      </c>
      <c r="FB27" s="161">
        <f t="shared" si="0"/>
        <v>8825250</v>
      </c>
    </row>
    <row r="28" spans="1:158" ht="17.25" thickBot="1" x14ac:dyDescent="0.3">
      <c r="A28" s="226">
        <v>45860</v>
      </c>
      <c r="B28" s="227" t="s">
        <v>162</v>
      </c>
      <c r="C28" s="227" t="s">
        <v>178</v>
      </c>
      <c r="D28" s="228">
        <v>300</v>
      </c>
      <c r="E28" s="231">
        <v>2763.9</v>
      </c>
      <c r="F28" s="231">
        <v>2777.9</v>
      </c>
      <c r="G28" s="228">
        <v>-14</v>
      </c>
      <c r="H28" s="229">
        <v>-5.0000000000000001E-3</v>
      </c>
      <c r="I28" s="231">
        <v>2756.9</v>
      </c>
      <c r="J28" s="231">
        <v>2774</v>
      </c>
      <c r="K28" s="228">
        <v>-17.100000000000001</v>
      </c>
      <c r="L28" s="229">
        <v>-6.1999999999999998E-3</v>
      </c>
      <c r="M28" s="231">
        <v>2763.9</v>
      </c>
      <c r="N28" s="231">
        <v>2777.9</v>
      </c>
      <c r="O28" s="228">
        <v>-14</v>
      </c>
      <c r="P28" s="229">
        <v>-5.0000000000000001E-3</v>
      </c>
      <c r="Q28" s="228">
        <v>0</v>
      </c>
      <c r="R28" s="228">
        <v>0</v>
      </c>
      <c r="S28" s="228">
        <v>0</v>
      </c>
      <c r="T28" s="229">
        <v>0</v>
      </c>
      <c r="U28" s="228">
        <v>0</v>
      </c>
      <c r="V28" s="228">
        <v>0</v>
      </c>
      <c r="W28" s="228">
        <v>0</v>
      </c>
      <c r="X28" s="229">
        <v>0</v>
      </c>
      <c r="Y28" s="228">
        <v>7</v>
      </c>
      <c r="Z28" s="228">
        <v>3.9</v>
      </c>
      <c r="AA28" s="228">
        <v>3.1</v>
      </c>
      <c r="AB28" s="229">
        <v>2.5000000000000001E-3</v>
      </c>
      <c r="AC28" s="228">
        <v>7</v>
      </c>
      <c r="AD28" s="228">
        <v>3.9</v>
      </c>
      <c r="AE28" s="228">
        <v>3.1</v>
      </c>
      <c r="AF28" s="229">
        <v>2.5000000000000001E-3</v>
      </c>
      <c r="AG28" s="228">
        <v>0</v>
      </c>
      <c r="AH28" s="228">
        <v>0</v>
      </c>
      <c r="AI28" s="228">
        <v>0</v>
      </c>
      <c r="AJ28" s="229">
        <v>0</v>
      </c>
      <c r="AK28" s="228">
        <v>0</v>
      </c>
      <c r="AL28" s="228">
        <v>0</v>
      </c>
      <c r="AM28" s="228">
        <v>0</v>
      </c>
      <c r="AN28" s="229">
        <v>0</v>
      </c>
      <c r="AO28" s="231">
        <v>2774.47</v>
      </c>
      <c r="AP28" s="228">
        <v>0</v>
      </c>
      <c r="AQ28" s="228">
        <v>0</v>
      </c>
      <c r="AR28" s="230">
        <v>460500</v>
      </c>
      <c r="AS28" s="230">
        <v>441000</v>
      </c>
      <c r="AT28" s="230">
        <v>19500</v>
      </c>
      <c r="AU28" s="229">
        <v>4.4200000000000003E-2</v>
      </c>
      <c r="AV28" s="230">
        <v>460500</v>
      </c>
      <c r="AW28" s="230">
        <v>441000</v>
      </c>
      <c r="AX28" s="230">
        <v>19500</v>
      </c>
      <c r="AY28" s="229">
        <v>4.4200000000000003E-2</v>
      </c>
      <c r="AZ28" s="228">
        <v>0</v>
      </c>
      <c r="BA28" s="228">
        <v>0</v>
      </c>
      <c r="BB28" s="228">
        <v>0</v>
      </c>
      <c r="BC28" s="229">
        <v>0</v>
      </c>
      <c r="BD28" s="228">
        <v>0</v>
      </c>
      <c r="BE28" s="228">
        <v>0</v>
      </c>
      <c r="BF28" s="228">
        <v>0</v>
      </c>
      <c r="BG28" s="229">
        <v>0</v>
      </c>
      <c r="BH28" s="230">
        <v>810300</v>
      </c>
      <c r="BI28" s="230">
        <v>1586100</v>
      </c>
      <c r="BJ28" s="230">
        <v>-775800</v>
      </c>
      <c r="BK28" s="229">
        <v>-0.48909999999999998</v>
      </c>
      <c r="BL28" s="230">
        <v>398700</v>
      </c>
      <c r="BM28" s="230">
        <v>858300</v>
      </c>
      <c r="BN28" s="230">
        <v>-459600</v>
      </c>
      <c r="BO28" s="229">
        <v>-0.53549999999999998</v>
      </c>
      <c r="BP28" s="230">
        <v>1669500</v>
      </c>
      <c r="BQ28" s="230">
        <v>2885400</v>
      </c>
      <c r="BR28" s="230">
        <v>-1215900</v>
      </c>
      <c r="BS28" s="229">
        <v>-0.4214</v>
      </c>
      <c r="BT28" s="230">
        <v>231294</v>
      </c>
      <c r="BU28" s="230">
        <v>307602</v>
      </c>
      <c r="BV28" s="230">
        <v>-76308</v>
      </c>
      <c r="BW28" s="229">
        <v>-0.24809999999999999</v>
      </c>
      <c r="BX28" s="230">
        <v>1268100</v>
      </c>
      <c r="BY28" s="230">
        <v>1329600</v>
      </c>
      <c r="BZ28" s="230">
        <v>-61500</v>
      </c>
      <c r="CA28" s="229">
        <v>-4.6300000000000001E-2</v>
      </c>
      <c r="CB28" s="230">
        <v>1268100</v>
      </c>
      <c r="CC28" s="230">
        <v>1329600</v>
      </c>
      <c r="CD28" s="230">
        <v>-61500</v>
      </c>
      <c r="CE28" s="229">
        <v>-4.6300000000000001E-2</v>
      </c>
      <c r="CF28" s="228">
        <v>0</v>
      </c>
      <c r="CG28" s="228">
        <v>0</v>
      </c>
      <c r="CH28" s="228">
        <v>0</v>
      </c>
      <c r="CI28" s="229">
        <v>0</v>
      </c>
      <c r="CJ28" s="228">
        <v>0</v>
      </c>
      <c r="CK28" s="228">
        <v>0</v>
      </c>
      <c r="CL28" s="228">
        <v>0</v>
      </c>
      <c r="CM28" s="229">
        <v>0</v>
      </c>
      <c r="CN28" s="230">
        <v>1473000</v>
      </c>
      <c r="CO28" s="230">
        <v>1525800</v>
      </c>
      <c r="CP28" s="230">
        <v>-52800</v>
      </c>
      <c r="CQ28" s="229">
        <v>-3.4599999999999999E-2</v>
      </c>
      <c r="CR28" s="230">
        <v>963300</v>
      </c>
      <c r="CS28" s="230">
        <v>963900</v>
      </c>
      <c r="CT28" s="228">
        <v>-600</v>
      </c>
      <c r="CU28" s="229">
        <v>-5.9999999999999995E-4</v>
      </c>
      <c r="CV28" s="230">
        <v>3704400</v>
      </c>
      <c r="CW28" s="230">
        <v>3819300</v>
      </c>
      <c r="CX28" s="230">
        <v>-114900</v>
      </c>
      <c r="CY28" s="229">
        <v>-3.0099999999999998E-2</v>
      </c>
      <c r="CZ28" s="228">
        <v>32.64</v>
      </c>
      <c r="DA28" s="228">
        <v>32.01</v>
      </c>
      <c r="DB28" s="228">
        <v>0.63</v>
      </c>
      <c r="DC28" s="228">
        <v>0.63</v>
      </c>
      <c r="DD28" s="228">
        <v>33.799999999999997</v>
      </c>
      <c r="DE28" s="228">
        <v>33.869999999999997</v>
      </c>
      <c r="DF28" s="228">
        <v>-1.1599999999999999</v>
      </c>
      <c r="DG28" s="228">
        <v>-7.0000000000000007E-2</v>
      </c>
      <c r="DH28" s="228">
        <v>32.75</v>
      </c>
      <c r="DI28" s="228">
        <v>31.55</v>
      </c>
      <c r="DJ28" s="228">
        <v>1.2</v>
      </c>
      <c r="DK28" s="228">
        <v>1.2</v>
      </c>
      <c r="DL28" s="228">
        <v>32.409999999999997</v>
      </c>
      <c r="DM28" s="228">
        <v>32.869999999999997</v>
      </c>
      <c r="DN28" s="228">
        <v>-0.46</v>
      </c>
      <c r="DO28" s="228">
        <v>-0.46</v>
      </c>
      <c r="DP28" s="228">
        <v>0.65</v>
      </c>
      <c r="DQ28" s="228">
        <v>0.63</v>
      </c>
      <c r="DR28" s="228">
        <v>0.02</v>
      </c>
      <c r="DS28" s="229">
        <v>3.1699999999999999E-2</v>
      </c>
      <c r="DT28" s="231">
        <v>2700</v>
      </c>
      <c r="DU28" s="231">
        <v>2700</v>
      </c>
      <c r="DV28" s="228">
        <v>0.49</v>
      </c>
      <c r="DW28" s="228">
        <v>0.54</v>
      </c>
      <c r="DX28" s="228">
        <v>-0.05</v>
      </c>
      <c r="DY28" s="229">
        <v>-9.2600000000000002E-2</v>
      </c>
      <c r="DZ28" s="229">
        <v>0</v>
      </c>
      <c r="EA28" s="228">
        <v>0</v>
      </c>
      <c r="EB28" s="229">
        <v>0</v>
      </c>
      <c r="EC28" s="229">
        <v>0</v>
      </c>
      <c r="ED28" s="228">
        <v>0</v>
      </c>
      <c r="EE28" s="229">
        <v>0</v>
      </c>
      <c r="EF28" s="230">
        <v>98615</v>
      </c>
      <c r="EG28" s="230">
        <v>113197</v>
      </c>
      <c r="EH28" s="229">
        <v>-0.1288</v>
      </c>
      <c r="EI28" s="229">
        <v>0.4264</v>
      </c>
      <c r="EJ28" s="231">
        <v>23225.599999999999</v>
      </c>
      <c r="EK28" s="231">
        <v>10767.86</v>
      </c>
      <c r="EL28" s="231">
        <v>12776.43</v>
      </c>
      <c r="EM28" s="228">
        <v>0</v>
      </c>
      <c r="EN28" s="231">
        <v>46769.89</v>
      </c>
      <c r="EO28" s="231">
        <v>80696.429999999993</v>
      </c>
      <c r="EP28" s="231">
        <v>-33926.54</v>
      </c>
      <c r="EQ28" s="229">
        <v>-0.4204</v>
      </c>
      <c r="ER28" s="231">
        <v>40320</v>
      </c>
      <c r="ES28" s="231">
        <v>24959</v>
      </c>
      <c r="ET28" s="231">
        <v>35049</v>
      </c>
      <c r="EU28" s="231">
        <v>16125398</v>
      </c>
      <c r="EV28" s="231">
        <v>100328</v>
      </c>
      <c r="EW28" s="231">
        <v>103711</v>
      </c>
      <c r="EX28" s="231">
        <v>-3383</v>
      </c>
      <c r="EY28" s="229">
        <v>-3.2599999999999997E-2</v>
      </c>
      <c r="EZ28" s="229">
        <v>0.22969999999999999</v>
      </c>
      <c r="FA28" s="227" t="s">
        <v>568</v>
      </c>
      <c r="FB28" s="161">
        <f t="shared" si="0"/>
        <v>0</v>
      </c>
    </row>
    <row r="29" spans="1:158" ht="17.25" thickBot="1" x14ac:dyDescent="0.3">
      <c r="A29" s="226">
        <v>45860</v>
      </c>
      <c r="B29" s="227" t="s">
        <v>172</v>
      </c>
      <c r="C29" s="227" t="s">
        <v>179</v>
      </c>
      <c r="D29" s="228">
        <v>3600</v>
      </c>
      <c r="E29" s="228">
        <v>181.38</v>
      </c>
      <c r="F29" s="228">
        <v>182.52</v>
      </c>
      <c r="G29" s="228">
        <v>-1.1399999999999999</v>
      </c>
      <c r="H29" s="229">
        <v>-6.1999999999999998E-3</v>
      </c>
      <c r="I29" s="228">
        <v>180.94</v>
      </c>
      <c r="J29" s="228">
        <v>182.25</v>
      </c>
      <c r="K29" s="228">
        <v>-1.31</v>
      </c>
      <c r="L29" s="229">
        <v>-7.1999999999999998E-3</v>
      </c>
      <c r="M29" s="228">
        <v>181.38</v>
      </c>
      <c r="N29" s="228">
        <v>182.52</v>
      </c>
      <c r="O29" s="228">
        <v>-1.1399999999999999</v>
      </c>
      <c r="P29" s="229">
        <v>-6.1999999999999998E-3</v>
      </c>
      <c r="Q29" s="228">
        <v>181.56</v>
      </c>
      <c r="R29" s="228">
        <v>181.72</v>
      </c>
      <c r="S29" s="228">
        <v>-0.16</v>
      </c>
      <c r="T29" s="229">
        <v>-8.9999999999999998E-4</v>
      </c>
      <c r="U29" s="228">
        <v>0</v>
      </c>
      <c r="V29" s="228">
        <v>0</v>
      </c>
      <c r="W29" s="228">
        <v>0</v>
      </c>
      <c r="X29" s="229">
        <v>0</v>
      </c>
      <c r="Y29" s="228">
        <v>0.44</v>
      </c>
      <c r="Z29" s="228">
        <v>0.27</v>
      </c>
      <c r="AA29" s="228">
        <v>0.17</v>
      </c>
      <c r="AB29" s="229">
        <v>2.3999999999999998E-3</v>
      </c>
      <c r="AC29" s="228">
        <v>0.44</v>
      </c>
      <c r="AD29" s="228">
        <v>0.27</v>
      </c>
      <c r="AE29" s="228">
        <v>0.17</v>
      </c>
      <c r="AF29" s="229">
        <v>2.3999999999999998E-3</v>
      </c>
      <c r="AG29" s="228">
        <v>0.62</v>
      </c>
      <c r="AH29" s="228">
        <v>-0.53</v>
      </c>
      <c r="AI29" s="228">
        <v>1.1499999999999999</v>
      </c>
      <c r="AJ29" s="229">
        <v>3.3999999999999998E-3</v>
      </c>
      <c r="AK29" s="228">
        <v>0</v>
      </c>
      <c r="AL29" s="228">
        <v>0</v>
      </c>
      <c r="AM29" s="228">
        <v>0</v>
      </c>
      <c r="AN29" s="229">
        <v>0</v>
      </c>
      <c r="AO29" s="228">
        <v>180.9</v>
      </c>
      <c r="AP29" s="228">
        <v>180.87</v>
      </c>
      <c r="AQ29" s="228">
        <v>0</v>
      </c>
      <c r="AR29" s="230">
        <v>3844800</v>
      </c>
      <c r="AS29" s="230">
        <v>9176400</v>
      </c>
      <c r="AT29" s="230">
        <v>-5331600</v>
      </c>
      <c r="AU29" s="229">
        <v>-0.58099999999999996</v>
      </c>
      <c r="AV29" s="230">
        <v>2491200</v>
      </c>
      <c r="AW29" s="230">
        <v>7920000</v>
      </c>
      <c r="AX29" s="230">
        <v>-5428800</v>
      </c>
      <c r="AY29" s="229">
        <v>-0.6855</v>
      </c>
      <c r="AZ29" s="230">
        <v>1346400</v>
      </c>
      <c r="BA29" s="230">
        <v>1224000</v>
      </c>
      <c r="BB29" s="230">
        <v>122400</v>
      </c>
      <c r="BC29" s="229">
        <v>0.1</v>
      </c>
      <c r="BD29" s="228">
        <v>0</v>
      </c>
      <c r="BE29" s="228">
        <v>0</v>
      </c>
      <c r="BF29" s="228">
        <v>0</v>
      </c>
      <c r="BG29" s="229">
        <v>0</v>
      </c>
      <c r="BH29" s="230">
        <v>2437200</v>
      </c>
      <c r="BI29" s="230">
        <v>11196000</v>
      </c>
      <c r="BJ29" s="230">
        <v>-8758800</v>
      </c>
      <c r="BK29" s="229">
        <v>-0.7823</v>
      </c>
      <c r="BL29" s="230">
        <v>828000</v>
      </c>
      <c r="BM29" s="230">
        <v>6066000</v>
      </c>
      <c r="BN29" s="230">
        <v>-5238000</v>
      </c>
      <c r="BO29" s="229">
        <v>-0.86350000000000005</v>
      </c>
      <c r="BP29" s="230">
        <v>7110000</v>
      </c>
      <c r="BQ29" s="230">
        <v>26438400</v>
      </c>
      <c r="BR29" s="230">
        <v>-19328400</v>
      </c>
      <c r="BS29" s="229">
        <v>-0.73109999999999997</v>
      </c>
      <c r="BT29" s="230">
        <v>7050585</v>
      </c>
      <c r="BU29" s="230">
        <v>18002666</v>
      </c>
      <c r="BV29" s="230">
        <v>-10952081</v>
      </c>
      <c r="BW29" s="229">
        <v>-0.60840000000000005</v>
      </c>
      <c r="BX29" s="230">
        <v>106297200</v>
      </c>
      <c r="BY29" s="230">
        <v>110106000</v>
      </c>
      <c r="BZ29" s="230">
        <v>-3808800</v>
      </c>
      <c r="CA29" s="229">
        <v>-3.4599999999999999E-2</v>
      </c>
      <c r="CB29" s="230">
        <v>66502800</v>
      </c>
      <c r="CC29" s="230">
        <v>68958000</v>
      </c>
      <c r="CD29" s="230">
        <v>-2455200</v>
      </c>
      <c r="CE29" s="229">
        <v>-3.56E-2</v>
      </c>
      <c r="CF29" s="230">
        <v>38746800</v>
      </c>
      <c r="CG29" s="230">
        <v>40093200</v>
      </c>
      <c r="CH29" s="230">
        <v>-1346400</v>
      </c>
      <c r="CI29" s="229">
        <v>-3.3599999999999998E-2</v>
      </c>
      <c r="CJ29" s="228">
        <v>0</v>
      </c>
      <c r="CK29" s="228">
        <v>0</v>
      </c>
      <c r="CL29" s="228">
        <v>0</v>
      </c>
      <c r="CM29" s="229">
        <v>0</v>
      </c>
      <c r="CN29" s="230">
        <v>38707200</v>
      </c>
      <c r="CO29" s="230">
        <v>41144400</v>
      </c>
      <c r="CP29" s="230">
        <v>-2437200</v>
      </c>
      <c r="CQ29" s="229">
        <v>-5.9200000000000003E-2</v>
      </c>
      <c r="CR29" s="230">
        <v>21740400</v>
      </c>
      <c r="CS29" s="230">
        <v>22568400</v>
      </c>
      <c r="CT29" s="230">
        <v>-828000</v>
      </c>
      <c r="CU29" s="229">
        <v>-3.6700000000000003E-2</v>
      </c>
      <c r="CV29" s="230">
        <v>166744800</v>
      </c>
      <c r="CW29" s="230">
        <v>173818800</v>
      </c>
      <c r="CX29" s="230">
        <v>-7074000</v>
      </c>
      <c r="CY29" s="229">
        <v>-4.07E-2</v>
      </c>
      <c r="CZ29" s="228">
        <v>33.49</v>
      </c>
      <c r="DA29" s="228">
        <v>34.619999999999997</v>
      </c>
      <c r="DB29" s="228">
        <v>-1.1299999999999999</v>
      </c>
      <c r="DC29" s="228">
        <v>-1.1299999999999999</v>
      </c>
      <c r="DD29" s="228">
        <v>44.49</v>
      </c>
      <c r="DE29" s="228">
        <v>44.59</v>
      </c>
      <c r="DF29" s="228">
        <v>-11</v>
      </c>
      <c r="DG29" s="228">
        <v>-0.1</v>
      </c>
      <c r="DH29" s="228">
        <v>33.92</v>
      </c>
      <c r="DI29" s="228">
        <v>34.54</v>
      </c>
      <c r="DJ29" s="228">
        <v>-0.62</v>
      </c>
      <c r="DK29" s="228">
        <v>-0.62</v>
      </c>
      <c r="DL29" s="228">
        <v>32.22</v>
      </c>
      <c r="DM29" s="228">
        <v>34.76</v>
      </c>
      <c r="DN29" s="228">
        <v>-2.54</v>
      </c>
      <c r="DO29" s="228">
        <v>-2.54</v>
      </c>
      <c r="DP29" s="228">
        <v>0.56000000000000005</v>
      </c>
      <c r="DQ29" s="228">
        <v>0.55000000000000004</v>
      </c>
      <c r="DR29" s="228">
        <v>0.01</v>
      </c>
      <c r="DS29" s="229">
        <v>1.8200000000000001E-2</v>
      </c>
      <c r="DT29" s="228">
        <v>190</v>
      </c>
      <c r="DU29" s="228">
        <v>180</v>
      </c>
      <c r="DV29" s="228">
        <v>0.34</v>
      </c>
      <c r="DW29" s="228">
        <v>0.54</v>
      </c>
      <c r="DX29" s="228">
        <v>-0.2</v>
      </c>
      <c r="DY29" s="229">
        <v>-0.37040000000000001</v>
      </c>
      <c r="DZ29" s="229">
        <v>0.36449999999999999</v>
      </c>
      <c r="EA29" s="230">
        <v>40093200</v>
      </c>
      <c r="EB29" s="229">
        <v>1E-3</v>
      </c>
      <c r="EC29" s="229">
        <v>0.36449999999999999</v>
      </c>
      <c r="ED29" s="228">
        <v>-0.03</v>
      </c>
      <c r="EE29" s="229">
        <v>-2.0000000000000001E-4</v>
      </c>
      <c r="EF29" s="230">
        <v>2925883</v>
      </c>
      <c r="EG29" s="230">
        <v>6961328</v>
      </c>
      <c r="EH29" s="229">
        <v>-0.57969999999999999</v>
      </c>
      <c r="EI29" s="229">
        <v>0.41499999999999998</v>
      </c>
      <c r="EJ29" s="231">
        <v>4707.37</v>
      </c>
      <c r="EK29" s="231">
        <v>1519.28</v>
      </c>
      <c r="EL29" s="231">
        <v>6955.01</v>
      </c>
      <c r="EM29" s="228">
        <v>0</v>
      </c>
      <c r="EN29" s="231">
        <v>13181.66</v>
      </c>
      <c r="EO29" s="231">
        <v>49506.559999999998</v>
      </c>
      <c r="EP29" s="231">
        <v>-36324.9</v>
      </c>
      <c r="EQ29" s="229">
        <v>-0.73370000000000002</v>
      </c>
      <c r="ER29" s="231">
        <v>74397</v>
      </c>
      <c r="ES29" s="231">
        <v>38488</v>
      </c>
      <c r="ET29" s="231">
        <v>192868</v>
      </c>
      <c r="EU29" s="231">
        <v>193371109</v>
      </c>
      <c r="EV29" s="231">
        <v>305752</v>
      </c>
      <c r="EW29" s="231">
        <v>319670</v>
      </c>
      <c r="EX29" s="231">
        <v>-13918</v>
      </c>
      <c r="EY29" s="229">
        <v>-4.3499999999999997E-2</v>
      </c>
      <c r="EZ29" s="229">
        <v>0.86229999999999996</v>
      </c>
      <c r="FA29" s="227" t="s">
        <v>568</v>
      </c>
      <c r="FB29" s="161">
        <f t="shared" si="0"/>
        <v>39794400</v>
      </c>
    </row>
    <row r="30" spans="1:158" ht="17.25" thickBot="1" x14ac:dyDescent="0.3">
      <c r="A30" s="226">
        <v>45860</v>
      </c>
      <c r="B30" s="227" t="s">
        <v>172</v>
      </c>
      <c r="C30" s="227" t="s">
        <v>180</v>
      </c>
      <c r="D30" s="228">
        <v>2925</v>
      </c>
      <c r="E30" s="228">
        <v>239.72</v>
      </c>
      <c r="F30" s="228">
        <v>244.08</v>
      </c>
      <c r="G30" s="228">
        <v>-4.3600000000000003</v>
      </c>
      <c r="H30" s="229">
        <v>-1.7899999999999999E-2</v>
      </c>
      <c r="I30" s="228">
        <v>239.48</v>
      </c>
      <c r="J30" s="228">
        <v>243.39</v>
      </c>
      <c r="K30" s="228">
        <v>-3.91</v>
      </c>
      <c r="L30" s="229">
        <v>-1.61E-2</v>
      </c>
      <c r="M30" s="228">
        <v>239.72</v>
      </c>
      <c r="N30" s="228">
        <v>244.08</v>
      </c>
      <c r="O30" s="228">
        <v>-4.3600000000000003</v>
      </c>
      <c r="P30" s="229">
        <v>-1.7899999999999999E-2</v>
      </c>
      <c r="Q30" s="228">
        <v>240.9</v>
      </c>
      <c r="R30" s="228">
        <v>245.26</v>
      </c>
      <c r="S30" s="228">
        <v>-4.3600000000000003</v>
      </c>
      <c r="T30" s="229">
        <v>-1.78E-2</v>
      </c>
      <c r="U30" s="228">
        <v>0</v>
      </c>
      <c r="V30" s="228">
        <v>0</v>
      </c>
      <c r="W30" s="228">
        <v>0</v>
      </c>
      <c r="X30" s="229">
        <v>0</v>
      </c>
      <c r="Y30" s="228">
        <v>0.24</v>
      </c>
      <c r="Z30" s="228">
        <v>0.69</v>
      </c>
      <c r="AA30" s="228">
        <v>-0.45</v>
      </c>
      <c r="AB30" s="229">
        <v>1E-3</v>
      </c>
      <c r="AC30" s="228">
        <v>0.24</v>
      </c>
      <c r="AD30" s="228">
        <v>0.69</v>
      </c>
      <c r="AE30" s="228">
        <v>-0.45</v>
      </c>
      <c r="AF30" s="229">
        <v>1E-3</v>
      </c>
      <c r="AG30" s="228">
        <v>1.42</v>
      </c>
      <c r="AH30" s="228">
        <v>1.87</v>
      </c>
      <c r="AI30" s="228">
        <v>-0.45</v>
      </c>
      <c r="AJ30" s="229">
        <v>5.8999999999999999E-3</v>
      </c>
      <c r="AK30" s="228">
        <v>0</v>
      </c>
      <c r="AL30" s="228">
        <v>0</v>
      </c>
      <c r="AM30" s="228">
        <v>0</v>
      </c>
      <c r="AN30" s="229">
        <v>0</v>
      </c>
      <c r="AO30" s="228">
        <v>241.5</v>
      </c>
      <c r="AP30" s="228">
        <v>242.68</v>
      </c>
      <c r="AQ30" s="228">
        <v>0</v>
      </c>
      <c r="AR30" s="230">
        <v>26076375</v>
      </c>
      <c r="AS30" s="230">
        <v>25561575</v>
      </c>
      <c r="AT30" s="230">
        <v>514800</v>
      </c>
      <c r="AU30" s="229">
        <v>2.01E-2</v>
      </c>
      <c r="AV30" s="230">
        <v>19951425</v>
      </c>
      <c r="AW30" s="230">
        <v>18939375</v>
      </c>
      <c r="AX30" s="230">
        <v>1012050</v>
      </c>
      <c r="AY30" s="229">
        <v>5.3400000000000003E-2</v>
      </c>
      <c r="AZ30" s="230">
        <v>5893875</v>
      </c>
      <c r="BA30" s="230">
        <v>6473025</v>
      </c>
      <c r="BB30" s="230">
        <v>-579150</v>
      </c>
      <c r="BC30" s="229">
        <v>-8.9499999999999996E-2</v>
      </c>
      <c r="BD30" s="228">
        <v>0</v>
      </c>
      <c r="BE30" s="228">
        <v>0</v>
      </c>
      <c r="BF30" s="228">
        <v>0</v>
      </c>
      <c r="BG30" s="229">
        <v>0</v>
      </c>
      <c r="BH30" s="230">
        <v>54946125</v>
      </c>
      <c r="BI30" s="230">
        <v>43313400</v>
      </c>
      <c r="BJ30" s="230">
        <v>11632725</v>
      </c>
      <c r="BK30" s="229">
        <v>0.26860000000000001</v>
      </c>
      <c r="BL30" s="230">
        <v>51392250</v>
      </c>
      <c r="BM30" s="230">
        <v>31315050</v>
      </c>
      <c r="BN30" s="230">
        <v>20077200</v>
      </c>
      <c r="BO30" s="229">
        <v>0.6411</v>
      </c>
      <c r="BP30" s="230">
        <v>132414750</v>
      </c>
      <c r="BQ30" s="230">
        <v>100190025</v>
      </c>
      <c r="BR30" s="230">
        <v>32224725</v>
      </c>
      <c r="BS30" s="229">
        <v>0.3216</v>
      </c>
      <c r="BT30" s="230">
        <v>7868161</v>
      </c>
      <c r="BU30" s="230">
        <v>5290829</v>
      </c>
      <c r="BV30" s="230">
        <v>2577332</v>
      </c>
      <c r="BW30" s="229">
        <v>0.48709999999999998</v>
      </c>
      <c r="BX30" s="230">
        <v>104630175</v>
      </c>
      <c r="BY30" s="230">
        <v>103506975</v>
      </c>
      <c r="BZ30" s="230">
        <v>1123200</v>
      </c>
      <c r="CA30" s="229">
        <v>1.09E-2</v>
      </c>
      <c r="CB30" s="230">
        <v>85524075</v>
      </c>
      <c r="CC30" s="230">
        <v>86825700</v>
      </c>
      <c r="CD30" s="230">
        <v>-1301625</v>
      </c>
      <c r="CE30" s="229">
        <v>-1.4999999999999999E-2</v>
      </c>
      <c r="CF30" s="230">
        <v>18500625</v>
      </c>
      <c r="CG30" s="230">
        <v>16213275</v>
      </c>
      <c r="CH30" s="230">
        <v>2287350</v>
      </c>
      <c r="CI30" s="229">
        <v>0.1411</v>
      </c>
      <c r="CJ30" s="228">
        <v>0</v>
      </c>
      <c r="CK30" s="228">
        <v>0</v>
      </c>
      <c r="CL30" s="228">
        <v>0</v>
      </c>
      <c r="CM30" s="229">
        <v>0</v>
      </c>
      <c r="CN30" s="230">
        <v>49780575</v>
      </c>
      <c r="CO30" s="230">
        <v>48443850</v>
      </c>
      <c r="CP30" s="230">
        <v>1336725</v>
      </c>
      <c r="CQ30" s="229">
        <v>2.76E-2</v>
      </c>
      <c r="CR30" s="230">
        <v>43538625</v>
      </c>
      <c r="CS30" s="230">
        <v>41970825</v>
      </c>
      <c r="CT30" s="230">
        <v>1567800</v>
      </c>
      <c r="CU30" s="229">
        <v>3.7400000000000003E-2</v>
      </c>
      <c r="CV30" s="230">
        <v>197949375</v>
      </c>
      <c r="CW30" s="230">
        <v>193921650</v>
      </c>
      <c r="CX30" s="230">
        <v>4027725</v>
      </c>
      <c r="CY30" s="229">
        <v>2.0799999999999999E-2</v>
      </c>
      <c r="CZ30" s="228">
        <v>35.94</v>
      </c>
      <c r="DA30" s="228">
        <v>34</v>
      </c>
      <c r="DB30" s="228">
        <v>1.94</v>
      </c>
      <c r="DC30" s="228">
        <v>1.94</v>
      </c>
      <c r="DD30" s="228">
        <v>38.659999999999997</v>
      </c>
      <c r="DE30" s="228">
        <v>38.68</v>
      </c>
      <c r="DF30" s="228">
        <v>-2.72</v>
      </c>
      <c r="DG30" s="228">
        <v>-0.02</v>
      </c>
      <c r="DH30" s="228">
        <v>36.130000000000003</v>
      </c>
      <c r="DI30" s="228">
        <v>34.01</v>
      </c>
      <c r="DJ30" s="228">
        <v>2.12</v>
      </c>
      <c r="DK30" s="228">
        <v>2.12</v>
      </c>
      <c r="DL30" s="228">
        <v>35.729999999999997</v>
      </c>
      <c r="DM30" s="228">
        <v>34</v>
      </c>
      <c r="DN30" s="228">
        <v>1.73</v>
      </c>
      <c r="DO30" s="228">
        <v>1.73</v>
      </c>
      <c r="DP30" s="228">
        <v>0.87</v>
      </c>
      <c r="DQ30" s="228">
        <v>0.87</v>
      </c>
      <c r="DR30" s="228">
        <v>0</v>
      </c>
      <c r="DS30" s="229">
        <v>0</v>
      </c>
      <c r="DT30" s="228">
        <v>250</v>
      </c>
      <c r="DU30" s="228">
        <v>220</v>
      </c>
      <c r="DV30" s="228">
        <v>0.94</v>
      </c>
      <c r="DW30" s="228">
        <v>0.72</v>
      </c>
      <c r="DX30" s="228">
        <v>0.22</v>
      </c>
      <c r="DY30" s="229">
        <v>0.30559999999999998</v>
      </c>
      <c r="DZ30" s="229">
        <v>0.17680000000000001</v>
      </c>
      <c r="EA30" s="230">
        <v>16213275</v>
      </c>
      <c r="EB30" s="229">
        <v>4.8999999999999998E-3</v>
      </c>
      <c r="EC30" s="229">
        <v>0.17680000000000001</v>
      </c>
      <c r="ED30" s="228">
        <v>1.18</v>
      </c>
      <c r="EE30" s="229">
        <v>4.8999999999999998E-3</v>
      </c>
      <c r="EF30" s="230">
        <v>4177772</v>
      </c>
      <c r="EG30" s="230">
        <v>2141734</v>
      </c>
      <c r="EH30" s="229">
        <v>0.9506</v>
      </c>
      <c r="EI30" s="229">
        <v>0.53100000000000003</v>
      </c>
      <c r="EJ30" s="231">
        <v>137815.98000000001</v>
      </c>
      <c r="EK30" s="231">
        <v>125962.92</v>
      </c>
      <c r="EL30" s="231">
        <v>63049.74</v>
      </c>
      <c r="EM30" s="228">
        <v>0</v>
      </c>
      <c r="EN30" s="231">
        <v>326828.64</v>
      </c>
      <c r="EO30" s="231">
        <v>249007.05</v>
      </c>
      <c r="EP30" s="231">
        <v>77821.59</v>
      </c>
      <c r="EQ30" s="229">
        <v>0.3125</v>
      </c>
      <c r="ER30" s="231">
        <v>124144</v>
      </c>
      <c r="ES30" s="231">
        <v>103470</v>
      </c>
      <c r="ET30" s="231">
        <v>251052</v>
      </c>
      <c r="EU30" s="231">
        <v>372635498</v>
      </c>
      <c r="EV30" s="231">
        <v>478667</v>
      </c>
      <c r="EW30" s="231">
        <v>473537</v>
      </c>
      <c r="EX30" s="231">
        <v>5130</v>
      </c>
      <c r="EY30" s="229">
        <v>1.0800000000000001E-2</v>
      </c>
      <c r="EZ30" s="229">
        <v>0.53120000000000001</v>
      </c>
      <c r="FA30" s="227" t="s">
        <v>567</v>
      </c>
      <c r="FB30" s="161">
        <f t="shared" si="0"/>
        <v>19106100</v>
      </c>
    </row>
    <row r="31" spans="1:158" ht="17.25" thickBot="1" x14ac:dyDescent="0.3">
      <c r="A31" s="226">
        <v>45860</v>
      </c>
      <c r="B31" s="227" t="s">
        <v>172</v>
      </c>
      <c r="C31" s="227" t="s">
        <v>603</v>
      </c>
      <c r="D31" s="228">
        <v>5200</v>
      </c>
      <c r="E31" s="228">
        <v>113.16</v>
      </c>
      <c r="F31" s="228">
        <v>114.79</v>
      </c>
      <c r="G31" s="228">
        <v>-1.63</v>
      </c>
      <c r="H31" s="229">
        <v>-1.4200000000000001E-2</v>
      </c>
      <c r="I31" s="228">
        <v>113.13</v>
      </c>
      <c r="J31" s="228">
        <v>114.67</v>
      </c>
      <c r="K31" s="228">
        <v>-1.54</v>
      </c>
      <c r="L31" s="229">
        <v>-1.34E-2</v>
      </c>
      <c r="M31" s="228">
        <v>113.16</v>
      </c>
      <c r="N31" s="228">
        <v>114.79</v>
      </c>
      <c r="O31" s="228">
        <v>-1.63</v>
      </c>
      <c r="P31" s="229">
        <v>-1.4200000000000001E-2</v>
      </c>
      <c r="Q31" s="228">
        <v>113.76</v>
      </c>
      <c r="R31" s="228">
        <v>115.39</v>
      </c>
      <c r="S31" s="228">
        <v>-1.63</v>
      </c>
      <c r="T31" s="229">
        <v>-1.41E-2</v>
      </c>
      <c r="U31" s="228">
        <v>0</v>
      </c>
      <c r="V31" s="228">
        <v>0</v>
      </c>
      <c r="W31" s="228">
        <v>0</v>
      </c>
      <c r="X31" s="229">
        <v>0</v>
      </c>
      <c r="Y31" s="228">
        <v>0.03</v>
      </c>
      <c r="Z31" s="228">
        <v>0.12</v>
      </c>
      <c r="AA31" s="228">
        <v>-0.09</v>
      </c>
      <c r="AB31" s="229">
        <v>2.9999999999999997E-4</v>
      </c>
      <c r="AC31" s="228">
        <v>0.03</v>
      </c>
      <c r="AD31" s="228">
        <v>0.12</v>
      </c>
      <c r="AE31" s="228">
        <v>-0.09</v>
      </c>
      <c r="AF31" s="229">
        <v>2.9999999999999997E-4</v>
      </c>
      <c r="AG31" s="228">
        <v>0.63</v>
      </c>
      <c r="AH31" s="228">
        <v>0.72</v>
      </c>
      <c r="AI31" s="228">
        <v>-0.09</v>
      </c>
      <c r="AJ31" s="229">
        <v>5.5999999999999999E-3</v>
      </c>
      <c r="AK31" s="228">
        <v>0</v>
      </c>
      <c r="AL31" s="228">
        <v>0</v>
      </c>
      <c r="AM31" s="228">
        <v>0</v>
      </c>
      <c r="AN31" s="229">
        <v>0</v>
      </c>
      <c r="AO31" s="228">
        <v>113.76</v>
      </c>
      <c r="AP31" s="228">
        <v>114.4</v>
      </c>
      <c r="AQ31" s="228">
        <v>0</v>
      </c>
      <c r="AR31" s="230">
        <v>12693200</v>
      </c>
      <c r="AS31" s="230">
        <v>12116000</v>
      </c>
      <c r="AT31" s="230">
        <v>577200</v>
      </c>
      <c r="AU31" s="229">
        <v>4.7600000000000003E-2</v>
      </c>
      <c r="AV31" s="230">
        <v>8892000</v>
      </c>
      <c r="AW31" s="230">
        <v>10062000</v>
      </c>
      <c r="AX31" s="230">
        <v>-1170000</v>
      </c>
      <c r="AY31" s="229">
        <v>-0.1163</v>
      </c>
      <c r="AZ31" s="230">
        <v>3525600</v>
      </c>
      <c r="BA31" s="230">
        <v>1913600</v>
      </c>
      <c r="BB31" s="230">
        <v>1612000</v>
      </c>
      <c r="BC31" s="229">
        <v>0.84240000000000004</v>
      </c>
      <c r="BD31" s="228">
        <v>0</v>
      </c>
      <c r="BE31" s="228">
        <v>0</v>
      </c>
      <c r="BF31" s="228">
        <v>0</v>
      </c>
      <c r="BG31" s="229">
        <v>0</v>
      </c>
      <c r="BH31" s="230">
        <v>12069200</v>
      </c>
      <c r="BI31" s="230">
        <v>22770800</v>
      </c>
      <c r="BJ31" s="230">
        <v>-10701600</v>
      </c>
      <c r="BK31" s="229">
        <v>-0.47</v>
      </c>
      <c r="BL31" s="230">
        <v>5605600</v>
      </c>
      <c r="BM31" s="230">
        <v>10566400</v>
      </c>
      <c r="BN31" s="230">
        <v>-4960800</v>
      </c>
      <c r="BO31" s="229">
        <v>-0.46949999999999997</v>
      </c>
      <c r="BP31" s="230">
        <v>30368000</v>
      </c>
      <c r="BQ31" s="230">
        <v>45453200</v>
      </c>
      <c r="BR31" s="230">
        <v>-15085200</v>
      </c>
      <c r="BS31" s="229">
        <v>-0.33189999999999997</v>
      </c>
      <c r="BT31" s="230">
        <v>4815528</v>
      </c>
      <c r="BU31" s="230">
        <v>3995506</v>
      </c>
      <c r="BV31" s="230">
        <v>820022</v>
      </c>
      <c r="BW31" s="229">
        <v>0.20519999999999999</v>
      </c>
      <c r="BX31" s="230">
        <v>72576400</v>
      </c>
      <c r="BY31" s="230">
        <v>71344000</v>
      </c>
      <c r="BZ31" s="230">
        <v>1232400</v>
      </c>
      <c r="CA31" s="229">
        <v>1.7299999999999999E-2</v>
      </c>
      <c r="CB31" s="230">
        <v>62134800</v>
      </c>
      <c r="CC31" s="230">
        <v>63450400</v>
      </c>
      <c r="CD31" s="230">
        <v>-1315600</v>
      </c>
      <c r="CE31" s="229">
        <v>-2.07E-2</v>
      </c>
      <c r="CF31" s="230">
        <v>9614800</v>
      </c>
      <c r="CG31" s="230">
        <v>7217600</v>
      </c>
      <c r="CH31" s="230">
        <v>2397200</v>
      </c>
      <c r="CI31" s="229">
        <v>0.33210000000000001</v>
      </c>
      <c r="CJ31" s="228">
        <v>0</v>
      </c>
      <c r="CK31" s="228">
        <v>0</v>
      </c>
      <c r="CL31" s="228">
        <v>0</v>
      </c>
      <c r="CM31" s="229">
        <v>0</v>
      </c>
      <c r="CN31" s="230">
        <v>37200800</v>
      </c>
      <c r="CO31" s="230">
        <v>38376000</v>
      </c>
      <c r="CP31" s="230">
        <v>-1175200</v>
      </c>
      <c r="CQ31" s="229">
        <v>-3.0599999999999999E-2</v>
      </c>
      <c r="CR31" s="230">
        <v>22552400</v>
      </c>
      <c r="CS31" s="230">
        <v>22370400</v>
      </c>
      <c r="CT31" s="230">
        <v>182000</v>
      </c>
      <c r="CU31" s="229">
        <v>8.0999999999999996E-3</v>
      </c>
      <c r="CV31" s="230">
        <v>132329600</v>
      </c>
      <c r="CW31" s="230">
        <v>132090400</v>
      </c>
      <c r="CX31" s="230">
        <v>239200</v>
      </c>
      <c r="CY31" s="229">
        <v>1.8E-3</v>
      </c>
      <c r="CZ31" s="228">
        <v>37.85</v>
      </c>
      <c r="DA31" s="228">
        <v>36.11</v>
      </c>
      <c r="DB31" s="228">
        <v>1.74</v>
      </c>
      <c r="DC31" s="228">
        <v>1.74</v>
      </c>
      <c r="DD31" s="228">
        <v>42.57</v>
      </c>
      <c r="DE31" s="228">
        <v>42.63</v>
      </c>
      <c r="DF31" s="228">
        <v>-4.72</v>
      </c>
      <c r="DG31" s="228">
        <v>-0.06</v>
      </c>
      <c r="DH31" s="228">
        <v>38.94</v>
      </c>
      <c r="DI31" s="228">
        <v>36.64</v>
      </c>
      <c r="DJ31" s="228">
        <v>2.2999999999999998</v>
      </c>
      <c r="DK31" s="228">
        <v>2.2999999999999998</v>
      </c>
      <c r="DL31" s="228">
        <v>35.51</v>
      </c>
      <c r="DM31" s="228">
        <v>34.96</v>
      </c>
      <c r="DN31" s="228">
        <v>0.55000000000000004</v>
      </c>
      <c r="DO31" s="228">
        <v>0.55000000000000004</v>
      </c>
      <c r="DP31" s="228">
        <v>0.61</v>
      </c>
      <c r="DQ31" s="228">
        <v>0.57999999999999996</v>
      </c>
      <c r="DR31" s="228">
        <v>0.03</v>
      </c>
      <c r="DS31" s="229">
        <v>5.1700000000000003E-2</v>
      </c>
      <c r="DT31" s="228">
        <v>120</v>
      </c>
      <c r="DU31" s="228">
        <v>115</v>
      </c>
      <c r="DV31" s="228">
        <v>0.46</v>
      </c>
      <c r="DW31" s="228">
        <v>0.46</v>
      </c>
      <c r="DX31" s="228">
        <v>0</v>
      </c>
      <c r="DY31" s="229">
        <v>0</v>
      </c>
      <c r="DZ31" s="229">
        <v>0.13250000000000001</v>
      </c>
      <c r="EA31" s="230">
        <v>7217600</v>
      </c>
      <c r="EB31" s="229">
        <v>5.3E-3</v>
      </c>
      <c r="EC31" s="229">
        <v>0.13250000000000001</v>
      </c>
      <c r="ED31" s="228">
        <v>0.64</v>
      </c>
      <c r="EE31" s="229">
        <v>5.5999999999999999E-3</v>
      </c>
      <c r="EF31" s="230">
        <v>2586027</v>
      </c>
      <c r="EG31" s="230">
        <v>1618096</v>
      </c>
      <c r="EH31" s="229">
        <v>0.59819999999999995</v>
      </c>
      <c r="EI31" s="229">
        <v>0.53700000000000003</v>
      </c>
      <c r="EJ31" s="231">
        <v>14594.21</v>
      </c>
      <c r="EK31" s="231">
        <v>6416.4</v>
      </c>
      <c r="EL31" s="231">
        <v>14466.44</v>
      </c>
      <c r="EM31" s="228">
        <v>0</v>
      </c>
      <c r="EN31" s="231">
        <v>35477.050000000003</v>
      </c>
      <c r="EO31" s="231">
        <v>53652.65</v>
      </c>
      <c r="EP31" s="231">
        <v>-18175.599999999999</v>
      </c>
      <c r="EQ31" s="229">
        <v>-0.33879999999999999</v>
      </c>
      <c r="ER31" s="231">
        <v>45071</v>
      </c>
      <c r="ES31" s="231">
        <v>25481</v>
      </c>
      <c r="ET31" s="231">
        <v>82195</v>
      </c>
      <c r="EU31" s="231">
        <v>242361229</v>
      </c>
      <c r="EV31" s="231">
        <v>152747</v>
      </c>
      <c r="EW31" s="231">
        <v>153786</v>
      </c>
      <c r="EX31" s="231">
        <v>-1039</v>
      </c>
      <c r="EY31" s="229">
        <v>-6.7999999999999996E-3</v>
      </c>
      <c r="EZ31" s="229">
        <v>0.54600000000000004</v>
      </c>
      <c r="FA31" s="227" t="s">
        <v>567</v>
      </c>
      <c r="FB31" s="161">
        <f t="shared" si="0"/>
        <v>10441600</v>
      </c>
    </row>
    <row r="32" spans="1:158" ht="17.25" thickBot="1" x14ac:dyDescent="0.3">
      <c r="A32" s="226">
        <v>45860</v>
      </c>
      <c r="B32" s="227" t="s">
        <v>181</v>
      </c>
      <c r="C32" s="227" t="s">
        <v>182</v>
      </c>
      <c r="D32" s="228">
        <v>35</v>
      </c>
      <c r="E32" s="231">
        <v>56804.6</v>
      </c>
      <c r="F32" s="231">
        <v>56981.8</v>
      </c>
      <c r="G32" s="228">
        <v>-177.2</v>
      </c>
      <c r="H32" s="229">
        <v>-3.0999999999999999E-3</v>
      </c>
      <c r="I32" s="231">
        <v>56756</v>
      </c>
      <c r="J32" s="231">
        <v>56952.75</v>
      </c>
      <c r="K32" s="228">
        <v>-196.75</v>
      </c>
      <c r="L32" s="229">
        <v>-3.5000000000000001E-3</v>
      </c>
      <c r="M32" s="231">
        <v>56804.6</v>
      </c>
      <c r="N32" s="231">
        <v>56981.8</v>
      </c>
      <c r="O32" s="228">
        <v>-177.2</v>
      </c>
      <c r="P32" s="229">
        <v>-3.0999999999999999E-3</v>
      </c>
      <c r="Q32" s="231">
        <v>56970.8</v>
      </c>
      <c r="R32" s="231">
        <v>57144.4</v>
      </c>
      <c r="S32" s="228">
        <v>-173.6</v>
      </c>
      <c r="T32" s="229">
        <v>-3.0000000000000001E-3</v>
      </c>
      <c r="U32" s="231">
        <v>57256.4</v>
      </c>
      <c r="V32" s="231">
        <v>57420.4</v>
      </c>
      <c r="W32" s="228">
        <v>-164</v>
      </c>
      <c r="X32" s="229">
        <v>-2.8999999999999998E-3</v>
      </c>
      <c r="Y32" s="228">
        <v>48.6</v>
      </c>
      <c r="Z32" s="228">
        <v>29.05</v>
      </c>
      <c r="AA32" s="228">
        <v>19.55</v>
      </c>
      <c r="AB32" s="229">
        <v>8.9999999999999998E-4</v>
      </c>
      <c r="AC32" s="228">
        <v>48.6</v>
      </c>
      <c r="AD32" s="228">
        <v>29.05</v>
      </c>
      <c r="AE32" s="228">
        <v>19.55</v>
      </c>
      <c r="AF32" s="229">
        <v>8.9999999999999998E-4</v>
      </c>
      <c r="AG32" s="228">
        <v>214.8</v>
      </c>
      <c r="AH32" s="228">
        <v>191.65</v>
      </c>
      <c r="AI32" s="228">
        <v>23.15</v>
      </c>
      <c r="AJ32" s="229">
        <v>3.8E-3</v>
      </c>
      <c r="AK32" s="228">
        <v>500.4</v>
      </c>
      <c r="AL32" s="228">
        <v>467.65</v>
      </c>
      <c r="AM32" s="228">
        <v>32.75</v>
      </c>
      <c r="AN32" s="229">
        <v>8.8000000000000005E-3</v>
      </c>
      <c r="AO32" s="231">
        <v>56961.62</v>
      </c>
      <c r="AP32" s="231">
        <v>57124.66</v>
      </c>
      <c r="AQ32" s="228">
        <v>0</v>
      </c>
      <c r="AR32" s="230">
        <v>978425</v>
      </c>
      <c r="AS32" s="230">
        <v>1787765</v>
      </c>
      <c r="AT32" s="230">
        <v>-809340</v>
      </c>
      <c r="AU32" s="229">
        <v>-0.45269999999999999</v>
      </c>
      <c r="AV32" s="230">
        <v>814870</v>
      </c>
      <c r="AW32" s="230">
        <v>1533560</v>
      </c>
      <c r="AX32" s="230">
        <v>-718690</v>
      </c>
      <c r="AY32" s="229">
        <v>-0.46860000000000002</v>
      </c>
      <c r="AZ32" s="230">
        <v>137865</v>
      </c>
      <c r="BA32" s="230">
        <v>207900</v>
      </c>
      <c r="BB32" s="230">
        <v>-70035</v>
      </c>
      <c r="BC32" s="229">
        <v>-0.33689999999999998</v>
      </c>
      <c r="BD32" s="230">
        <v>25690</v>
      </c>
      <c r="BE32" s="230">
        <v>46305</v>
      </c>
      <c r="BF32" s="230">
        <v>-20615</v>
      </c>
      <c r="BG32" s="229">
        <v>-0.44519999999999998</v>
      </c>
      <c r="BH32" s="230">
        <v>71974840</v>
      </c>
      <c r="BI32" s="230">
        <v>103302430</v>
      </c>
      <c r="BJ32" s="230">
        <v>-31327590</v>
      </c>
      <c r="BK32" s="229">
        <v>-0.30330000000000001</v>
      </c>
      <c r="BL32" s="230">
        <v>64525790</v>
      </c>
      <c r="BM32" s="230">
        <v>81540130</v>
      </c>
      <c r="BN32" s="230">
        <v>-17014340</v>
      </c>
      <c r="BO32" s="229">
        <v>-0.2087</v>
      </c>
      <c r="BP32" s="230">
        <v>137479055</v>
      </c>
      <c r="BQ32" s="230">
        <v>186630325</v>
      </c>
      <c r="BR32" s="230">
        <v>-49151270</v>
      </c>
      <c r="BS32" s="229">
        <v>-0.26340000000000002</v>
      </c>
      <c r="BT32" s="228">
        <v>0</v>
      </c>
      <c r="BU32" s="228">
        <v>0</v>
      </c>
      <c r="BV32" s="228">
        <v>0</v>
      </c>
      <c r="BW32" s="229">
        <v>0</v>
      </c>
      <c r="BX32" s="230">
        <v>2606415</v>
      </c>
      <c r="BY32" s="230">
        <v>2616775</v>
      </c>
      <c r="BZ32" s="230">
        <v>-10360</v>
      </c>
      <c r="CA32" s="229">
        <v>-4.0000000000000001E-3</v>
      </c>
      <c r="CB32" s="230">
        <v>2026640</v>
      </c>
      <c r="CC32" s="230">
        <v>2053135</v>
      </c>
      <c r="CD32" s="230">
        <v>-26495</v>
      </c>
      <c r="CE32" s="229">
        <v>-1.29E-2</v>
      </c>
      <c r="CF32" s="230">
        <v>499870</v>
      </c>
      <c r="CG32" s="230">
        <v>486500</v>
      </c>
      <c r="CH32" s="230">
        <v>13370</v>
      </c>
      <c r="CI32" s="229">
        <v>2.75E-2</v>
      </c>
      <c r="CJ32" s="230">
        <v>79905</v>
      </c>
      <c r="CK32" s="230">
        <v>77140</v>
      </c>
      <c r="CL32" s="230">
        <v>2765</v>
      </c>
      <c r="CM32" s="229">
        <v>3.5799999999999998E-2</v>
      </c>
      <c r="CN32" s="230">
        <v>24933160</v>
      </c>
      <c r="CO32" s="230">
        <v>22120870</v>
      </c>
      <c r="CP32" s="230">
        <v>2812290</v>
      </c>
      <c r="CQ32" s="229">
        <v>0.12709999999999999</v>
      </c>
      <c r="CR32" s="230">
        <v>20221120</v>
      </c>
      <c r="CS32" s="230">
        <v>19540605</v>
      </c>
      <c r="CT32" s="230">
        <v>680515</v>
      </c>
      <c r="CU32" s="229">
        <v>3.4799999999999998E-2</v>
      </c>
      <c r="CV32" s="230">
        <v>47760695</v>
      </c>
      <c r="CW32" s="230">
        <v>44278250</v>
      </c>
      <c r="CX32" s="230">
        <v>3482445</v>
      </c>
      <c r="CY32" s="229">
        <v>7.8600000000000003E-2</v>
      </c>
      <c r="CZ32" s="228">
        <v>12.25</v>
      </c>
      <c r="DA32" s="228">
        <v>12.68</v>
      </c>
      <c r="DB32" s="228">
        <v>-0.43</v>
      </c>
      <c r="DC32" s="228">
        <v>-0.43</v>
      </c>
      <c r="DD32" s="228">
        <v>18.84</v>
      </c>
      <c r="DE32" s="228">
        <v>18.88</v>
      </c>
      <c r="DF32" s="228">
        <v>-6.59</v>
      </c>
      <c r="DG32" s="228">
        <v>-0.04</v>
      </c>
      <c r="DH32" s="228">
        <v>12.12</v>
      </c>
      <c r="DI32" s="228">
        <v>12.24</v>
      </c>
      <c r="DJ32" s="228">
        <v>-0.12</v>
      </c>
      <c r="DK32" s="228">
        <v>-0.12</v>
      </c>
      <c r="DL32" s="228">
        <v>12.39</v>
      </c>
      <c r="DM32" s="228">
        <v>13.23</v>
      </c>
      <c r="DN32" s="228">
        <v>-0.84</v>
      </c>
      <c r="DO32" s="228">
        <v>-0.84</v>
      </c>
      <c r="DP32" s="228">
        <v>0.81</v>
      </c>
      <c r="DQ32" s="228">
        <v>0.88</v>
      </c>
      <c r="DR32" s="228">
        <v>-7.0000000000000007E-2</v>
      </c>
      <c r="DS32" s="229">
        <v>-7.9500000000000001E-2</v>
      </c>
      <c r="DT32" s="231">
        <v>57000</v>
      </c>
      <c r="DU32" s="231">
        <v>56000</v>
      </c>
      <c r="DV32" s="228">
        <v>0.9</v>
      </c>
      <c r="DW32" s="228">
        <v>0.79</v>
      </c>
      <c r="DX32" s="228">
        <v>0.11</v>
      </c>
      <c r="DY32" s="229">
        <v>0.13919999999999999</v>
      </c>
      <c r="DZ32" s="229">
        <v>0.22239999999999999</v>
      </c>
      <c r="EA32" s="230">
        <v>563640</v>
      </c>
      <c r="EB32" s="229">
        <v>2.8999999999999998E-3</v>
      </c>
      <c r="EC32" s="229">
        <v>0.22239999999999999</v>
      </c>
      <c r="ED32" s="228">
        <v>163.04</v>
      </c>
      <c r="EE32" s="229">
        <v>2.8999999999999998E-3</v>
      </c>
      <c r="EF32" s="228">
        <v>0</v>
      </c>
      <c r="EG32" s="228">
        <v>0</v>
      </c>
      <c r="EH32" s="229">
        <v>0</v>
      </c>
      <c r="EI32" s="229">
        <v>0</v>
      </c>
      <c r="EJ32" s="231">
        <v>41878186.770000003</v>
      </c>
      <c r="EK32" s="231">
        <v>36219218.789999999</v>
      </c>
      <c r="EL32" s="231">
        <v>557667.5</v>
      </c>
      <c r="EM32" s="228">
        <v>0</v>
      </c>
      <c r="EN32" s="231">
        <v>78655073.060000002</v>
      </c>
      <c r="EO32" s="231">
        <v>106604251.54000001</v>
      </c>
      <c r="EP32" s="231">
        <v>-27949178.48</v>
      </c>
      <c r="EQ32" s="229">
        <v>-0.26219999999999999</v>
      </c>
      <c r="ER32" s="231">
        <v>14574938</v>
      </c>
      <c r="ES32" s="231">
        <v>11060439</v>
      </c>
      <c r="ET32" s="231">
        <v>1481755</v>
      </c>
      <c r="EU32" s="228">
        <v>0</v>
      </c>
      <c r="EV32" s="231">
        <v>27117132</v>
      </c>
      <c r="EW32" s="231">
        <v>25105218</v>
      </c>
      <c r="EX32" s="231">
        <v>2011914</v>
      </c>
      <c r="EY32" s="229">
        <v>8.0100000000000005E-2</v>
      </c>
      <c r="EZ32" s="229">
        <v>0</v>
      </c>
      <c r="FA32" s="227" t="s">
        <v>568</v>
      </c>
      <c r="FB32" s="161">
        <f t="shared" si="0"/>
        <v>579775</v>
      </c>
    </row>
    <row r="33" spans="1:158" ht="17.25" thickBot="1" x14ac:dyDescent="0.3">
      <c r="A33" s="226">
        <v>45860</v>
      </c>
      <c r="B33" s="227" t="s">
        <v>184</v>
      </c>
      <c r="C33" s="227" t="s">
        <v>673</v>
      </c>
      <c r="D33" s="228">
        <v>325</v>
      </c>
      <c r="E33" s="231">
        <v>1717.6</v>
      </c>
      <c r="F33" s="231">
        <v>1721.9</v>
      </c>
      <c r="G33" s="228">
        <v>-4.3</v>
      </c>
      <c r="H33" s="229">
        <v>-2.5000000000000001E-3</v>
      </c>
      <c r="I33" s="231">
        <v>1717.4</v>
      </c>
      <c r="J33" s="231">
        <v>1718.4</v>
      </c>
      <c r="K33" s="228">
        <v>-1</v>
      </c>
      <c r="L33" s="229">
        <v>-5.9999999999999995E-4</v>
      </c>
      <c r="M33" s="231">
        <v>1717.6</v>
      </c>
      <c r="N33" s="231">
        <v>1721.9</v>
      </c>
      <c r="O33" s="228">
        <v>-4.3</v>
      </c>
      <c r="P33" s="229">
        <v>-2.5000000000000001E-3</v>
      </c>
      <c r="Q33" s="231">
        <v>1723.5</v>
      </c>
      <c r="R33" s="231">
        <v>1729.4</v>
      </c>
      <c r="S33" s="228">
        <v>-5.9</v>
      </c>
      <c r="T33" s="229">
        <v>-3.3999999999999998E-3</v>
      </c>
      <c r="U33" s="228">
        <v>0</v>
      </c>
      <c r="V33" s="228">
        <v>0</v>
      </c>
      <c r="W33" s="228">
        <v>0</v>
      </c>
      <c r="X33" s="229">
        <v>0</v>
      </c>
      <c r="Y33" s="228">
        <v>0.2</v>
      </c>
      <c r="Z33" s="228">
        <v>3.5</v>
      </c>
      <c r="AA33" s="228">
        <v>-3.3</v>
      </c>
      <c r="AB33" s="229">
        <v>1E-4</v>
      </c>
      <c r="AC33" s="228">
        <v>0.2</v>
      </c>
      <c r="AD33" s="228">
        <v>3.5</v>
      </c>
      <c r="AE33" s="228">
        <v>-3.3</v>
      </c>
      <c r="AF33" s="229">
        <v>1E-4</v>
      </c>
      <c r="AG33" s="228">
        <v>6.1</v>
      </c>
      <c r="AH33" s="228">
        <v>11</v>
      </c>
      <c r="AI33" s="228">
        <v>-4.9000000000000004</v>
      </c>
      <c r="AJ33" s="229">
        <v>3.5999999999999999E-3</v>
      </c>
      <c r="AK33" s="228">
        <v>0</v>
      </c>
      <c r="AL33" s="228">
        <v>0</v>
      </c>
      <c r="AM33" s="228">
        <v>0</v>
      </c>
      <c r="AN33" s="229">
        <v>0</v>
      </c>
      <c r="AO33" s="231">
        <v>1723.88</v>
      </c>
      <c r="AP33" s="231">
        <v>1732.38</v>
      </c>
      <c r="AQ33" s="228">
        <v>0</v>
      </c>
      <c r="AR33" s="230">
        <v>1131650</v>
      </c>
      <c r="AS33" s="230">
        <v>2164500</v>
      </c>
      <c r="AT33" s="230">
        <v>-1032850</v>
      </c>
      <c r="AU33" s="229">
        <v>-0.47720000000000001</v>
      </c>
      <c r="AV33" s="230">
        <v>924625</v>
      </c>
      <c r="AW33" s="230">
        <v>1770600</v>
      </c>
      <c r="AX33" s="230">
        <v>-845975</v>
      </c>
      <c r="AY33" s="229">
        <v>-0.4778</v>
      </c>
      <c r="AZ33" s="230">
        <v>189150</v>
      </c>
      <c r="BA33" s="230">
        <v>380250</v>
      </c>
      <c r="BB33" s="230">
        <v>-191100</v>
      </c>
      <c r="BC33" s="229">
        <v>-0.50260000000000005</v>
      </c>
      <c r="BD33" s="228">
        <v>0</v>
      </c>
      <c r="BE33" s="228">
        <v>0</v>
      </c>
      <c r="BF33" s="228">
        <v>0</v>
      </c>
      <c r="BG33" s="229">
        <v>0</v>
      </c>
      <c r="BH33" s="230">
        <v>3628300</v>
      </c>
      <c r="BI33" s="230">
        <v>9708075</v>
      </c>
      <c r="BJ33" s="230">
        <v>-6079775</v>
      </c>
      <c r="BK33" s="229">
        <v>-0.62629999999999997</v>
      </c>
      <c r="BL33" s="230">
        <v>1195350</v>
      </c>
      <c r="BM33" s="230">
        <v>4044950</v>
      </c>
      <c r="BN33" s="230">
        <v>-2849600</v>
      </c>
      <c r="BO33" s="229">
        <v>-0.70450000000000002</v>
      </c>
      <c r="BP33" s="230">
        <v>5955300</v>
      </c>
      <c r="BQ33" s="230">
        <v>15917525</v>
      </c>
      <c r="BR33" s="230">
        <v>-9962225</v>
      </c>
      <c r="BS33" s="229">
        <v>-0.62590000000000001</v>
      </c>
      <c r="BT33" s="230">
        <v>1735087</v>
      </c>
      <c r="BU33" s="230">
        <v>2706953</v>
      </c>
      <c r="BV33" s="230">
        <v>-971866</v>
      </c>
      <c r="BW33" s="229">
        <v>-0.35899999999999999</v>
      </c>
      <c r="BX33" s="230">
        <v>4290975</v>
      </c>
      <c r="BY33" s="230">
        <v>4505150</v>
      </c>
      <c r="BZ33" s="230">
        <v>-214175</v>
      </c>
      <c r="CA33" s="229">
        <v>-4.7500000000000001E-2</v>
      </c>
      <c r="CB33" s="230">
        <v>3615625</v>
      </c>
      <c r="CC33" s="230">
        <v>3879525</v>
      </c>
      <c r="CD33" s="230">
        <v>-263900</v>
      </c>
      <c r="CE33" s="229">
        <v>-6.8000000000000005E-2</v>
      </c>
      <c r="CF33" s="230">
        <v>614900</v>
      </c>
      <c r="CG33" s="230">
        <v>577850</v>
      </c>
      <c r="CH33" s="230">
        <v>37050</v>
      </c>
      <c r="CI33" s="229">
        <v>6.4100000000000004E-2</v>
      </c>
      <c r="CJ33" s="228">
        <v>0</v>
      </c>
      <c r="CK33" s="228">
        <v>0</v>
      </c>
      <c r="CL33" s="228">
        <v>0</v>
      </c>
      <c r="CM33" s="229">
        <v>0</v>
      </c>
      <c r="CN33" s="230">
        <v>5763550</v>
      </c>
      <c r="CO33" s="230">
        <v>5729425</v>
      </c>
      <c r="CP33" s="230">
        <v>34125</v>
      </c>
      <c r="CQ33" s="229">
        <v>6.0000000000000001E-3</v>
      </c>
      <c r="CR33" s="230">
        <v>2028975</v>
      </c>
      <c r="CS33" s="230">
        <v>2057575</v>
      </c>
      <c r="CT33" s="230">
        <v>-28600</v>
      </c>
      <c r="CU33" s="229">
        <v>-1.3899999999999999E-2</v>
      </c>
      <c r="CV33" s="230">
        <v>12083500</v>
      </c>
      <c r="CW33" s="230">
        <v>12292150</v>
      </c>
      <c r="CX33" s="230">
        <v>-208650</v>
      </c>
      <c r="CY33" s="229">
        <v>-1.7000000000000001E-2</v>
      </c>
      <c r="CZ33" s="228">
        <v>42.1</v>
      </c>
      <c r="DA33" s="228">
        <v>41.84</v>
      </c>
      <c r="DB33" s="228">
        <v>0.26</v>
      </c>
      <c r="DC33" s="228">
        <v>0.26</v>
      </c>
      <c r="DD33" s="228">
        <v>56.45</v>
      </c>
      <c r="DE33" s="228">
        <v>56.59</v>
      </c>
      <c r="DF33" s="228">
        <v>-14.35</v>
      </c>
      <c r="DG33" s="228">
        <v>-0.14000000000000001</v>
      </c>
      <c r="DH33" s="228">
        <v>43.46</v>
      </c>
      <c r="DI33" s="228">
        <v>41.9</v>
      </c>
      <c r="DJ33" s="228">
        <v>1.56</v>
      </c>
      <c r="DK33" s="228">
        <v>1.56</v>
      </c>
      <c r="DL33" s="228">
        <v>37.950000000000003</v>
      </c>
      <c r="DM33" s="228">
        <v>41.69</v>
      </c>
      <c r="DN33" s="228">
        <v>-3.74</v>
      </c>
      <c r="DO33" s="228">
        <v>-3.74</v>
      </c>
      <c r="DP33" s="228">
        <v>0.35</v>
      </c>
      <c r="DQ33" s="228">
        <v>0.36</v>
      </c>
      <c r="DR33" s="228">
        <v>-0.01</v>
      </c>
      <c r="DS33" s="229">
        <v>-2.7799999999999998E-2</v>
      </c>
      <c r="DT33" s="231">
        <v>2000</v>
      </c>
      <c r="DU33" s="231">
        <v>1700</v>
      </c>
      <c r="DV33" s="228">
        <v>0.33</v>
      </c>
      <c r="DW33" s="228">
        <v>0.42</v>
      </c>
      <c r="DX33" s="228">
        <v>-0.09</v>
      </c>
      <c r="DY33" s="229">
        <v>-0.21429999999999999</v>
      </c>
      <c r="DZ33" s="229">
        <v>0.14330000000000001</v>
      </c>
      <c r="EA33" s="230">
        <v>577850</v>
      </c>
      <c r="EB33" s="229">
        <v>3.3999999999999998E-3</v>
      </c>
      <c r="EC33" s="229">
        <v>0.14330000000000001</v>
      </c>
      <c r="ED33" s="228">
        <v>8.5</v>
      </c>
      <c r="EE33" s="229">
        <v>4.8999999999999998E-3</v>
      </c>
      <c r="EF33" s="230">
        <v>577211</v>
      </c>
      <c r="EG33" s="230">
        <v>646967</v>
      </c>
      <c r="EH33" s="229">
        <v>-0.10780000000000001</v>
      </c>
      <c r="EI33" s="229">
        <v>0.3327</v>
      </c>
      <c r="EJ33" s="231">
        <v>68137.7</v>
      </c>
      <c r="EK33" s="231">
        <v>20290.830000000002</v>
      </c>
      <c r="EL33" s="231">
        <v>19527.310000000001</v>
      </c>
      <c r="EM33" s="228">
        <v>0</v>
      </c>
      <c r="EN33" s="231">
        <v>107955.84</v>
      </c>
      <c r="EO33" s="231">
        <v>282327.2</v>
      </c>
      <c r="EP33" s="231">
        <v>-174371.36</v>
      </c>
      <c r="EQ33" s="229">
        <v>-0.61760000000000004</v>
      </c>
      <c r="ER33" s="231">
        <v>111832</v>
      </c>
      <c r="ES33" s="231">
        <v>35585</v>
      </c>
      <c r="ET33" s="231">
        <v>73748</v>
      </c>
      <c r="EU33" s="231">
        <v>18382289</v>
      </c>
      <c r="EV33" s="231">
        <v>221165</v>
      </c>
      <c r="EW33" s="231">
        <v>224992</v>
      </c>
      <c r="EX33" s="231">
        <v>-3827</v>
      </c>
      <c r="EY33" s="229">
        <v>-1.7000000000000001E-2</v>
      </c>
      <c r="EZ33" s="229">
        <v>0.6573</v>
      </c>
      <c r="FA33" s="227" t="s">
        <v>568</v>
      </c>
      <c r="FB33" s="161">
        <f t="shared" si="0"/>
        <v>675350</v>
      </c>
    </row>
    <row r="34" spans="1:158" ht="17.25" thickBot="1" x14ac:dyDescent="0.3">
      <c r="A34" s="226">
        <v>45860</v>
      </c>
      <c r="B34" s="227" t="s">
        <v>184</v>
      </c>
      <c r="C34" s="227" t="s">
        <v>185</v>
      </c>
      <c r="D34" s="228">
        <v>2850</v>
      </c>
      <c r="E34" s="228">
        <v>403.65</v>
      </c>
      <c r="F34" s="228">
        <v>401.1</v>
      </c>
      <c r="G34" s="228">
        <v>2.5499999999999998</v>
      </c>
      <c r="H34" s="229">
        <v>6.4000000000000003E-3</v>
      </c>
      <c r="I34" s="228">
        <v>403.1</v>
      </c>
      <c r="J34" s="228">
        <v>399.95</v>
      </c>
      <c r="K34" s="228">
        <v>3.15</v>
      </c>
      <c r="L34" s="229">
        <v>7.9000000000000008E-3</v>
      </c>
      <c r="M34" s="228">
        <v>403.65</v>
      </c>
      <c r="N34" s="228">
        <v>401.1</v>
      </c>
      <c r="O34" s="228">
        <v>2.5499999999999998</v>
      </c>
      <c r="P34" s="229">
        <v>6.4000000000000003E-3</v>
      </c>
      <c r="Q34" s="228">
        <v>404.7</v>
      </c>
      <c r="R34" s="228">
        <v>402.1</v>
      </c>
      <c r="S34" s="228">
        <v>2.6</v>
      </c>
      <c r="T34" s="229">
        <v>6.4999999999999997E-3</v>
      </c>
      <c r="U34" s="228">
        <v>0</v>
      </c>
      <c r="V34" s="228">
        <v>0</v>
      </c>
      <c r="W34" s="228">
        <v>0</v>
      </c>
      <c r="X34" s="229">
        <v>0</v>
      </c>
      <c r="Y34" s="228">
        <v>0.55000000000000004</v>
      </c>
      <c r="Z34" s="228">
        <v>1.1499999999999999</v>
      </c>
      <c r="AA34" s="228">
        <v>-0.6</v>
      </c>
      <c r="AB34" s="229">
        <v>1.4E-3</v>
      </c>
      <c r="AC34" s="228">
        <v>0.55000000000000004</v>
      </c>
      <c r="AD34" s="228">
        <v>1.1499999999999999</v>
      </c>
      <c r="AE34" s="228">
        <v>-0.6</v>
      </c>
      <c r="AF34" s="229">
        <v>1.4E-3</v>
      </c>
      <c r="AG34" s="228">
        <v>1.6</v>
      </c>
      <c r="AH34" s="228">
        <v>2.15</v>
      </c>
      <c r="AI34" s="228">
        <v>-0.55000000000000004</v>
      </c>
      <c r="AJ34" s="229">
        <v>4.0000000000000001E-3</v>
      </c>
      <c r="AK34" s="228">
        <v>0</v>
      </c>
      <c r="AL34" s="228">
        <v>0</v>
      </c>
      <c r="AM34" s="228">
        <v>0</v>
      </c>
      <c r="AN34" s="229">
        <v>0</v>
      </c>
      <c r="AO34" s="228">
        <v>403.19</v>
      </c>
      <c r="AP34" s="228">
        <v>404.27</v>
      </c>
      <c r="AQ34" s="228">
        <v>0</v>
      </c>
      <c r="AR34" s="230">
        <v>20192250</v>
      </c>
      <c r="AS34" s="230">
        <v>26123100</v>
      </c>
      <c r="AT34" s="230">
        <v>-5930850</v>
      </c>
      <c r="AU34" s="229">
        <v>-0.22700000000000001</v>
      </c>
      <c r="AV34" s="230">
        <v>15424200</v>
      </c>
      <c r="AW34" s="230">
        <v>20827800</v>
      </c>
      <c r="AX34" s="230">
        <v>-5403600</v>
      </c>
      <c r="AY34" s="229">
        <v>-0.25940000000000002</v>
      </c>
      <c r="AZ34" s="230">
        <v>4377600</v>
      </c>
      <c r="BA34" s="230">
        <v>4619850</v>
      </c>
      <c r="BB34" s="230">
        <v>-242250</v>
      </c>
      <c r="BC34" s="229">
        <v>-5.2400000000000002E-2</v>
      </c>
      <c r="BD34" s="228">
        <v>0</v>
      </c>
      <c r="BE34" s="228">
        <v>0</v>
      </c>
      <c r="BF34" s="228">
        <v>0</v>
      </c>
      <c r="BG34" s="229">
        <v>0</v>
      </c>
      <c r="BH34" s="230">
        <v>86665650</v>
      </c>
      <c r="BI34" s="230">
        <v>126876300</v>
      </c>
      <c r="BJ34" s="230">
        <v>-40210650</v>
      </c>
      <c r="BK34" s="229">
        <v>-0.31690000000000002</v>
      </c>
      <c r="BL34" s="230">
        <v>40626750</v>
      </c>
      <c r="BM34" s="230">
        <v>69240750</v>
      </c>
      <c r="BN34" s="230">
        <v>-28614000</v>
      </c>
      <c r="BO34" s="229">
        <v>-0.4133</v>
      </c>
      <c r="BP34" s="230">
        <v>147484650</v>
      </c>
      <c r="BQ34" s="230">
        <v>222240150</v>
      </c>
      <c r="BR34" s="230">
        <v>-74755500</v>
      </c>
      <c r="BS34" s="229">
        <v>-0.33639999999999998</v>
      </c>
      <c r="BT34" s="230">
        <v>13085407</v>
      </c>
      <c r="BU34" s="230">
        <v>13470190</v>
      </c>
      <c r="BV34" s="230">
        <v>-384783</v>
      </c>
      <c r="BW34" s="229">
        <v>-2.86E-2</v>
      </c>
      <c r="BX34" s="230">
        <v>119568900</v>
      </c>
      <c r="BY34" s="230">
        <v>121105050</v>
      </c>
      <c r="BZ34" s="230">
        <v>-1536150</v>
      </c>
      <c r="CA34" s="229">
        <v>-1.2699999999999999E-2</v>
      </c>
      <c r="CB34" s="230">
        <v>93944550</v>
      </c>
      <c r="CC34" s="230">
        <v>96144750</v>
      </c>
      <c r="CD34" s="230">
        <v>-2200200</v>
      </c>
      <c r="CE34" s="229">
        <v>-2.29E-2</v>
      </c>
      <c r="CF34" s="230">
        <v>23606550</v>
      </c>
      <c r="CG34" s="230">
        <v>22951050</v>
      </c>
      <c r="CH34" s="230">
        <v>655500</v>
      </c>
      <c r="CI34" s="229">
        <v>2.86E-2</v>
      </c>
      <c r="CJ34" s="228">
        <v>0</v>
      </c>
      <c r="CK34" s="228">
        <v>0</v>
      </c>
      <c r="CL34" s="228">
        <v>0</v>
      </c>
      <c r="CM34" s="229">
        <v>0</v>
      </c>
      <c r="CN34" s="230">
        <v>99271200</v>
      </c>
      <c r="CO34" s="230">
        <v>100114800</v>
      </c>
      <c r="CP34" s="230">
        <v>-843600</v>
      </c>
      <c r="CQ34" s="229">
        <v>-8.3999999999999995E-3</v>
      </c>
      <c r="CR34" s="230">
        <v>56259000</v>
      </c>
      <c r="CS34" s="230">
        <v>54688650</v>
      </c>
      <c r="CT34" s="230">
        <v>1570350</v>
      </c>
      <c r="CU34" s="229">
        <v>2.87E-2</v>
      </c>
      <c r="CV34" s="230">
        <v>275099100</v>
      </c>
      <c r="CW34" s="230">
        <v>275908500</v>
      </c>
      <c r="CX34" s="230">
        <v>-809400</v>
      </c>
      <c r="CY34" s="229">
        <v>-2.8999999999999998E-3</v>
      </c>
      <c r="CZ34" s="228">
        <v>30.56</v>
      </c>
      <c r="DA34" s="228">
        <v>30.36</v>
      </c>
      <c r="DB34" s="228">
        <v>0.2</v>
      </c>
      <c r="DC34" s="228">
        <v>0.2</v>
      </c>
      <c r="DD34" s="228">
        <v>40.81</v>
      </c>
      <c r="DE34" s="228">
        <v>40.89</v>
      </c>
      <c r="DF34" s="228">
        <v>-10.25</v>
      </c>
      <c r="DG34" s="228">
        <v>-0.08</v>
      </c>
      <c r="DH34" s="228">
        <v>30.85</v>
      </c>
      <c r="DI34" s="228">
        <v>30.76</v>
      </c>
      <c r="DJ34" s="228">
        <v>0.09</v>
      </c>
      <c r="DK34" s="228">
        <v>0.09</v>
      </c>
      <c r="DL34" s="228">
        <v>29.94</v>
      </c>
      <c r="DM34" s="228">
        <v>29.62</v>
      </c>
      <c r="DN34" s="228">
        <v>0.32</v>
      </c>
      <c r="DO34" s="228">
        <v>0.32</v>
      </c>
      <c r="DP34" s="228">
        <v>0.56999999999999995</v>
      </c>
      <c r="DQ34" s="228">
        <v>0.55000000000000004</v>
      </c>
      <c r="DR34" s="228">
        <v>0.02</v>
      </c>
      <c r="DS34" s="229">
        <v>3.6400000000000002E-2</v>
      </c>
      <c r="DT34" s="228">
        <v>420</v>
      </c>
      <c r="DU34" s="228">
        <v>400</v>
      </c>
      <c r="DV34" s="228">
        <v>0.47</v>
      </c>
      <c r="DW34" s="228">
        <v>0.55000000000000004</v>
      </c>
      <c r="DX34" s="228">
        <v>-0.08</v>
      </c>
      <c r="DY34" s="229">
        <v>-0.14549999999999999</v>
      </c>
      <c r="DZ34" s="229">
        <v>0.19739999999999999</v>
      </c>
      <c r="EA34" s="230">
        <v>22951050</v>
      </c>
      <c r="EB34" s="229">
        <v>2.5999999999999999E-3</v>
      </c>
      <c r="EC34" s="229">
        <v>0.19739999999999999</v>
      </c>
      <c r="ED34" s="228">
        <v>1.08</v>
      </c>
      <c r="EE34" s="229">
        <v>2.7000000000000001E-3</v>
      </c>
      <c r="EF34" s="230">
        <v>6197201</v>
      </c>
      <c r="EG34" s="230">
        <v>6487281</v>
      </c>
      <c r="EH34" s="229">
        <v>-4.4699999999999997E-2</v>
      </c>
      <c r="EI34" s="229">
        <v>0.47360000000000002</v>
      </c>
      <c r="EJ34" s="231">
        <v>364980.16</v>
      </c>
      <c r="EK34" s="231">
        <v>162061.10999999999</v>
      </c>
      <c r="EL34" s="231">
        <v>81473.289999999994</v>
      </c>
      <c r="EM34" s="228">
        <v>0</v>
      </c>
      <c r="EN34" s="231">
        <v>608514.56000000006</v>
      </c>
      <c r="EO34" s="231">
        <v>909625.58</v>
      </c>
      <c r="EP34" s="231">
        <v>-301111.02</v>
      </c>
      <c r="EQ34" s="229">
        <v>-0.33100000000000002</v>
      </c>
      <c r="ER34" s="231">
        <v>424650</v>
      </c>
      <c r="ES34" s="231">
        <v>222689</v>
      </c>
      <c r="ET34" s="231">
        <v>482954</v>
      </c>
      <c r="EU34" s="231">
        <v>714371379</v>
      </c>
      <c r="EV34" s="231">
        <v>1130293</v>
      </c>
      <c r="EW34" s="231">
        <v>1130941</v>
      </c>
      <c r="EX34" s="228">
        <v>-648</v>
      </c>
      <c r="EY34" s="229">
        <v>-5.9999999999999995E-4</v>
      </c>
      <c r="EZ34" s="229">
        <v>0.3851</v>
      </c>
      <c r="FA34" s="227" t="s">
        <v>556</v>
      </c>
      <c r="FB34" s="161">
        <f t="shared" si="0"/>
        <v>25624350</v>
      </c>
    </row>
    <row r="35" spans="1:158" ht="17.25" thickBot="1" x14ac:dyDescent="0.3">
      <c r="A35" s="226">
        <v>45860</v>
      </c>
      <c r="B35" s="227" t="s">
        <v>162</v>
      </c>
      <c r="C35" s="227" t="s">
        <v>187</v>
      </c>
      <c r="D35" s="228">
        <v>500</v>
      </c>
      <c r="E35" s="231">
        <v>1206.5999999999999</v>
      </c>
      <c r="F35" s="231">
        <v>1224.4000000000001</v>
      </c>
      <c r="G35" s="228">
        <v>-17.8</v>
      </c>
      <c r="H35" s="229">
        <v>-1.4500000000000001E-2</v>
      </c>
      <c r="I35" s="231">
        <v>1204.7</v>
      </c>
      <c r="J35" s="231">
        <v>1220.8</v>
      </c>
      <c r="K35" s="228">
        <v>-16.100000000000001</v>
      </c>
      <c r="L35" s="229">
        <v>-1.32E-2</v>
      </c>
      <c r="M35" s="231">
        <v>1206.5999999999999</v>
      </c>
      <c r="N35" s="231">
        <v>1224.4000000000001</v>
      </c>
      <c r="O35" s="228">
        <v>-17.8</v>
      </c>
      <c r="P35" s="229">
        <v>-1.4500000000000001E-2</v>
      </c>
      <c r="Q35" s="231">
        <v>1213.4000000000001</v>
      </c>
      <c r="R35" s="231">
        <v>1230.3</v>
      </c>
      <c r="S35" s="228">
        <v>-16.899999999999999</v>
      </c>
      <c r="T35" s="229">
        <v>-1.37E-2</v>
      </c>
      <c r="U35" s="228">
        <v>0</v>
      </c>
      <c r="V35" s="228">
        <v>0</v>
      </c>
      <c r="W35" s="228">
        <v>0</v>
      </c>
      <c r="X35" s="229">
        <v>0</v>
      </c>
      <c r="Y35" s="228">
        <v>1.9</v>
      </c>
      <c r="Z35" s="228">
        <v>3.6</v>
      </c>
      <c r="AA35" s="228">
        <v>-1.7</v>
      </c>
      <c r="AB35" s="229">
        <v>1.6000000000000001E-3</v>
      </c>
      <c r="AC35" s="228">
        <v>1.9</v>
      </c>
      <c r="AD35" s="228">
        <v>3.6</v>
      </c>
      <c r="AE35" s="228">
        <v>-1.7</v>
      </c>
      <c r="AF35" s="229">
        <v>1.6000000000000001E-3</v>
      </c>
      <c r="AG35" s="228">
        <v>8.6999999999999993</v>
      </c>
      <c r="AH35" s="228">
        <v>9.5</v>
      </c>
      <c r="AI35" s="228">
        <v>-0.8</v>
      </c>
      <c r="AJ35" s="229">
        <v>7.1999999999999998E-3</v>
      </c>
      <c r="AK35" s="228">
        <v>0</v>
      </c>
      <c r="AL35" s="228">
        <v>0</v>
      </c>
      <c r="AM35" s="228">
        <v>0</v>
      </c>
      <c r="AN35" s="229">
        <v>0</v>
      </c>
      <c r="AO35" s="231">
        <v>1212.5999999999999</v>
      </c>
      <c r="AP35" s="231">
        <v>1220.6400000000001</v>
      </c>
      <c r="AQ35" s="228">
        <v>0</v>
      </c>
      <c r="AR35" s="230">
        <v>1309500</v>
      </c>
      <c r="AS35" s="230">
        <v>1002500</v>
      </c>
      <c r="AT35" s="230">
        <v>307000</v>
      </c>
      <c r="AU35" s="229">
        <v>0.30620000000000003</v>
      </c>
      <c r="AV35" s="230">
        <v>1036000</v>
      </c>
      <c r="AW35" s="230">
        <v>823500</v>
      </c>
      <c r="AX35" s="230">
        <v>212500</v>
      </c>
      <c r="AY35" s="229">
        <v>0.25800000000000001</v>
      </c>
      <c r="AZ35" s="230">
        <v>266000</v>
      </c>
      <c r="BA35" s="230">
        <v>175500</v>
      </c>
      <c r="BB35" s="230">
        <v>90500</v>
      </c>
      <c r="BC35" s="229">
        <v>0.51570000000000005</v>
      </c>
      <c r="BD35" s="228">
        <v>0</v>
      </c>
      <c r="BE35" s="228">
        <v>0</v>
      </c>
      <c r="BF35" s="228">
        <v>0</v>
      </c>
      <c r="BG35" s="229">
        <v>0</v>
      </c>
      <c r="BH35" s="230">
        <v>2307000</v>
      </c>
      <c r="BI35" s="230">
        <v>1830000</v>
      </c>
      <c r="BJ35" s="230">
        <v>477000</v>
      </c>
      <c r="BK35" s="229">
        <v>0.26069999999999999</v>
      </c>
      <c r="BL35" s="230">
        <v>1266500</v>
      </c>
      <c r="BM35" s="230">
        <v>742000</v>
      </c>
      <c r="BN35" s="230">
        <v>524500</v>
      </c>
      <c r="BO35" s="229">
        <v>0.70689999999999997</v>
      </c>
      <c r="BP35" s="230">
        <v>4883000</v>
      </c>
      <c r="BQ35" s="230">
        <v>3574500</v>
      </c>
      <c r="BR35" s="230">
        <v>1308500</v>
      </c>
      <c r="BS35" s="229">
        <v>0.36609999999999998</v>
      </c>
      <c r="BT35" s="230">
        <v>674667</v>
      </c>
      <c r="BU35" s="230">
        <v>431730</v>
      </c>
      <c r="BV35" s="230">
        <v>242937</v>
      </c>
      <c r="BW35" s="229">
        <v>0.56269999999999998</v>
      </c>
      <c r="BX35" s="230">
        <v>12400500</v>
      </c>
      <c r="BY35" s="230">
        <v>12228000</v>
      </c>
      <c r="BZ35" s="230">
        <v>172500</v>
      </c>
      <c r="CA35" s="229">
        <v>1.41E-2</v>
      </c>
      <c r="CB35" s="230">
        <v>11491500</v>
      </c>
      <c r="CC35" s="230">
        <v>11469500</v>
      </c>
      <c r="CD35" s="230">
        <v>22000</v>
      </c>
      <c r="CE35" s="229">
        <v>1.9E-3</v>
      </c>
      <c r="CF35" s="230">
        <v>812500</v>
      </c>
      <c r="CG35" s="230">
        <v>664000</v>
      </c>
      <c r="CH35" s="230">
        <v>148500</v>
      </c>
      <c r="CI35" s="229">
        <v>0.22359999999999999</v>
      </c>
      <c r="CJ35" s="228">
        <v>0</v>
      </c>
      <c r="CK35" s="228">
        <v>0</v>
      </c>
      <c r="CL35" s="228">
        <v>0</v>
      </c>
      <c r="CM35" s="229">
        <v>0</v>
      </c>
      <c r="CN35" s="230">
        <v>4576500</v>
      </c>
      <c r="CO35" s="230">
        <v>4577000</v>
      </c>
      <c r="CP35" s="228">
        <v>-500</v>
      </c>
      <c r="CQ35" s="229">
        <v>-1E-4</v>
      </c>
      <c r="CR35" s="230">
        <v>2964500</v>
      </c>
      <c r="CS35" s="230">
        <v>2864500</v>
      </c>
      <c r="CT35" s="230">
        <v>100000</v>
      </c>
      <c r="CU35" s="229">
        <v>3.49E-2</v>
      </c>
      <c r="CV35" s="230">
        <v>19941500</v>
      </c>
      <c r="CW35" s="230">
        <v>19669500</v>
      </c>
      <c r="CX35" s="230">
        <v>272000</v>
      </c>
      <c r="CY35" s="229">
        <v>1.38E-2</v>
      </c>
      <c r="CZ35" s="228">
        <v>27.61</v>
      </c>
      <c r="DA35" s="228">
        <v>28.35</v>
      </c>
      <c r="DB35" s="228">
        <v>-0.74</v>
      </c>
      <c r="DC35" s="228">
        <v>-0.74</v>
      </c>
      <c r="DD35" s="228">
        <v>39.840000000000003</v>
      </c>
      <c r="DE35" s="228">
        <v>39.89</v>
      </c>
      <c r="DF35" s="228">
        <v>-12.23</v>
      </c>
      <c r="DG35" s="228">
        <v>-0.05</v>
      </c>
      <c r="DH35" s="228">
        <v>28.76</v>
      </c>
      <c r="DI35" s="228">
        <v>29.12</v>
      </c>
      <c r="DJ35" s="228">
        <v>-0.36</v>
      </c>
      <c r="DK35" s="228">
        <v>-0.36</v>
      </c>
      <c r="DL35" s="228">
        <v>25.52</v>
      </c>
      <c r="DM35" s="228">
        <v>26.47</v>
      </c>
      <c r="DN35" s="228">
        <v>-0.95</v>
      </c>
      <c r="DO35" s="228">
        <v>-0.95</v>
      </c>
      <c r="DP35" s="228">
        <v>0.65</v>
      </c>
      <c r="DQ35" s="228">
        <v>0.63</v>
      </c>
      <c r="DR35" s="228">
        <v>0.02</v>
      </c>
      <c r="DS35" s="229">
        <v>3.1699999999999999E-2</v>
      </c>
      <c r="DT35" s="231">
        <v>1300</v>
      </c>
      <c r="DU35" s="231">
        <v>1200</v>
      </c>
      <c r="DV35" s="228">
        <v>0.55000000000000004</v>
      </c>
      <c r="DW35" s="228">
        <v>0.41</v>
      </c>
      <c r="DX35" s="228">
        <v>0.14000000000000001</v>
      </c>
      <c r="DY35" s="229">
        <v>0.34150000000000003</v>
      </c>
      <c r="DZ35" s="229">
        <v>6.5500000000000003E-2</v>
      </c>
      <c r="EA35" s="230">
        <v>664000</v>
      </c>
      <c r="EB35" s="229">
        <v>5.5999999999999999E-3</v>
      </c>
      <c r="EC35" s="229">
        <v>6.5500000000000003E-2</v>
      </c>
      <c r="ED35" s="228">
        <v>8.0399999999999991</v>
      </c>
      <c r="EE35" s="229">
        <v>6.6E-3</v>
      </c>
      <c r="EF35" s="230">
        <v>345404</v>
      </c>
      <c r="EG35" s="230">
        <v>258491</v>
      </c>
      <c r="EH35" s="229">
        <v>0.3362</v>
      </c>
      <c r="EI35" s="229">
        <v>0.51200000000000001</v>
      </c>
      <c r="EJ35" s="231">
        <v>29448.54</v>
      </c>
      <c r="EK35" s="231">
        <v>15278.94</v>
      </c>
      <c r="EL35" s="231">
        <v>15901.31</v>
      </c>
      <c r="EM35" s="228">
        <v>0</v>
      </c>
      <c r="EN35" s="231">
        <v>60628.79</v>
      </c>
      <c r="EO35" s="231">
        <v>44928.959999999999</v>
      </c>
      <c r="EP35" s="231">
        <v>15699.83</v>
      </c>
      <c r="EQ35" s="229">
        <v>0.34939999999999999</v>
      </c>
      <c r="ER35" s="231">
        <v>60014</v>
      </c>
      <c r="ES35" s="231">
        <v>36216</v>
      </c>
      <c r="ET35" s="231">
        <v>149692</v>
      </c>
      <c r="EU35" s="231">
        <v>53477001</v>
      </c>
      <c r="EV35" s="231">
        <v>245922</v>
      </c>
      <c r="EW35" s="231">
        <v>245059</v>
      </c>
      <c r="EX35" s="228">
        <v>863</v>
      </c>
      <c r="EY35" s="229">
        <v>3.5000000000000001E-3</v>
      </c>
      <c r="EZ35" s="229">
        <v>0.37290000000000001</v>
      </c>
      <c r="FA35" s="227" t="s">
        <v>567</v>
      </c>
      <c r="FB35" s="161">
        <f t="shared" si="0"/>
        <v>909000</v>
      </c>
    </row>
    <row r="36" spans="1:158" ht="17.25" thickBot="1" x14ac:dyDescent="0.3">
      <c r="A36" s="226">
        <v>45860</v>
      </c>
      <c r="B36" s="227" t="s">
        <v>188</v>
      </c>
      <c r="C36" s="227" t="s">
        <v>189</v>
      </c>
      <c r="D36" s="228">
        <v>475</v>
      </c>
      <c r="E36" s="231">
        <v>1908.2</v>
      </c>
      <c r="F36" s="231">
        <v>1912.6</v>
      </c>
      <c r="G36" s="228">
        <v>-4.4000000000000004</v>
      </c>
      <c r="H36" s="229">
        <v>-2.3E-3</v>
      </c>
      <c r="I36" s="231">
        <v>1906.8</v>
      </c>
      <c r="J36" s="231">
        <v>1909.2</v>
      </c>
      <c r="K36" s="228">
        <v>-2.4</v>
      </c>
      <c r="L36" s="229">
        <v>-1.2999999999999999E-3</v>
      </c>
      <c r="M36" s="231">
        <v>1908.2</v>
      </c>
      <c r="N36" s="231">
        <v>1912.6</v>
      </c>
      <c r="O36" s="228">
        <v>-4.4000000000000004</v>
      </c>
      <c r="P36" s="229">
        <v>-2.3E-3</v>
      </c>
      <c r="Q36" s="231">
        <v>1918</v>
      </c>
      <c r="R36" s="231">
        <v>1922.2</v>
      </c>
      <c r="S36" s="228">
        <v>-4.2</v>
      </c>
      <c r="T36" s="229">
        <v>-2.2000000000000001E-3</v>
      </c>
      <c r="U36" s="228">
        <v>0</v>
      </c>
      <c r="V36" s="228">
        <v>0</v>
      </c>
      <c r="W36" s="228">
        <v>0</v>
      </c>
      <c r="X36" s="229">
        <v>0</v>
      </c>
      <c r="Y36" s="228">
        <v>1.4</v>
      </c>
      <c r="Z36" s="228">
        <v>3.4</v>
      </c>
      <c r="AA36" s="228">
        <v>-2</v>
      </c>
      <c r="AB36" s="229">
        <v>6.9999999999999999E-4</v>
      </c>
      <c r="AC36" s="228">
        <v>1.4</v>
      </c>
      <c r="AD36" s="228">
        <v>3.4</v>
      </c>
      <c r="AE36" s="228">
        <v>-2</v>
      </c>
      <c r="AF36" s="229">
        <v>6.9999999999999999E-4</v>
      </c>
      <c r="AG36" s="228">
        <v>11.2</v>
      </c>
      <c r="AH36" s="228">
        <v>13</v>
      </c>
      <c r="AI36" s="228">
        <v>-1.8</v>
      </c>
      <c r="AJ36" s="229">
        <v>5.8999999999999999E-3</v>
      </c>
      <c r="AK36" s="228">
        <v>0</v>
      </c>
      <c r="AL36" s="228">
        <v>0</v>
      </c>
      <c r="AM36" s="228">
        <v>0</v>
      </c>
      <c r="AN36" s="229">
        <v>0</v>
      </c>
      <c r="AO36" s="231">
        <v>1901.75</v>
      </c>
      <c r="AP36" s="231">
        <v>1908.84</v>
      </c>
      <c r="AQ36" s="228">
        <v>0</v>
      </c>
      <c r="AR36" s="230">
        <v>2967800</v>
      </c>
      <c r="AS36" s="230">
        <v>3239025</v>
      </c>
      <c r="AT36" s="230">
        <v>-271225</v>
      </c>
      <c r="AU36" s="229">
        <v>-8.3699999999999997E-2</v>
      </c>
      <c r="AV36" s="230">
        <v>2381650</v>
      </c>
      <c r="AW36" s="230">
        <v>2659050</v>
      </c>
      <c r="AX36" s="230">
        <v>-277400</v>
      </c>
      <c r="AY36" s="229">
        <v>-0.1043</v>
      </c>
      <c r="AZ36" s="230">
        <v>554325</v>
      </c>
      <c r="BA36" s="230">
        <v>527250</v>
      </c>
      <c r="BB36" s="230">
        <v>27075</v>
      </c>
      <c r="BC36" s="229">
        <v>5.1400000000000001E-2</v>
      </c>
      <c r="BD36" s="228">
        <v>0</v>
      </c>
      <c r="BE36" s="228">
        <v>0</v>
      </c>
      <c r="BF36" s="228">
        <v>0</v>
      </c>
      <c r="BG36" s="229">
        <v>0</v>
      </c>
      <c r="BH36" s="230">
        <v>15940050</v>
      </c>
      <c r="BI36" s="230">
        <v>16489150</v>
      </c>
      <c r="BJ36" s="230">
        <v>-549100</v>
      </c>
      <c r="BK36" s="229">
        <v>-3.3300000000000003E-2</v>
      </c>
      <c r="BL36" s="230">
        <v>6293275</v>
      </c>
      <c r="BM36" s="230">
        <v>5006975</v>
      </c>
      <c r="BN36" s="230">
        <v>1286300</v>
      </c>
      <c r="BO36" s="229">
        <v>0.25690000000000002</v>
      </c>
      <c r="BP36" s="230">
        <v>25201125</v>
      </c>
      <c r="BQ36" s="230">
        <v>24735150</v>
      </c>
      <c r="BR36" s="230">
        <v>465975</v>
      </c>
      <c r="BS36" s="229">
        <v>1.8800000000000001E-2</v>
      </c>
      <c r="BT36" s="230">
        <v>4558483</v>
      </c>
      <c r="BU36" s="230">
        <v>5155225</v>
      </c>
      <c r="BV36" s="230">
        <v>-596742</v>
      </c>
      <c r="BW36" s="229">
        <v>-0.1158</v>
      </c>
      <c r="BX36" s="230">
        <v>50224600</v>
      </c>
      <c r="BY36" s="230">
        <v>50510550</v>
      </c>
      <c r="BZ36" s="230">
        <v>-285950</v>
      </c>
      <c r="CA36" s="229">
        <v>-5.7000000000000002E-3</v>
      </c>
      <c r="CB36" s="230">
        <v>41841800</v>
      </c>
      <c r="CC36" s="230">
        <v>42375225</v>
      </c>
      <c r="CD36" s="230">
        <v>-533425</v>
      </c>
      <c r="CE36" s="229">
        <v>-1.26E-2</v>
      </c>
      <c r="CF36" s="230">
        <v>6650000</v>
      </c>
      <c r="CG36" s="230">
        <v>6417250</v>
      </c>
      <c r="CH36" s="230">
        <v>232750</v>
      </c>
      <c r="CI36" s="229">
        <v>3.6299999999999999E-2</v>
      </c>
      <c r="CJ36" s="228">
        <v>0</v>
      </c>
      <c r="CK36" s="228">
        <v>0</v>
      </c>
      <c r="CL36" s="228">
        <v>0</v>
      </c>
      <c r="CM36" s="229">
        <v>0</v>
      </c>
      <c r="CN36" s="230">
        <v>21345075</v>
      </c>
      <c r="CO36" s="230">
        <v>21397325</v>
      </c>
      <c r="CP36" s="230">
        <v>-52250</v>
      </c>
      <c r="CQ36" s="229">
        <v>-2.3999999999999998E-3</v>
      </c>
      <c r="CR36" s="230">
        <v>8895800</v>
      </c>
      <c r="CS36" s="230">
        <v>8864925</v>
      </c>
      <c r="CT36" s="230">
        <v>30875</v>
      </c>
      <c r="CU36" s="229">
        <v>3.5000000000000001E-3</v>
      </c>
      <c r="CV36" s="230">
        <v>80465475</v>
      </c>
      <c r="CW36" s="230">
        <v>80772800</v>
      </c>
      <c r="CX36" s="230">
        <v>-307325</v>
      </c>
      <c r="CY36" s="229">
        <v>-3.8E-3</v>
      </c>
      <c r="CZ36" s="228">
        <v>19.3</v>
      </c>
      <c r="DA36" s="228">
        <v>19.96</v>
      </c>
      <c r="DB36" s="228">
        <v>-0.66</v>
      </c>
      <c r="DC36" s="228">
        <v>-0.66</v>
      </c>
      <c r="DD36" s="228">
        <v>26.35</v>
      </c>
      <c r="DE36" s="228">
        <v>26.41</v>
      </c>
      <c r="DF36" s="228">
        <v>-7.05</v>
      </c>
      <c r="DG36" s="228">
        <v>-0.06</v>
      </c>
      <c r="DH36" s="228">
        <v>19.47</v>
      </c>
      <c r="DI36" s="228">
        <v>20.12</v>
      </c>
      <c r="DJ36" s="228">
        <v>-0.65</v>
      </c>
      <c r="DK36" s="228">
        <v>-0.65</v>
      </c>
      <c r="DL36" s="228">
        <v>18.88</v>
      </c>
      <c r="DM36" s="228">
        <v>19.440000000000001</v>
      </c>
      <c r="DN36" s="228">
        <v>-0.56000000000000005</v>
      </c>
      <c r="DO36" s="228">
        <v>-0.56000000000000005</v>
      </c>
      <c r="DP36" s="228">
        <v>0.42</v>
      </c>
      <c r="DQ36" s="228">
        <v>0.41</v>
      </c>
      <c r="DR36" s="228">
        <v>0.01</v>
      </c>
      <c r="DS36" s="229">
        <v>2.4400000000000002E-2</v>
      </c>
      <c r="DT36" s="231">
        <v>2000</v>
      </c>
      <c r="DU36" s="231">
        <v>1900</v>
      </c>
      <c r="DV36" s="228">
        <v>0.39</v>
      </c>
      <c r="DW36" s="228">
        <v>0.3</v>
      </c>
      <c r="DX36" s="228">
        <v>0.09</v>
      </c>
      <c r="DY36" s="229">
        <v>0.3</v>
      </c>
      <c r="DZ36" s="229">
        <v>0.13239999999999999</v>
      </c>
      <c r="EA36" s="230">
        <v>6417250</v>
      </c>
      <c r="EB36" s="229">
        <v>5.1000000000000004E-3</v>
      </c>
      <c r="EC36" s="229">
        <v>0.13239999999999999</v>
      </c>
      <c r="ED36" s="228">
        <v>7.09</v>
      </c>
      <c r="EE36" s="229">
        <v>3.7000000000000002E-3</v>
      </c>
      <c r="EF36" s="230">
        <v>3440997</v>
      </c>
      <c r="EG36" s="230">
        <v>3826012</v>
      </c>
      <c r="EH36" s="229">
        <v>-0.10059999999999999</v>
      </c>
      <c r="EI36" s="229">
        <v>0.75490000000000002</v>
      </c>
      <c r="EJ36" s="231">
        <v>314341.75</v>
      </c>
      <c r="EK36" s="231">
        <v>118973.98</v>
      </c>
      <c r="EL36" s="231">
        <v>56484.95</v>
      </c>
      <c r="EM36" s="228">
        <v>0</v>
      </c>
      <c r="EN36" s="231">
        <v>489800.68</v>
      </c>
      <c r="EO36" s="231">
        <v>483731.72</v>
      </c>
      <c r="EP36" s="231">
        <v>6068.96</v>
      </c>
      <c r="EQ36" s="229">
        <v>1.2500000000000001E-2</v>
      </c>
      <c r="ER36" s="231">
        <v>429524</v>
      </c>
      <c r="ES36" s="231">
        <v>169397</v>
      </c>
      <c r="ET36" s="231">
        <v>959382</v>
      </c>
      <c r="EU36" s="231">
        <v>579085354</v>
      </c>
      <c r="EV36" s="231">
        <v>1558304</v>
      </c>
      <c r="EW36" s="231">
        <v>1567129</v>
      </c>
      <c r="EX36" s="231">
        <v>-8825</v>
      </c>
      <c r="EY36" s="229">
        <v>-5.5999999999999999E-3</v>
      </c>
      <c r="EZ36" s="229">
        <v>0.13900000000000001</v>
      </c>
      <c r="FA36" s="227" t="s">
        <v>568</v>
      </c>
      <c r="FB36" s="161">
        <f t="shared" si="0"/>
        <v>8382800</v>
      </c>
    </row>
    <row r="37" spans="1:158" ht="17.25" thickBot="1" x14ac:dyDescent="0.3">
      <c r="A37" s="226">
        <v>45860</v>
      </c>
      <c r="B37" s="227" t="s">
        <v>184</v>
      </c>
      <c r="C37" s="227" t="s">
        <v>190</v>
      </c>
      <c r="D37" s="228">
        <v>2625</v>
      </c>
      <c r="E37" s="228">
        <v>250.8</v>
      </c>
      <c r="F37" s="228">
        <v>255.3</v>
      </c>
      <c r="G37" s="228">
        <v>-4.5</v>
      </c>
      <c r="H37" s="229">
        <v>-1.7600000000000001E-2</v>
      </c>
      <c r="I37" s="228">
        <v>250.5</v>
      </c>
      <c r="J37" s="228">
        <v>254.65</v>
      </c>
      <c r="K37" s="228">
        <v>-4.1500000000000004</v>
      </c>
      <c r="L37" s="229">
        <v>-1.6299999999999999E-2</v>
      </c>
      <c r="M37" s="228">
        <v>250.8</v>
      </c>
      <c r="N37" s="228">
        <v>255.3</v>
      </c>
      <c r="O37" s="228">
        <v>-4.5</v>
      </c>
      <c r="P37" s="229">
        <v>-1.7600000000000001E-2</v>
      </c>
      <c r="Q37" s="228">
        <v>252.1</v>
      </c>
      <c r="R37" s="228">
        <v>256.5</v>
      </c>
      <c r="S37" s="228">
        <v>-4.4000000000000004</v>
      </c>
      <c r="T37" s="229">
        <v>-1.72E-2</v>
      </c>
      <c r="U37" s="228">
        <v>0</v>
      </c>
      <c r="V37" s="228">
        <v>0</v>
      </c>
      <c r="W37" s="228">
        <v>0</v>
      </c>
      <c r="X37" s="229">
        <v>0</v>
      </c>
      <c r="Y37" s="228">
        <v>0.3</v>
      </c>
      <c r="Z37" s="228">
        <v>0.65</v>
      </c>
      <c r="AA37" s="228">
        <v>-0.35</v>
      </c>
      <c r="AB37" s="229">
        <v>1.1999999999999999E-3</v>
      </c>
      <c r="AC37" s="228">
        <v>0.3</v>
      </c>
      <c r="AD37" s="228">
        <v>0.65</v>
      </c>
      <c r="AE37" s="228">
        <v>-0.35</v>
      </c>
      <c r="AF37" s="229">
        <v>1.1999999999999999E-3</v>
      </c>
      <c r="AG37" s="228">
        <v>1.6</v>
      </c>
      <c r="AH37" s="228">
        <v>1.85</v>
      </c>
      <c r="AI37" s="228">
        <v>-0.25</v>
      </c>
      <c r="AJ37" s="229">
        <v>6.4000000000000003E-3</v>
      </c>
      <c r="AK37" s="228">
        <v>0</v>
      </c>
      <c r="AL37" s="228">
        <v>0</v>
      </c>
      <c r="AM37" s="228">
        <v>0</v>
      </c>
      <c r="AN37" s="229">
        <v>0</v>
      </c>
      <c r="AO37" s="228">
        <v>252.43</v>
      </c>
      <c r="AP37" s="228">
        <v>253.69</v>
      </c>
      <c r="AQ37" s="228">
        <v>0</v>
      </c>
      <c r="AR37" s="230">
        <v>8271375</v>
      </c>
      <c r="AS37" s="230">
        <v>9287250</v>
      </c>
      <c r="AT37" s="230">
        <v>-1015875</v>
      </c>
      <c r="AU37" s="229">
        <v>-0.1094</v>
      </c>
      <c r="AV37" s="230">
        <v>6499500</v>
      </c>
      <c r="AW37" s="230">
        <v>7644000</v>
      </c>
      <c r="AX37" s="230">
        <v>-1144500</v>
      </c>
      <c r="AY37" s="229">
        <v>-0.1497</v>
      </c>
      <c r="AZ37" s="230">
        <v>1690500</v>
      </c>
      <c r="BA37" s="230">
        <v>1527750</v>
      </c>
      <c r="BB37" s="230">
        <v>162750</v>
      </c>
      <c r="BC37" s="229">
        <v>0.1065</v>
      </c>
      <c r="BD37" s="228">
        <v>0</v>
      </c>
      <c r="BE37" s="228">
        <v>0</v>
      </c>
      <c r="BF37" s="228">
        <v>0</v>
      </c>
      <c r="BG37" s="229">
        <v>0</v>
      </c>
      <c r="BH37" s="230">
        <v>22021125</v>
      </c>
      <c r="BI37" s="230">
        <v>23506875</v>
      </c>
      <c r="BJ37" s="230">
        <v>-1485750</v>
      </c>
      <c r="BK37" s="229">
        <v>-6.3200000000000006E-2</v>
      </c>
      <c r="BL37" s="230">
        <v>11872875</v>
      </c>
      <c r="BM37" s="230">
        <v>10620750</v>
      </c>
      <c r="BN37" s="230">
        <v>1252125</v>
      </c>
      <c r="BO37" s="229">
        <v>0.1179</v>
      </c>
      <c r="BP37" s="230">
        <v>42165375</v>
      </c>
      <c r="BQ37" s="230">
        <v>43414875</v>
      </c>
      <c r="BR37" s="230">
        <v>-1249500</v>
      </c>
      <c r="BS37" s="229">
        <v>-2.8799999999999999E-2</v>
      </c>
      <c r="BT37" s="230">
        <v>3561715</v>
      </c>
      <c r="BU37" s="230">
        <v>3826121</v>
      </c>
      <c r="BV37" s="230">
        <v>-264406</v>
      </c>
      <c r="BW37" s="229">
        <v>-6.9099999999999995E-2</v>
      </c>
      <c r="BX37" s="230">
        <v>56322000</v>
      </c>
      <c r="BY37" s="230">
        <v>56408625</v>
      </c>
      <c r="BZ37" s="230">
        <v>-86625</v>
      </c>
      <c r="CA37" s="229">
        <v>-1.5E-3</v>
      </c>
      <c r="CB37" s="230">
        <v>50342250</v>
      </c>
      <c r="CC37" s="230">
        <v>51224250</v>
      </c>
      <c r="CD37" s="230">
        <v>-882000</v>
      </c>
      <c r="CE37" s="229">
        <v>-1.72E-2</v>
      </c>
      <c r="CF37" s="230">
        <v>5213250</v>
      </c>
      <c r="CG37" s="230">
        <v>4428375</v>
      </c>
      <c r="CH37" s="230">
        <v>784875</v>
      </c>
      <c r="CI37" s="229">
        <v>0.1772</v>
      </c>
      <c r="CJ37" s="228">
        <v>0</v>
      </c>
      <c r="CK37" s="228">
        <v>0</v>
      </c>
      <c r="CL37" s="228">
        <v>0</v>
      </c>
      <c r="CM37" s="229">
        <v>0</v>
      </c>
      <c r="CN37" s="230">
        <v>35253750</v>
      </c>
      <c r="CO37" s="230">
        <v>33040875</v>
      </c>
      <c r="CP37" s="230">
        <v>2212875</v>
      </c>
      <c r="CQ37" s="229">
        <v>6.7000000000000004E-2</v>
      </c>
      <c r="CR37" s="230">
        <v>18464250</v>
      </c>
      <c r="CS37" s="230">
        <v>17813250</v>
      </c>
      <c r="CT37" s="230">
        <v>651000</v>
      </c>
      <c r="CU37" s="229">
        <v>3.6499999999999998E-2</v>
      </c>
      <c r="CV37" s="230">
        <v>110040000</v>
      </c>
      <c r="CW37" s="230">
        <v>107262750</v>
      </c>
      <c r="CX37" s="230">
        <v>2777250</v>
      </c>
      <c r="CY37" s="229">
        <v>2.5899999999999999E-2</v>
      </c>
      <c r="CZ37" s="228">
        <v>32.270000000000003</v>
      </c>
      <c r="DA37" s="228">
        <v>32.020000000000003</v>
      </c>
      <c r="DB37" s="228">
        <v>0.25</v>
      </c>
      <c r="DC37" s="228">
        <v>0.25</v>
      </c>
      <c r="DD37" s="228">
        <v>49.32</v>
      </c>
      <c r="DE37" s="228">
        <v>49.38</v>
      </c>
      <c r="DF37" s="228">
        <v>-17.05</v>
      </c>
      <c r="DG37" s="228">
        <v>-0.06</v>
      </c>
      <c r="DH37" s="228">
        <v>33.25</v>
      </c>
      <c r="DI37" s="228">
        <v>32.51</v>
      </c>
      <c r="DJ37" s="228">
        <v>0.74</v>
      </c>
      <c r="DK37" s="228">
        <v>0.74</v>
      </c>
      <c r="DL37" s="228">
        <v>30.46</v>
      </c>
      <c r="DM37" s="228">
        <v>30.92</v>
      </c>
      <c r="DN37" s="228">
        <v>-0.46</v>
      </c>
      <c r="DO37" s="228">
        <v>-0.46</v>
      </c>
      <c r="DP37" s="228">
        <v>0.52</v>
      </c>
      <c r="DQ37" s="228">
        <v>0.54</v>
      </c>
      <c r="DR37" s="228">
        <v>-0.02</v>
      </c>
      <c r="DS37" s="229">
        <v>-3.6999999999999998E-2</v>
      </c>
      <c r="DT37" s="228">
        <v>270</v>
      </c>
      <c r="DU37" s="228">
        <v>250</v>
      </c>
      <c r="DV37" s="228">
        <v>0.54</v>
      </c>
      <c r="DW37" s="228">
        <v>0.45</v>
      </c>
      <c r="DX37" s="228">
        <v>0.09</v>
      </c>
      <c r="DY37" s="229">
        <v>0.2</v>
      </c>
      <c r="DZ37" s="229">
        <v>9.2600000000000002E-2</v>
      </c>
      <c r="EA37" s="230">
        <v>4428375</v>
      </c>
      <c r="EB37" s="229">
        <v>5.1999999999999998E-3</v>
      </c>
      <c r="EC37" s="229">
        <v>9.2600000000000002E-2</v>
      </c>
      <c r="ED37" s="228">
        <v>1.26</v>
      </c>
      <c r="EE37" s="229">
        <v>5.0000000000000001E-3</v>
      </c>
      <c r="EF37" s="230">
        <v>1284078</v>
      </c>
      <c r="EG37" s="230">
        <v>1632992</v>
      </c>
      <c r="EH37" s="229">
        <v>-0.2137</v>
      </c>
      <c r="EI37" s="229">
        <v>0.36049999999999999</v>
      </c>
      <c r="EJ37" s="231">
        <v>58428.36</v>
      </c>
      <c r="EK37" s="231">
        <v>30182.07</v>
      </c>
      <c r="EL37" s="231">
        <v>20902.52</v>
      </c>
      <c r="EM37" s="228">
        <v>0</v>
      </c>
      <c r="EN37" s="231">
        <v>109512.95</v>
      </c>
      <c r="EO37" s="231">
        <v>113085.78</v>
      </c>
      <c r="EP37" s="231">
        <v>-3572.83</v>
      </c>
      <c r="EQ37" s="229">
        <v>-3.1600000000000003E-2</v>
      </c>
      <c r="ER37" s="231">
        <v>95713</v>
      </c>
      <c r="ES37" s="231">
        <v>46571</v>
      </c>
      <c r="ET37" s="231">
        <v>141343</v>
      </c>
      <c r="EU37" s="231">
        <v>256482590</v>
      </c>
      <c r="EV37" s="231">
        <v>283627</v>
      </c>
      <c r="EW37" s="231">
        <v>279056</v>
      </c>
      <c r="EX37" s="231">
        <v>4571</v>
      </c>
      <c r="EY37" s="229">
        <v>1.6400000000000001E-2</v>
      </c>
      <c r="EZ37" s="229">
        <v>0.42899999999999999</v>
      </c>
      <c r="FA37" s="227" t="s">
        <v>568</v>
      </c>
      <c r="FB37" s="161">
        <f t="shared" si="0"/>
        <v>5979750</v>
      </c>
    </row>
    <row r="38" spans="1:158" ht="17.25" thickBot="1" x14ac:dyDescent="0.3">
      <c r="A38" s="226">
        <v>45860</v>
      </c>
      <c r="B38" s="227" t="s">
        <v>170</v>
      </c>
      <c r="C38" s="227" t="s">
        <v>191</v>
      </c>
      <c r="D38" s="228">
        <v>2500</v>
      </c>
      <c r="E38" s="228">
        <v>388.05</v>
      </c>
      <c r="F38" s="228">
        <v>396</v>
      </c>
      <c r="G38" s="228">
        <v>-7.95</v>
      </c>
      <c r="H38" s="229">
        <v>-2.01E-2</v>
      </c>
      <c r="I38" s="228">
        <v>387.2</v>
      </c>
      <c r="J38" s="228">
        <v>394.65</v>
      </c>
      <c r="K38" s="228">
        <v>-7.45</v>
      </c>
      <c r="L38" s="229">
        <v>-1.89E-2</v>
      </c>
      <c r="M38" s="228">
        <v>388.05</v>
      </c>
      <c r="N38" s="228">
        <v>396</v>
      </c>
      <c r="O38" s="228">
        <v>-7.95</v>
      </c>
      <c r="P38" s="229">
        <v>-2.01E-2</v>
      </c>
      <c r="Q38" s="228">
        <v>390.1</v>
      </c>
      <c r="R38" s="228">
        <v>397.95</v>
      </c>
      <c r="S38" s="228">
        <v>-7.85</v>
      </c>
      <c r="T38" s="229">
        <v>-1.9699999999999999E-2</v>
      </c>
      <c r="U38" s="228">
        <v>0</v>
      </c>
      <c r="V38" s="228">
        <v>0</v>
      </c>
      <c r="W38" s="228">
        <v>0</v>
      </c>
      <c r="X38" s="229">
        <v>0</v>
      </c>
      <c r="Y38" s="228">
        <v>0.85</v>
      </c>
      <c r="Z38" s="228">
        <v>1.35</v>
      </c>
      <c r="AA38" s="228">
        <v>-0.5</v>
      </c>
      <c r="AB38" s="229">
        <v>2.2000000000000001E-3</v>
      </c>
      <c r="AC38" s="228">
        <v>0.85</v>
      </c>
      <c r="AD38" s="228">
        <v>1.35</v>
      </c>
      <c r="AE38" s="228">
        <v>-0.5</v>
      </c>
      <c r="AF38" s="229">
        <v>2.2000000000000001E-3</v>
      </c>
      <c r="AG38" s="228">
        <v>2.9</v>
      </c>
      <c r="AH38" s="228">
        <v>3.3</v>
      </c>
      <c r="AI38" s="228">
        <v>-0.4</v>
      </c>
      <c r="AJ38" s="229">
        <v>7.4999999999999997E-3</v>
      </c>
      <c r="AK38" s="228">
        <v>0</v>
      </c>
      <c r="AL38" s="228">
        <v>0</v>
      </c>
      <c r="AM38" s="228">
        <v>0</v>
      </c>
      <c r="AN38" s="229">
        <v>0</v>
      </c>
      <c r="AO38" s="228">
        <v>390.47</v>
      </c>
      <c r="AP38" s="228">
        <v>392.89</v>
      </c>
      <c r="AQ38" s="228">
        <v>0</v>
      </c>
      <c r="AR38" s="230">
        <v>7977500</v>
      </c>
      <c r="AS38" s="230">
        <v>5772500</v>
      </c>
      <c r="AT38" s="230">
        <v>2205000</v>
      </c>
      <c r="AU38" s="229">
        <v>0.38200000000000001</v>
      </c>
      <c r="AV38" s="230">
        <v>6100000</v>
      </c>
      <c r="AW38" s="230">
        <v>4377500</v>
      </c>
      <c r="AX38" s="230">
        <v>1722500</v>
      </c>
      <c r="AY38" s="229">
        <v>0.39350000000000002</v>
      </c>
      <c r="AZ38" s="230">
        <v>1777500</v>
      </c>
      <c r="BA38" s="230">
        <v>1300000</v>
      </c>
      <c r="BB38" s="230">
        <v>477500</v>
      </c>
      <c r="BC38" s="229">
        <v>0.36730000000000002</v>
      </c>
      <c r="BD38" s="228">
        <v>0</v>
      </c>
      <c r="BE38" s="228">
        <v>0</v>
      </c>
      <c r="BF38" s="228">
        <v>0</v>
      </c>
      <c r="BG38" s="229">
        <v>0</v>
      </c>
      <c r="BH38" s="230">
        <v>18190000</v>
      </c>
      <c r="BI38" s="230">
        <v>14650000</v>
      </c>
      <c r="BJ38" s="230">
        <v>3540000</v>
      </c>
      <c r="BK38" s="229">
        <v>0.24160000000000001</v>
      </c>
      <c r="BL38" s="230">
        <v>10805000</v>
      </c>
      <c r="BM38" s="230">
        <v>7402500</v>
      </c>
      <c r="BN38" s="230">
        <v>3402500</v>
      </c>
      <c r="BO38" s="229">
        <v>0.45960000000000001</v>
      </c>
      <c r="BP38" s="230">
        <v>36972500</v>
      </c>
      <c r="BQ38" s="230">
        <v>27825000</v>
      </c>
      <c r="BR38" s="230">
        <v>9147500</v>
      </c>
      <c r="BS38" s="229">
        <v>0.32879999999999998</v>
      </c>
      <c r="BT38" s="230">
        <v>2491078</v>
      </c>
      <c r="BU38" s="230">
        <v>2655787</v>
      </c>
      <c r="BV38" s="230">
        <v>-164709</v>
      </c>
      <c r="BW38" s="229">
        <v>-6.2E-2</v>
      </c>
      <c r="BX38" s="230">
        <v>39532500</v>
      </c>
      <c r="BY38" s="230">
        <v>40217500</v>
      </c>
      <c r="BZ38" s="230">
        <v>-685000</v>
      </c>
      <c r="CA38" s="229">
        <v>-1.7000000000000001E-2</v>
      </c>
      <c r="CB38" s="230">
        <v>31662500</v>
      </c>
      <c r="CC38" s="230">
        <v>33340000</v>
      </c>
      <c r="CD38" s="230">
        <v>-1677500</v>
      </c>
      <c r="CE38" s="229">
        <v>-5.0299999999999997E-2</v>
      </c>
      <c r="CF38" s="230">
        <v>7520000</v>
      </c>
      <c r="CG38" s="230">
        <v>6562500</v>
      </c>
      <c r="CH38" s="230">
        <v>957500</v>
      </c>
      <c r="CI38" s="229">
        <v>0.1459</v>
      </c>
      <c r="CJ38" s="228">
        <v>0</v>
      </c>
      <c r="CK38" s="228">
        <v>0</v>
      </c>
      <c r="CL38" s="228">
        <v>0</v>
      </c>
      <c r="CM38" s="229">
        <v>0</v>
      </c>
      <c r="CN38" s="230">
        <v>22765000</v>
      </c>
      <c r="CO38" s="230">
        <v>22787500</v>
      </c>
      <c r="CP38" s="230">
        <v>-22500</v>
      </c>
      <c r="CQ38" s="229">
        <v>-1E-3</v>
      </c>
      <c r="CR38" s="230">
        <v>14855000</v>
      </c>
      <c r="CS38" s="230">
        <v>16167500</v>
      </c>
      <c r="CT38" s="230">
        <v>-1312500</v>
      </c>
      <c r="CU38" s="229">
        <v>-8.1199999999999994E-2</v>
      </c>
      <c r="CV38" s="230">
        <v>77152500</v>
      </c>
      <c r="CW38" s="230">
        <v>79172500</v>
      </c>
      <c r="CX38" s="230">
        <v>-2020000</v>
      </c>
      <c r="CY38" s="229">
        <v>-2.5499999999999998E-2</v>
      </c>
      <c r="CZ38" s="228">
        <v>30.2</v>
      </c>
      <c r="DA38" s="228">
        <v>31.45</v>
      </c>
      <c r="DB38" s="228">
        <v>-1.25</v>
      </c>
      <c r="DC38" s="228">
        <v>-1.25</v>
      </c>
      <c r="DD38" s="228">
        <v>41.31</v>
      </c>
      <c r="DE38" s="228">
        <v>41.33</v>
      </c>
      <c r="DF38" s="228">
        <v>-11.11</v>
      </c>
      <c r="DG38" s="228">
        <v>-0.02</v>
      </c>
      <c r="DH38" s="228">
        <v>30.92</v>
      </c>
      <c r="DI38" s="228">
        <v>31.51</v>
      </c>
      <c r="DJ38" s="228">
        <v>-0.59</v>
      </c>
      <c r="DK38" s="228">
        <v>-0.59</v>
      </c>
      <c r="DL38" s="228">
        <v>29</v>
      </c>
      <c r="DM38" s="228">
        <v>31.32</v>
      </c>
      <c r="DN38" s="228">
        <v>-2.3199999999999998</v>
      </c>
      <c r="DO38" s="228">
        <v>-2.3199999999999998</v>
      </c>
      <c r="DP38" s="228">
        <v>0.65</v>
      </c>
      <c r="DQ38" s="228">
        <v>0.71</v>
      </c>
      <c r="DR38" s="228">
        <v>-0.06</v>
      </c>
      <c r="DS38" s="229">
        <v>-8.4500000000000006E-2</v>
      </c>
      <c r="DT38" s="228">
        <v>400</v>
      </c>
      <c r="DU38" s="228">
        <v>390</v>
      </c>
      <c r="DV38" s="228">
        <v>0.59</v>
      </c>
      <c r="DW38" s="228">
        <v>0.51</v>
      </c>
      <c r="DX38" s="228">
        <v>0.08</v>
      </c>
      <c r="DY38" s="229">
        <v>0.15690000000000001</v>
      </c>
      <c r="DZ38" s="229">
        <v>0.19020000000000001</v>
      </c>
      <c r="EA38" s="230">
        <v>6562500</v>
      </c>
      <c r="EB38" s="229">
        <v>5.3E-3</v>
      </c>
      <c r="EC38" s="229">
        <v>0.19020000000000001</v>
      </c>
      <c r="ED38" s="228">
        <v>2.42</v>
      </c>
      <c r="EE38" s="229">
        <v>6.1999999999999998E-3</v>
      </c>
      <c r="EF38" s="230">
        <v>1260613</v>
      </c>
      <c r="EG38" s="230">
        <v>1413410</v>
      </c>
      <c r="EH38" s="229">
        <v>-0.1081</v>
      </c>
      <c r="EI38" s="229">
        <v>0.50609999999999999</v>
      </c>
      <c r="EJ38" s="231">
        <v>74541.33</v>
      </c>
      <c r="EK38" s="231">
        <v>41932.35</v>
      </c>
      <c r="EL38" s="231">
        <v>31197.09</v>
      </c>
      <c r="EM38" s="228">
        <v>0</v>
      </c>
      <c r="EN38" s="231">
        <v>147670.76999999999</v>
      </c>
      <c r="EO38" s="231">
        <v>112529.56</v>
      </c>
      <c r="EP38" s="231">
        <v>35141.21</v>
      </c>
      <c r="EQ38" s="229">
        <v>0.31230000000000002</v>
      </c>
      <c r="ER38" s="231">
        <v>90087</v>
      </c>
      <c r="ES38" s="231">
        <v>54492</v>
      </c>
      <c r="ET38" s="231">
        <v>153575</v>
      </c>
      <c r="EU38" s="231">
        <v>121306033</v>
      </c>
      <c r="EV38" s="231">
        <v>298154</v>
      </c>
      <c r="EW38" s="231">
        <v>309467</v>
      </c>
      <c r="EX38" s="231">
        <v>-11313</v>
      </c>
      <c r="EY38" s="229">
        <v>-3.6600000000000001E-2</v>
      </c>
      <c r="EZ38" s="229">
        <v>0.63600000000000001</v>
      </c>
      <c r="FA38" s="227" t="s">
        <v>568</v>
      </c>
      <c r="FB38" s="161">
        <f t="shared" si="0"/>
        <v>7870000</v>
      </c>
    </row>
    <row r="39" spans="1:158" ht="17.25" thickBot="1" x14ac:dyDescent="0.3">
      <c r="A39" s="226">
        <v>45860</v>
      </c>
      <c r="B39" s="227" t="s">
        <v>184</v>
      </c>
      <c r="C39" s="227" t="s">
        <v>681</v>
      </c>
      <c r="D39" s="228">
        <v>325</v>
      </c>
      <c r="E39" s="231">
        <v>1769.4</v>
      </c>
      <c r="F39" s="231">
        <v>1823.8</v>
      </c>
      <c r="G39" s="228">
        <v>-54.4</v>
      </c>
      <c r="H39" s="229">
        <v>-2.98E-2</v>
      </c>
      <c r="I39" s="231">
        <v>1764.2</v>
      </c>
      <c r="J39" s="231">
        <v>1819.6</v>
      </c>
      <c r="K39" s="228">
        <v>-55.4</v>
      </c>
      <c r="L39" s="229">
        <v>-3.04E-2</v>
      </c>
      <c r="M39" s="231">
        <v>1769.4</v>
      </c>
      <c r="N39" s="231">
        <v>1823.8</v>
      </c>
      <c r="O39" s="228">
        <v>-54.4</v>
      </c>
      <c r="P39" s="229">
        <v>-2.98E-2</v>
      </c>
      <c r="Q39" s="231">
        <v>1765.6</v>
      </c>
      <c r="R39" s="231">
        <v>1820.5</v>
      </c>
      <c r="S39" s="228">
        <v>-54.9</v>
      </c>
      <c r="T39" s="229">
        <v>-3.0200000000000001E-2</v>
      </c>
      <c r="U39" s="228">
        <v>0</v>
      </c>
      <c r="V39" s="228">
        <v>0</v>
      </c>
      <c r="W39" s="228">
        <v>0</v>
      </c>
      <c r="X39" s="229">
        <v>0</v>
      </c>
      <c r="Y39" s="228">
        <v>5.2</v>
      </c>
      <c r="Z39" s="228">
        <v>4.2</v>
      </c>
      <c r="AA39" s="228">
        <v>1</v>
      </c>
      <c r="AB39" s="229">
        <v>2.8999999999999998E-3</v>
      </c>
      <c r="AC39" s="228">
        <v>5.2</v>
      </c>
      <c r="AD39" s="228">
        <v>4.2</v>
      </c>
      <c r="AE39" s="228">
        <v>1</v>
      </c>
      <c r="AF39" s="229">
        <v>2.8999999999999998E-3</v>
      </c>
      <c r="AG39" s="228">
        <v>1.4</v>
      </c>
      <c r="AH39" s="228">
        <v>0.9</v>
      </c>
      <c r="AI39" s="228">
        <v>0.5</v>
      </c>
      <c r="AJ39" s="229">
        <v>8.0000000000000004E-4</v>
      </c>
      <c r="AK39" s="228">
        <v>0</v>
      </c>
      <c r="AL39" s="228">
        <v>0</v>
      </c>
      <c r="AM39" s="228">
        <v>0</v>
      </c>
      <c r="AN39" s="229">
        <v>0</v>
      </c>
      <c r="AO39" s="231">
        <v>1785.1</v>
      </c>
      <c r="AP39" s="231">
        <v>1785.68</v>
      </c>
      <c r="AQ39" s="228">
        <v>0</v>
      </c>
      <c r="AR39" s="230">
        <v>1050725</v>
      </c>
      <c r="AS39" s="230">
        <v>509600</v>
      </c>
      <c r="AT39" s="230">
        <v>541125</v>
      </c>
      <c r="AU39" s="229">
        <v>1.0619000000000001</v>
      </c>
      <c r="AV39" s="230">
        <v>753675</v>
      </c>
      <c r="AW39" s="230">
        <v>433225</v>
      </c>
      <c r="AX39" s="230">
        <v>320450</v>
      </c>
      <c r="AY39" s="229">
        <v>0.73970000000000002</v>
      </c>
      <c r="AZ39" s="230">
        <v>254800</v>
      </c>
      <c r="BA39" s="230">
        <v>72475</v>
      </c>
      <c r="BB39" s="230">
        <v>182325</v>
      </c>
      <c r="BC39" s="229">
        <v>2.5156999999999998</v>
      </c>
      <c r="BD39" s="228">
        <v>0</v>
      </c>
      <c r="BE39" s="228">
        <v>0</v>
      </c>
      <c r="BF39" s="228">
        <v>0</v>
      </c>
      <c r="BG39" s="229">
        <v>0</v>
      </c>
      <c r="BH39" s="230">
        <v>2813200</v>
      </c>
      <c r="BI39" s="230">
        <v>1984125</v>
      </c>
      <c r="BJ39" s="230">
        <v>829075</v>
      </c>
      <c r="BK39" s="229">
        <v>0.41789999999999999</v>
      </c>
      <c r="BL39" s="230">
        <v>2388100</v>
      </c>
      <c r="BM39" s="230">
        <v>3517150</v>
      </c>
      <c r="BN39" s="230">
        <v>-1129050</v>
      </c>
      <c r="BO39" s="229">
        <v>-0.32100000000000001</v>
      </c>
      <c r="BP39" s="230">
        <v>6252025</v>
      </c>
      <c r="BQ39" s="230">
        <v>6010875</v>
      </c>
      <c r="BR39" s="230">
        <v>241150</v>
      </c>
      <c r="BS39" s="229">
        <v>4.0099999999999997E-2</v>
      </c>
      <c r="BT39" s="230">
        <v>939908</v>
      </c>
      <c r="BU39" s="230">
        <v>494022</v>
      </c>
      <c r="BV39" s="230">
        <v>445886</v>
      </c>
      <c r="BW39" s="229">
        <v>0.90259999999999996</v>
      </c>
      <c r="BX39" s="230">
        <v>2234700</v>
      </c>
      <c r="BY39" s="230">
        <v>2148575</v>
      </c>
      <c r="BZ39" s="230">
        <v>86125</v>
      </c>
      <c r="CA39" s="229">
        <v>4.0099999999999997E-2</v>
      </c>
      <c r="CB39" s="230">
        <v>1630200</v>
      </c>
      <c r="CC39" s="230">
        <v>1651325</v>
      </c>
      <c r="CD39" s="230">
        <v>-21125</v>
      </c>
      <c r="CE39" s="229">
        <v>-1.2800000000000001E-2</v>
      </c>
      <c r="CF39" s="230">
        <v>555750</v>
      </c>
      <c r="CG39" s="230">
        <v>479050</v>
      </c>
      <c r="CH39" s="230">
        <v>76700</v>
      </c>
      <c r="CI39" s="229">
        <v>0.16009999999999999</v>
      </c>
      <c r="CJ39" s="228">
        <v>0</v>
      </c>
      <c r="CK39" s="228">
        <v>0</v>
      </c>
      <c r="CL39" s="228">
        <v>0</v>
      </c>
      <c r="CM39" s="229">
        <v>0</v>
      </c>
      <c r="CN39" s="230">
        <v>1662375</v>
      </c>
      <c r="CO39" s="230">
        <v>1534000</v>
      </c>
      <c r="CP39" s="230">
        <v>128375</v>
      </c>
      <c r="CQ39" s="229">
        <v>8.3699999999999997E-2</v>
      </c>
      <c r="CR39" s="230">
        <v>1669200</v>
      </c>
      <c r="CS39" s="230">
        <v>1748825</v>
      </c>
      <c r="CT39" s="230">
        <v>-79625</v>
      </c>
      <c r="CU39" s="229">
        <v>-4.5499999999999999E-2</v>
      </c>
      <c r="CV39" s="230">
        <v>5566275</v>
      </c>
      <c r="CW39" s="230">
        <v>5431400</v>
      </c>
      <c r="CX39" s="230">
        <v>134875</v>
      </c>
      <c r="CY39" s="229">
        <v>2.4799999999999999E-2</v>
      </c>
      <c r="CZ39" s="228">
        <v>32.5</v>
      </c>
      <c r="DA39" s="228">
        <v>33.44</v>
      </c>
      <c r="DB39" s="228">
        <v>-0.94</v>
      </c>
      <c r="DC39" s="228">
        <v>-0.94</v>
      </c>
      <c r="DD39" s="228">
        <v>45.1</v>
      </c>
      <c r="DE39" s="228">
        <v>45.02</v>
      </c>
      <c r="DF39" s="228">
        <v>-12.6</v>
      </c>
      <c r="DG39" s="228">
        <v>0.08</v>
      </c>
      <c r="DH39" s="228">
        <v>34.76</v>
      </c>
      <c r="DI39" s="228">
        <v>34.61</v>
      </c>
      <c r="DJ39" s="228">
        <v>0.15</v>
      </c>
      <c r="DK39" s="228">
        <v>0.15</v>
      </c>
      <c r="DL39" s="228">
        <v>29.84</v>
      </c>
      <c r="DM39" s="228">
        <v>32.78</v>
      </c>
      <c r="DN39" s="228">
        <v>-2.94</v>
      </c>
      <c r="DO39" s="228">
        <v>-2.94</v>
      </c>
      <c r="DP39" s="228">
        <v>1</v>
      </c>
      <c r="DQ39" s="228">
        <v>1.1399999999999999</v>
      </c>
      <c r="DR39" s="228">
        <v>-0.14000000000000001</v>
      </c>
      <c r="DS39" s="229">
        <v>-0.12280000000000001</v>
      </c>
      <c r="DT39" s="231">
        <v>1900</v>
      </c>
      <c r="DU39" s="231">
        <v>1700</v>
      </c>
      <c r="DV39" s="228">
        <v>0.85</v>
      </c>
      <c r="DW39" s="228">
        <v>1.77</v>
      </c>
      <c r="DX39" s="228">
        <v>-0.92</v>
      </c>
      <c r="DY39" s="229">
        <v>-0.51980000000000004</v>
      </c>
      <c r="DZ39" s="229">
        <v>0.2487</v>
      </c>
      <c r="EA39" s="230">
        <v>479050</v>
      </c>
      <c r="EB39" s="229">
        <v>-2.0999999999999999E-3</v>
      </c>
      <c r="EC39" s="229">
        <v>0.2487</v>
      </c>
      <c r="ED39" s="228">
        <v>0.57999999999999996</v>
      </c>
      <c r="EE39" s="229">
        <v>2.9999999999999997E-4</v>
      </c>
      <c r="EF39" s="230">
        <v>469891</v>
      </c>
      <c r="EG39" s="230">
        <v>201587</v>
      </c>
      <c r="EH39" s="229">
        <v>1.331</v>
      </c>
      <c r="EI39" s="229">
        <v>0.49990000000000001</v>
      </c>
      <c r="EJ39" s="231">
        <v>53512.58</v>
      </c>
      <c r="EK39" s="231">
        <v>42109.03</v>
      </c>
      <c r="EL39" s="231">
        <v>18756.52</v>
      </c>
      <c r="EM39" s="228">
        <v>0</v>
      </c>
      <c r="EN39" s="231">
        <v>114378.13</v>
      </c>
      <c r="EO39" s="231">
        <v>108728.49</v>
      </c>
      <c r="EP39" s="231">
        <v>5649.64</v>
      </c>
      <c r="EQ39" s="229">
        <v>5.1999999999999998E-2</v>
      </c>
      <c r="ER39" s="231">
        <v>30997</v>
      </c>
      <c r="ES39" s="231">
        <v>28121</v>
      </c>
      <c r="ET39" s="231">
        <v>39518</v>
      </c>
      <c r="EU39" s="231">
        <v>26123462</v>
      </c>
      <c r="EV39" s="231">
        <v>98636</v>
      </c>
      <c r="EW39" s="231">
        <v>97366</v>
      </c>
      <c r="EX39" s="231">
        <v>1270</v>
      </c>
      <c r="EY39" s="229">
        <v>1.2999999999999999E-2</v>
      </c>
      <c r="EZ39" s="229">
        <v>0.21310000000000001</v>
      </c>
      <c r="FA39" s="227" t="s">
        <v>567</v>
      </c>
      <c r="FB39" s="161">
        <f t="shared" si="0"/>
        <v>604500</v>
      </c>
    </row>
    <row r="40" spans="1:158" ht="17.25" thickBot="1" x14ac:dyDescent="0.3">
      <c r="A40" s="226">
        <v>45860</v>
      </c>
      <c r="B40" s="227" t="s">
        <v>162</v>
      </c>
      <c r="C40" s="227" t="s">
        <v>192</v>
      </c>
      <c r="D40" s="228">
        <v>25</v>
      </c>
      <c r="E40" s="231">
        <v>37350</v>
      </c>
      <c r="F40" s="231">
        <v>37985</v>
      </c>
      <c r="G40" s="228">
        <v>-635</v>
      </c>
      <c r="H40" s="229">
        <v>-1.67E-2</v>
      </c>
      <c r="I40" s="231">
        <v>37755</v>
      </c>
      <c r="J40" s="231">
        <v>38320</v>
      </c>
      <c r="K40" s="228">
        <v>-565</v>
      </c>
      <c r="L40" s="229">
        <v>-1.47E-2</v>
      </c>
      <c r="M40" s="231">
        <v>37350</v>
      </c>
      <c r="N40" s="231">
        <v>37985</v>
      </c>
      <c r="O40" s="228">
        <v>-635</v>
      </c>
      <c r="P40" s="229">
        <v>-1.67E-2</v>
      </c>
      <c r="Q40" s="231">
        <v>37535</v>
      </c>
      <c r="R40" s="231">
        <v>38170</v>
      </c>
      <c r="S40" s="228">
        <v>-635</v>
      </c>
      <c r="T40" s="229">
        <v>-1.66E-2</v>
      </c>
      <c r="U40" s="228">
        <v>0</v>
      </c>
      <c r="V40" s="228">
        <v>0</v>
      </c>
      <c r="W40" s="228">
        <v>0</v>
      </c>
      <c r="X40" s="229">
        <v>0</v>
      </c>
      <c r="Y40" s="228">
        <v>-405</v>
      </c>
      <c r="Z40" s="228">
        <v>-335</v>
      </c>
      <c r="AA40" s="228">
        <v>-70</v>
      </c>
      <c r="AB40" s="229">
        <v>-1.0699999999999999E-2</v>
      </c>
      <c r="AC40" s="228">
        <v>-405</v>
      </c>
      <c r="AD40" s="228">
        <v>-335</v>
      </c>
      <c r="AE40" s="228">
        <v>-70</v>
      </c>
      <c r="AF40" s="229">
        <v>-1.0699999999999999E-2</v>
      </c>
      <c r="AG40" s="228">
        <v>-220</v>
      </c>
      <c r="AH40" s="228">
        <v>-150</v>
      </c>
      <c r="AI40" s="228">
        <v>-70</v>
      </c>
      <c r="AJ40" s="229">
        <v>-5.7999999999999996E-3</v>
      </c>
      <c r="AK40" s="228">
        <v>0</v>
      </c>
      <c r="AL40" s="228">
        <v>0</v>
      </c>
      <c r="AM40" s="228">
        <v>0</v>
      </c>
      <c r="AN40" s="229">
        <v>0</v>
      </c>
      <c r="AO40" s="231">
        <v>37362.720000000001</v>
      </c>
      <c r="AP40" s="231">
        <v>37529.89</v>
      </c>
      <c r="AQ40" s="228">
        <v>0</v>
      </c>
      <c r="AR40" s="230">
        <v>70025</v>
      </c>
      <c r="AS40" s="230">
        <v>63000</v>
      </c>
      <c r="AT40" s="230">
        <v>7025</v>
      </c>
      <c r="AU40" s="229">
        <v>0.1115</v>
      </c>
      <c r="AV40" s="230">
        <v>59950</v>
      </c>
      <c r="AW40" s="230">
        <v>56600</v>
      </c>
      <c r="AX40" s="230">
        <v>3350</v>
      </c>
      <c r="AY40" s="229">
        <v>5.9200000000000003E-2</v>
      </c>
      <c r="AZ40" s="230">
        <v>9300</v>
      </c>
      <c r="BA40" s="230">
        <v>5925</v>
      </c>
      <c r="BB40" s="230">
        <v>3375</v>
      </c>
      <c r="BC40" s="229">
        <v>0.5696</v>
      </c>
      <c r="BD40" s="228">
        <v>0</v>
      </c>
      <c r="BE40" s="228">
        <v>0</v>
      </c>
      <c r="BF40" s="228">
        <v>0</v>
      </c>
      <c r="BG40" s="229">
        <v>0</v>
      </c>
      <c r="BH40" s="230">
        <v>711800</v>
      </c>
      <c r="BI40" s="230">
        <v>568750</v>
      </c>
      <c r="BJ40" s="230">
        <v>143050</v>
      </c>
      <c r="BK40" s="229">
        <v>0.2515</v>
      </c>
      <c r="BL40" s="230">
        <v>366775</v>
      </c>
      <c r="BM40" s="230">
        <v>210550</v>
      </c>
      <c r="BN40" s="230">
        <v>156225</v>
      </c>
      <c r="BO40" s="229">
        <v>0.74199999999999999</v>
      </c>
      <c r="BP40" s="230">
        <v>1148600</v>
      </c>
      <c r="BQ40" s="230">
        <v>842300</v>
      </c>
      <c r="BR40" s="230">
        <v>306300</v>
      </c>
      <c r="BS40" s="229">
        <v>0.36359999999999998</v>
      </c>
      <c r="BT40" s="230">
        <v>27684</v>
      </c>
      <c r="BU40" s="230">
        <v>24729</v>
      </c>
      <c r="BV40" s="230">
        <v>2955</v>
      </c>
      <c r="BW40" s="229">
        <v>0.1195</v>
      </c>
      <c r="BX40" s="230">
        <v>328850</v>
      </c>
      <c r="BY40" s="230">
        <v>341575</v>
      </c>
      <c r="BZ40" s="230">
        <v>-12725</v>
      </c>
      <c r="CA40" s="229">
        <v>-3.73E-2</v>
      </c>
      <c r="CB40" s="230">
        <v>313175</v>
      </c>
      <c r="CC40" s="230">
        <v>325325</v>
      </c>
      <c r="CD40" s="230">
        <v>-12150</v>
      </c>
      <c r="CE40" s="229">
        <v>-3.73E-2</v>
      </c>
      <c r="CF40" s="230">
        <v>12300</v>
      </c>
      <c r="CG40" s="230">
        <v>13050</v>
      </c>
      <c r="CH40" s="228">
        <v>-750</v>
      </c>
      <c r="CI40" s="229">
        <v>-5.7500000000000002E-2</v>
      </c>
      <c r="CJ40" s="228">
        <v>0</v>
      </c>
      <c r="CK40" s="228">
        <v>0</v>
      </c>
      <c r="CL40" s="228">
        <v>0</v>
      </c>
      <c r="CM40" s="229">
        <v>0</v>
      </c>
      <c r="CN40" s="230">
        <v>443375</v>
      </c>
      <c r="CO40" s="230">
        <v>494775</v>
      </c>
      <c r="CP40" s="230">
        <v>-51400</v>
      </c>
      <c r="CQ40" s="229">
        <v>-0.10390000000000001</v>
      </c>
      <c r="CR40" s="230">
        <v>248725</v>
      </c>
      <c r="CS40" s="230">
        <v>267450</v>
      </c>
      <c r="CT40" s="230">
        <v>-18725</v>
      </c>
      <c r="CU40" s="229">
        <v>-7.0000000000000007E-2</v>
      </c>
      <c r="CV40" s="230">
        <v>1020950</v>
      </c>
      <c r="CW40" s="230">
        <v>1103800</v>
      </c>
      <c r="CX40" s="230">
        <v>-82850</v>
      </c>
      <c r="CY40" s="229">
        <v>-7.51E-2</v>
      </c>
      <c r="CZ40" s="228">
        <v>31.64</v>
      </c>
      <c r="DA40" s="228">
        <v>33.9</v>
      </c>
      <c r="DB40" s="228">
        <v>-2.2599999999999998</v>
      </c>
      <c r="DC40" s="228">
        <v>-2.2599999999999998</v>
      </c>
      <c r="DD40" s="228">
        <v>29.64</v>
      </c>
      <c r="DE40" s="228">
        <v>29.63</v>
      </c>
      <c r="DF40" s="228">
        <v>2</v>
      </c>
      <c r="DG40" s="228">
        <v>0.01</v>
      </c>
      <c r="DH40" s="228">
        <v>32.270000000000003</v>
      </c>
      <c r="DI40" s="228">
        <v>33.64</v>
      </c>
      <c r="DJ40" s="228">
        <v>-1.37</v>
      </c>
      <c r="DK40" s="228">
        <v>-1.37</v>
      </c>
      <c r="DL40" s="228">
        <v>30.43</v>
      </c>
      <c r="DM40" s="228">
        <v>34.6</v>
      </c>
      <c r="DN40" s="228">
        <v>-4.17</v>
      </c>
      <c r="DO40" s="228">
        <v>-4.17</v>
      </c>
      <c r="DP40" s="228">
        <v>0.56000000000000005</v>
      </c>
      <c r="DQ40" s="228">
        <v>0.54</v>
      </c>
      <c r="DR40" s="228">
        <v>0.02</v>
      </c>
      <c r="DS40" s="229">
        <v>3.6999999999999998E-2</v>
      </c>
      <c r="DT40" s="231">
        <v>43000</v>
      </c>
      <c r="DU40" s="231">
        <v>35000</v>
      </c>
      <c r="DV40" s="228">
        <v>0.52</v>
      </c>
      <c r="DW40" s="228">
        <v>0.37</v>
      </c>
      <c r="DX40" s="228">
        <v>0.15</v>
      </c>
      <c r="DY40" s="229">
        <v>0.40539999999999998</v>
      </c>
      <c r="DZ40" s="229">
        <v>3.7400000000000003E-2</v>
      </c>
      <c r="EA40" s="230">
        <v>13050</v>
      </c>
      <c r="EB40" s="229">
        <v>5.0000000000000001E-3</v>
      </c>
      <c r="EC40" s="229">
        <v>3.7400000000000003E-2</v>
      </c>
      <c r="ED40" s="228">
        <v>167.17</v>
      </c>
      <c r="EE40" s="229">
        <v>4.4999999999999997E-3</v>
      </c>
      <c r="EF40" s="230">
        <v>8194</v>
      </c>
      <c r="EG40" s="230">
        <v>7890</v>
      </c>
      <c r="EH40" s="229">
        <v>3.85E-2</v>
      </c>
      <c r="EI40" s="229">
        <v>0.29599999999999999</v>
      </c>
      <c r="EJ40" s="231">
        <v>285301.8</v>
      </c>
      <c r="EK40" s="231">
        <v>130919.31</v>
      </c>
      <c r="EL40" s="231">
        <v>26180.82</v>
      </c>
      <c r="EM40" s="228">
        <v>0</v>
      </c>
      <c r="EN40" s="231">
        <v>442401.93</v>
      </c>
      <c r="EO40" s="231">
        <v>329984.26</v>
      </c>
      <c r="EP40" s="231">
        <v>112417.67</v>
      </c>
      <c r="EQ40" s="229">
        <v>0.3407</v>
      </c>
      <c r="ER40" s="231">
        <v>174564</v>
      </c>
      <c r="ES40" s="231">
        <v>85066</v>
      </c>
      <c r="ET40" s="231">
        <v>122857</v>
      </c>
      <c r="EU40" s="231">
        <v>1737683</v>
      </c>
      <c r="EV40" s="231">
        <v>382486</v>
      </c>
      <c r="EW40" s="231">
        <v>416852</v>
      </c>
      <c r="EX40" s="231">
        <v>-34366</v>
      </c>
      <c r="EY40" s="229">
        <v>-8.2400000000000001E-2</v>
      </c>
      <c r="EZ40" s="229">
        <v>0.58750000000000002</v>
      </c>
      <c r="FA40" s="227" t="s">
        <v>568</v>
      </c>
      <c r="FB40" s="161">
        <f t="shared" si="0"/>
        <v>15675</v>
      </c>
    </row>
    <row r="41" spans="1:158" ht="17.25" thickBot="1" x14ac:dyDescent="0.3">
      <c r="A41" s="226">
        <v>45860</v>
      </c>
      <c r="B41" s="227" t="s">
        <v>193</v>
      </c>
      <c r="C41" s="227" t="s">
        <v>194</v>
      </c>
      <c r="D41" s="228">
        <v>1975</v>
      </c>
      <c r="E41" s="228">
        <v>336.5</v>
      </c>
      <c r="F41" s="228">
        <v>338.8</v>
      </c>
      <c r="G41" s="228">
        <v>-2.2999999999999998</v>
      </c>
      <c r="H41" s="229">
        <v>-6.7999999999999996E-3</v>
      </c>
      <c r="I41" s="228">
        <v>340.35</v>
      </c>
      <c r="J41" s="228">
        <v>342.6</v>
      </c>
      <c r="K41" s="228">
        <v>-2.25</v>
      </c>
      <c r="L41" s="229">
        <v>-6.6E-3</v>
      </c>
      <c r="M41" s="228">
        <v>336.5</v>
      </c>
      <c r="N41" s="228">
        <v>338.8</v>
      </c>
      <c r="O41" s="228">
        <v>-2.2999999999999998</v>
      </c>
      <c r="P41" s="229">
        <v>-6.7999999999999996E-3</v>
      </c>
      <c r="Q41" s="228">
        <v>336.3</v>
      </c>
      <c r="R41" s="228">
        <v>337.95</v>
      </c>
      <c r="S41" s="228">
        <v>-1.65</v>
      </c>
      <c r="T41" s="229">
        <v>-4.8999999999999998E-3</v>
      </c>
      <c r="U41" s="228">
        <v>0</v>
      </c>
      <c r="V41" s="228">
        <v>0</v>
      </c>
      <c r="W41" s="228">
        <v>0</v>
      </c>
      <c r="X41" s="229">
        <v>0</v>
      </c>
      <c r="Y41" s="228">
        <v>-3.85</v>
      </c>
      <c r="Z41" s="228">
        <v>-3.8</v>
      </c>
      <c r="AA41" s="228">
        <v>-0.05</v>
      </c>
      <c r="AB41" s="229">
        <v>-1.1299999999999999E-2</v>
      </c>
      <c r="AC41" s="228">
        <v>-3.85</v>
      </c>
      <c r="AD41" s="228">
        <v>-3.8</v>
      </c>
      <c r="AE41" s="228">
        <v>-0.05</v>
      </c>
      <c r="AF41" s="229">
        <v>-1.1299999999999999E-2</v>
      </c>
      <c r="AG41" s="228">
        <v>-4.05</v>
      </c>
      <c r="AH41" s="228">
        <v>-4.6500000000000004</v>
      </c>
      <c r="AI41" s="228">
        <v>0.6</v>
      </c>
      <c r="AJ41" s="229">
        <v>-1.1900000000000001E-2</v>
      </c>
      <c r="AK41" s="228">
        <v>0</v>
      </c>
      <c r="AL41" s="228">
        <v>0</v>
      </c>
      <c r="AM41" s="228">
        <v>0</v>
      </c>
      <c r="AN41" s="229">
        <v>0</v>
      </c>
      <c r="AO41" s="228">
        <v>337.29</v>
      </c>
      <c r="AP41" s="228">
        <v>336.66</v>
      </c>
      <c r="AQ41" s="228">
        <v>0</v>
      </c>
      <c r="AR41" s="230">
        <v>6025725</v>
      </c>
      <c r="AS41" s="230">
        <v>5488525</v>
      </c>
      <c r="AT41" s="230">
        <v>537200</v>
      </c>
      <c r="AU41" s="229">
        <v>9.7900000000000001E-2</v>
      </c>
      <c r="AV41" s="230">
        <v>3955925</v>
      </c>
      <c r="AW41" s="230">
        <v>4915775</v>
      </c>
      <c r="AX41" s="230">
        <v>-959850</v>
      </c>
      <c r="AY41" s="229">
        <v>-0.1953</v>
      </c>
      <c r="AZ41" s="230">
        <v>2020425</v>
      </c>
      <c r="BA41" s="230">
        <v>513500</v>
      </c>
      <c r="BB41" s="230">
        <v>1506925</v>
      </c>
      <c r="BC41" s="229">
        <v>2.9346000000000001</v>
      </c>
      <c r="BD41" s="228">
        <v>0</v>
      </c>
      <c r="BE41" s="228">
        <v>0</v>
      </c>
      <c r="BF41" s="228">
        <v>0</v>
      </c>
      <c r="BG41" s="229">
        <v>0</v>
      </c>
      <c r="BH41" s="230">
        <v>11848025</v>
      </c>
      <c r="BI41" s="230">
        <v>11950725</v>
      </c>
      <c r="BJ41" s="230">
        <v>-102700</v>
      </c>
      <c r="BK41" s="229">
        <v>-8.6E-3</v>
      </c>
      <c r="BL41" s="230">
        <v>6375300</v>
      </c>
      <c r="BM41" s="230">
        <v>7803225</v>
      </c>
      <c r="BN41" s="230">
        <v>-1427925</v>
      </c>
      <c r="BO41" s="229">
        <v>-0.183</v>
      </c>
      <c r="BP41" s="230">
        <v>24249050</v>
      </c>
      <c r="BQ41" s="230">
        <v>25242475</v>
      </c>
      <c r="BR41" s="230">
        <v>-993425</v>
      </c>
      <c r="BS41" s="229">
        <v>-3.9399999999999998E-2</v>
      </c>
      <c r="BT41" s="230">
        <v>4747363</v>
      </c>
      <c r="BU41" s="230">
        <v>5517707</v>
      </c>
      <c r="BV41" s="230">
        <v>-770344</v>
      </c>
      <c r="BW41" s="229">
        <v>-0.1396</v>
      </c>
      <c r="BX41" s="230">
        <v>46213025</v>
      </c>
      <c r="BY41" s="230">
        <v>46457925</v>
      </c>
      <c r="BZ41" s="230">
        <v>-244900</v>
      </c>
      <c r="CA41" s="229">
        <v>-5.3E-3</v>
      </c>
      <c r="CB41" s="230">
        <v>32960775</v>
      </c>
      <c r="CC41" s="230">
        <v>33239250</v>
      </c>
      <c r="CD41" s="230">
        <v>-278475</v>
      </c>
      <c r="CE41" s="229">
        <v>-8.3999999999999995E-3</v>
      </c>
      <c r="CF41" s="230">
        <v>13080425</v>
      </c>
      <c r="CG41" s="230">
        <v>13066600</v>
      </c>
      <c r="CH41" s="230">
        <v>13825</v>
      </c>
      <c r="CI41" s="229">
        <v>1.1000000000000001E-3</v>
      </c>
      <c r="CJ41" s="228">
        <v>0</v>
      </c>
      <c r="CK41" s="228">
        <v>0</v>
      </c>
      <c r="CL41" s="228">
        <v>0</v>
      </c>
      <c r="CM41" s="229">
        <v>0</v>
      </c>
      <c r="CN41" s="230">
        <v>19667050</v>
      </c>
      <c r="CO41" s="230">
        <v>19819125</v>
      </c>
      <c r="CP41" s="230">
        <v>-152075</v>
      </c>
      <c r="CQ41" s="229">
        <v>-7.7000000000000002E-3</v>
      </c>
      <c r="CR41" s="230">
        <v>13826975</v>
      </c>
      <c r="CS41" s="230">
        <v>13789450</v>
      </c>
      <c r="CT41" s="230">
        <v>37525</v>
      </c>
      <c r="CU41" s="229">
        <v>2.7000000000000001E-3</v>
      </c>
      <c r="CV41" s="230">
        <v>79707050</v>
      </c>
      <c r="CW41" s="230">
        <v>80066500</v>
      </c>
      <c r="CX41" s="230">
        <v>-359450</v>
      </c>
      <c r="CY41" s="229">
        <v>-4.4999999999999997E-3</v>
      </c>
      <c r="CZ41" s="228">
        <v>28.21</v>
      </c>
      <c r="DA41" s="228">
        <v>28.77</v>
      </c>
      <c r="DB41" s="228">
        <v>-0.56000000000000005</v>
      </c>
      <c r="DC41" s="228">
        <v>-0.56000000000000005</v>
      </c>
      <c r="DD41" s="228">
        <v>36.01</v>
      </c>
      <c r="DE41" s="228">
        <v>36.090000000000003</v>
      </c>
      <c r="DF41" s="228">
        <v>-7.8</v>
      </c>
      <c r="DG41" s="228">
        <v>-0.08</v>
      </c>
      <c r="DH41" s="228">
        <v>29.02</v>
      </c>
      <c r="DI41" s="228">
        <v>29.03</v>
      </c>
      <c r="DJ41" s="228">
        <v>-0.01</v>
      </c>
      <c r="DK41" s="228">
        <v>-0.01</v>
      </c>
      <c r="DL41" s="228">
        <v>26.7</v>
      </c>
      <c r="DM41" s="228">
        <v>28.38</v>
      </c>
      <c r="DN41" s="228">
        <v>-1.68</v>
      </c>
      <c r="DO41" s="228">
        <v>-1.68</v>
      </c>
      <c r="DP41" s="228">
        <v>0.7</v>
      </c>
      <c r="DQ41" s="228">
        <v>0.7</v>
      </c>
      <c r="DR41" s="228">
        <v>0</v>
      </c>
      <c r="DS41" s="229">
        <v>0</v>
      </c>
      <c r="DT41" s="228">
        <v>360</v>
      </c>
      <c r="DU41" s="228">
        <v>330</v>
      </c>
      <c r="DV41" s="228">
        <v>0.54</v>
      </c>
      <c r="DW41" s="228">
        <v>0.65</v>
      </c>
      <c r="DX41" s="228">
        <v>-0.11</v>
      </c>
      <c r="DY41" s="229">
        <v>-0.16919999999999999</v>
      </c>
      <c r="DZ41" s="229">
        <v>0.28299999999999997</v>
      </c>
      <c r="EA41" s="230">
        <v>13066600</v>
      </c>
      <c r="EB41" s="229">
        <v>-5.9999999999999995E-4</v>
      </c>
      <c r="EC41" s="229">
        <v>0.28299999999999997</v>
      </c>
      <c r="ED41" s="228">
        <v>-0.63</v>
      </c>
      <c r="EE41" s="229">
        <v>-1.9E-3</v>
      </c>
      <c r="EF41" s="230">
        <v>3356510</v>
      </c>
      <c r="EG41" s="230">
        <v>3597729</v>
      </c>
      <c r="EH41" s="229">
        <v>-6.7000000000000004E-2</v>
      </c>
      <c r="EI41" s="229">
        <v>0.70699999999999996</v>
      </c>
      <c r="EJ41" s="231">
        <v>42156.83</v>
      </c>
      <c r="EK41" s="231">
        <v>21495.79</v>
      </c>
      <c r="EL41" s="231">
        <v>20312.09</v>
      </c>
      <c r="EM41" s="228">
        <v>0</v>
      </c>
      <c r="EN41" s="231">
        <v>83964.71</v>
      </c>
      <c r="EO41" s="231">
        <v>87200.38</v>
      </c>
      <c r="EP41" s="231">
        <v>-3235.67</v>
      </c>
      <c r="EQ41" s="229">
        <v>-3.7100000000000001E-2</v>
      </c>
      <c r="ER41" s="231">
        <v>69630</v>
      </c>
      <c r="ES41" s="231">
        <v>44462</v>
      </c>
      <c r="ET41" s="231">
        <v>155482</v>
      </c>
      <c r="EU41" s="231">
        <v>408027660</v>
      </c>
      <c r="EV41" s="231">
        <v>269574</v>
      </c>
      <c r="EW41" s="231">
        <v>272143</v>
      </c>
      <c r="EX41" s="231">
        <v>-2569</v>
      </c>
      <c r="EY41" s="229">
        <v>-9.4000000000000004E-3</v>
      </c>
      <c r="EZ41" s="229">
        <v>0.1953</v>
      </c>
      <c r="FA41" s="227" t="s">
        <v>568</v>
      </c>
      <c r="FB41" s="161">
        <f t="shared" si="0"/>
        <v>13252250</v>
      </c>
    </row>
    <row r="42" spans="1:158" ht="17.25" thickBot="1" x14ac:dyDescent="0.3">
      <c r="A42" s="226">
        <v>45860</v>
      </c>
      <c r="B42" s="227" t="s">
        <v>168</v>
      </c>
      <c r="C42" s="227" t="s">
        <v>195</v>
      </c>
      <c r="D42" s="228">
        <v>125</v>
      </c>
      <c r="E42" s="231">
        <v>5713</v>
      </c>
      <c r="F42" s="231">
        <v>5700.5</v>
      </c>
      <c r="G42" s="228">
        <v>12.5</v>
      </c>
      <c r="H42" s="229">
        <v>2.2000000000000001E-3</v>
      </c>
      <c r="I42" s="231">
        <v>5708.5</v>
      </c>
      <c r="J42" s="231">
        <v>5681.5</v>
      </c>
      <c r="K42" s="228">
        <v>27</v>
      </c>
      <c r="L42" s="229">
        <v>4.7999999999999996E-3</v>
      </c>
      <c r="M42" s="231">
        <v>5713</v>
      </c>
      <c r="N42" s="231">
        <v>5700.5</v>
      </c>
      <c r="O42" s="228">
        <v>12.5</v>
      </c>
      <c r="P42" s="229">
        <v>2.2000000000000001E-3</v>
      </c>
      <c r="Q42" s="231">
        <v>5673</v>
      </c>
      <c r="R42" s="231">
        <v>5652.5</v>
      </c>
      <c r="S42" s="228">
        <v>20.5</v>
      </c>
      <c r="T42" s="229">
        <v>3.5999999999999999E-3</v>
      </c>
      <c r="U42" s="228">
        <v>0</v>
      </c>
      <c r="V42" s="228">
        <v>0</v>
      </c>
      <c r="W42" s="228">
        <v>0</v>
      </c>
      <c r="X42" s="229">
        <v>0</v>
      </c>
      <c r="Y42" s="228">
        <v>4.5</v>
      </c>
      <c r="Z42" s="228">
        <v>19</v>
      </c>
      <c r="AA42" s="228">
        <v>-14.5</v>
      </c>
      <c r="AB42" s="229">
        <v>8.0000000000000004E-4</v>
      </c>
      <c r="AC42" s="228">
        <v>4.5</v>
      </c>
      <c r="AD42" s="228">
        <v>19</v>
      </c>
      <c r="AE42" s="228">
        <v>-14.5</v>
      </c>
      <c r="AF42" s="229">
        <v>8.0000000000000004E-4</v>
      </c>
      <c r="AG42" s="228">
        <v>-35.5</v>
      </c>
      <c r="AH42" s="228">
        <v>-29</v>
      </c>
      <c r="AI42" s="228">
        <v>-6.5</v>
      </c>
      <c r="AJ42" s="229">
        <v>-6.1999999999999998E-3</v>
      </c>
      <c r="AK42" s="228">
        <v>0</v>
      </c>
      <c r="AL42" s="228">
        <v>0</v>
      </c>
      <c r="AM42" s="228">
        <v>0</v>
      </c>
      <c r="AN42" s="229">
        <v>0</v>
      </c>
      <c r="AO42" s="231">
        <v>5705.38</v>
      </c>
      <c r="AP42" s="231">
        <v>5653.64</v>
      </c>
      <c r="AQ42" s="228">
        <v>0</v>
      </c>
      <c r="AR42" s="230">
        <v>347750</v>
      </c>
      <c r="AS42" s="230">
        <v>342375</v>
      </c>
      <c r="AT42" s="230">
        <v>5375</v>
      </c>
      <c r="AU42" s="229">
        <v>1.5699999999999999E-2</v>
      </c>
      <c r="AV42" s="230">
        <v>312000</v>
      </c>
      <c r="AW42" s="230">
        <v>259000</v>
      </c>
      <c r="AX42" s="230">
        <v>53000</v>
      </c>
      <c r="AY42" s="229">
        <v>0.2046</v>
      </c>
      <c r="AZ42" s="230">
        <v>35125</v>
      </c>
      <c r="BA42" s="230">
        <v>82625</v>
      </c>
      <c r="BB42" s="230">
        <v>-47500</v>
      </c>
      <c r="BC42" s="229">
        <v>-0.57489999999999997</v>
      </c>
      <c r="BD42" s="228">
        <v>0</v>
      </c>
      <c r="BE42" s="228">
        <v>0</v>
      </c>
      <c r="BF42" s="228">
        <v>0</v>
      </c>
      <c r="BG42" s="229">
        <v>0</v>
      </c>
      <c r="BH42" s="230">
        <v>1169000</v>
      </c>
      <c r="BI42" s="230">
        <v>782750</v>
      </c>
      <c r="BJ42" s="230">
        <v>386250</v>
      </c>
      <c r="BK42" s="229">
        <v>0.49349999999999999</v>
      </c>
      <c r="BL42" s="230">
        <v>660000</v>
      </c>
      <c r="BM42" s="230">
        <v>410000</v>
      </c>
      <c r="BN42" s="230">
        <v>250000</v>
      </c>
      <c r="BO42" s="229">
        <v>0.60980000000000001</v>
      </c>
      <c r="BP42" s="230">
        <v>2176750</v>
      </c>
      <c r="BQ42" s="230">
        <v>1535125</v>
      </c>
      <c r="BR42" s="230">
        <v>641625</v>
      </c>
      <c r="BS42" s="229">
        <v>0.41799999999999998</v>
      </c>
      <c r="BT42" s="230">
        <v>238753</v>
      </c>
      <c r="BU42" s="230">
        <v>332806</v>
      </c>
      <c r="BV42" s="230">
        <v>-94053</v>
      </c>
      <c r="BW42" s="229">
        <v>-0.28260000000000002</v>
      </c>
      <c r="BX42" s="230">
        <v>3155625</v>
      </c>
      <c r="BY42" s="230">
        <v>3139125</v>
      </c>
      <c r="BZ42" s="230">
        <v>16500</v>
      </c>
      <c r="CA42" s="229">
        <v>5.3E-3</v>
      </c>
      <c r="CB42" s="230">
        <v>2953500</v>
      </c>
      <c r="CC42" s="230">
        <v>2949250</v>
      </c>
      <c r="CD42" s="230">
        <v>4250</v>
      </c>
      <c r="CE42" s="229">
        <v>1.4E-3</v>
      </c>
      <c r="CF42" s="230">
        <v>198875</v>
      </c>
      <c r="CG42" s="230">
        <v>186625</v>
      </c>
      <c r="CH42" s="230">
        <v>12250</v>
      </c>
      <c r="CI42" s="229">
        <v>6.5600000000000006E-2</v>
      </c>
      <c r="CJ42" s="228">
        <v>0</v>
      </c>
      <c r="CK42" s="228">
        <v>0</v>
      </c>
      <c r="CL42" s="228">
        <v>0</v>
      </c>
      <c r="CM42" s="229">
        <v>0</v>
      </c>
      <c r="CN42" s="230">
        <v>761250</v>
      </c>
      <c r="CO42" s="230">
        <v>771625</v>
      </c>
      <c r="CP42" s="230">
        <v>-10375</v>
      </c>
      <c r="CQ42" s="229">
        <v>-1.34E-2</v>
      </c>
      <c r="CR42" s="230">
        <v>452250</v>
      </c>
      <c r="CS42" s="230">
        <v>422250</v>
      </c>
      <c r="CT42" s="230">
        <v>30000</v>
      </c>
      <c r="CU42" s="229">
        <v>7.0999999999999994E-2</v>
      </c>
      <c r="CV42" s="230">
        <v>4369125</v>
      </c>
      <c r="CW42" s="230">
        <v>4333000</v>
      </c>
      <c r="CX42" s="230">
        <v>36125</v>
      </c>
      <c r="CY42" s="229">
        <v>8.3000000000000001E-3</v>
      </c>
      <c r="CZ42" s="228">
        <v>20.94</v>
      </c>
      <c r="DA42" s="228">
        <v>21.68</v>
      </c>
      <c r="DB42" s="228">
        <v>-0.74</v>
      </c>
      <c r="DC42" s="228">
        <v>-0.74</v>
      </c>
      <c r="DD42" s="228">
        <v>23.96</v>
      </c>
      <c r="DE42" s="228">
        <v>24.01</v>
      </c>
      <c r="DF42" s="228">
        <v>-3.02</v>
      </c>
      <c r="DG42" s="228">
        <v>-0.05</v>
      </c>
      <c r="DH42" s="228">
        <v>21</v>
      </c>
      <c r="DI42" s="228">
        <v>21.93</v>
      </c>
      <c r="DJ42" s="228">
        <v>-0.93</v>
      </c>
      <c r="DK42" s="228">
        <v>-0.93</v>
      </c>
      <c r="DL42" s="228">
        <v>20.81</v>
      </c>
      <c r="DM42" s="228">
        <v>21.22</v>
      </c>
      <c r="DN42" s="228">
        <v>-0.41</v>
      </c>
      <c r="DO42" s="228">
        <v>-0.41</v>
      </c>
      <c r="DP42" s="228">
        <v>0.59</v>
      </c>
      <c r="DQ42" s="228">
        <v>0.55000000000000004</v>
      </c>
      <c r="DR42" s="228">
        <v>0.04</v>
      </c>
      <c r="DS42" s="229">
        <v>7.2700000000000001E-2</v>
      </c>
      <c r="DT42" s="231">
        <v>6000</v>
      </c>
      <c r="DU42" s="231">
        <v>5700</v>
      </c>
      <c r="DV42" s="228">
        <v>0.56000000000000005</v>
      </c>
      <c r="DW42" s="228">
        <v>0.52</v>
      </c>
      <c r="DX42" s="228">
        <v>0.04</v>
      </c>
      <c r="DY42" s="229">
        <v>7.6899999999999996E-2</v>
      </c>
      <c r="DZ42" s="229">
        <v>6.3E-2</v>
      </c>
      <c r="EA42" s="230">
        <v>186625</v>
      </c>
      <c r="EB42" s="229">
        <v>-7.0000000000000001E-3</v>
      </c>
      <c r="EC42" s="229">
        <v>6.3E-2</v>
      </c>
      <c r="ED42" s="228">
        <v>-51.74</v>
      </c>
      <c r="EE42" s="229">
        <v>-9.1000000000000004E-3</v>
      </c>
      <c r="EF42" s="230">
        <v>155843</v>
      </c>
      <c r="EG42" s="230">
        <v>238604</v>
      </c>
      <c r="EH42" s="229">
        <v>-0.34689999999999999</v>
      </c>
      <c r="EI42" s="229">
        <v>0.65269999999999995</v>
      </c>
      <c r="EJ42" s="231">
        <v>68480.399999999994</v>
      </c>
      <c r="EK42" s="231">
        <v>37545.370000000003</v>
      </c>
      <c r="EL42" s="231">
        <v>19822.099999999999</v>
      </c>
      <c r="EM42" s="228">
        <v>0</v>
      </c>
      <c r="EN42" s="231">
        <v>125847.87</v>
      </c>
      <c r="EO42" s="231">
        <v>88941.33</v>
      </c>
      <c r="EP42" s="231">
        <v>36906.54</v>
      </c>
      <c r="EQ42" s="229">
        <v>0.41499999999999998</v>
      </c>
      <c r="ER42" s="231">
        <v>45739</v>
      </c>
      <c r="ES42" s="231">
        <v>25054</v>
      </c>
      <c r="ET42" s="231">
        <v>180201</v>
      </c>
      <c r="EU42" s="231">
        <v>23823080</v>
      </c>
      <c r="EV42" s="231">
        <v>250994</v>
      </c>
      <c r="EW42" s="231">
        <v>248686</v>
      </c>
      <c r="EX42" s="231">
        <v>2308</v>
      </c>
      <c r="EY42" s="229">
        <v>9.2999999999999992E-3</v>
      </c>
      <c r="EZ42" s="229">
        <v>0.18340000000000001</v>
      </c>
      <c r="FA42" s="227" t="s">
        <v>555</v>
      </c>
      <c r="FB42" s="161">
        <f t="shared" si="0"/>
        <v>202125</v>
      </c>
    </row>
    <row r="43" spans="1:158" ht="17.25" thickBot="1" x14ac:dyDescent="0.3">
      <c r="A43" s="226">
        <v>45860</v>
      </c>
      <c r="B43" s="227" t="s">
        <v>175</v>
      </c>
      <c r="C43" s="227" t="s">
        <v>585</v>
      </c>
      <c r="D43" s="228">
        <v>375</v>
      </c>
      <c r="E43" s="231">
        <v>2551.1</v>
      </c>
      <c r="F43" s="231">
        <v>2528</v>
      </c>
      <c r="G43" s="228">
        <v>23.1</v>
      </c>
      <c r="H43" s="229">
        <v>9.1000000000000004E-3</v>
      </c>
      <c r="I43" s="231">
        <v>2548.4</v>
      </c>
      <c r="J43" s="231">
        <v>2521.3000000000002</v>
      </c>
      <c r="K43" s="228">
        <v>27.1</v>
      </c>
      <c r="L43" s="229">
        <v>1.0699999999999999E-2</v>
      </c>
      <c r="M43" s="231">
        <v>2551.1</v>
      </c>
      <c r="N43" s="231">
        <v>2528</v>
      </c>
      <c r="O43" s="228">
        <v>23.1</v>
      </c>
      <c r="P43" s="229">
        <v>9.1000000000000004E-3</v>
      </c>
      <c r="Q43" s="231">
        <v>2558.1</v>
      </c>
      <c r="R43" s="231">
        <v>2532.6999999999998</v>
      </c>
      <c r="S43" s="228">
        <v>25.4</v>
      </c>
      <c r="T43" s="229">
        <v>0.01</v>
      </c>
      <c r="U43" s="228">
        <v>0</v>
      </c>
      <c r="V43" s="228">
        <v>0</v>
      </c>
      <c r="W43" s="228">
        <v>0</v>
      </c>
      <c r="X43" s="229">
        <v>0</v>
      </c>
      <c r="Y43" s="228">
        <v>2.7</v>
      </c>
      <c r="Z43" s="228">
        <v>6.7</v>
      </c>
      <c r="AA43" s="228">
        <v>-4</v>
      </c>
      <c r="AB43" s="229">
        <v>1.1000000000000001E-3</v>
      </c>
      <c r="AC43" s="228">
        <v>2.7</v>
      </c>
      <c r="AD43" s="228">
        <v>6.7</v>
      </c>
      <c r="AE43" s="228">
        <v>-4</v>
      </c>
      <c r="AF43" s="229">
        <v>1.1000000000000001E-3</v>
      </c>
      <c r="AG43" s="228">
        <v>9.6999999999999993</v>
      </c>
      <c r="AH43" s="228">
        <v>11.4</v>
      </c>
      <c r="AI43" s="228">
        <v>-1.7</v>
      </c>
      <c r="AJ43" s="229">
        <v>3.8E-3</v>
      </c>
      <c r="AK43" s="228">
        <v>0</v>
      </c>
      <c r="AL43" s="228">
        <v>0</v>
      </c>
      <c r="AM43" s="228">
        <v>0</v>
      </c>
      <c r="AN43" s="229">
        <v>0</v>
      </c>
      <c r="AO43" s="231">
        <v>2557.75</v>
      </c>
      <c r="AP43" s="231">
        <v>2564.04</v>
      </c>
      <c r="AQ43" s="228">
        <v>0</v>
      </c>
      <c r="AR43" s="230">
        <v>3063750</v>
      </c>
      <c r="AS43" s="230">
        <v>4828125</v>
      </c>
      <c r="AT43" s="230">
        <v>-1764375</v>
      </c>
      <c r="AU43" s="229">
        <v>-0.3654</v>
      </c>
      <c r="AV43" s="230">
        <v>2517750</v>
      </c>
      <c r="AW43" s="230">
        <v>4217250</v>
      </c>
      <c r="AX43" s="230">
        <v>-1699500</v>
      </c>
      <c r="AY43" s="229">
        <v>-0.40300000000000002</v>
      </c>
      <c r="AZ43" s="230">
        <v>504375</v>
      </c>
      <c r="BA43" s="230">
        <v>566250</v>
      </c>
      <c r="BB43" s="230">
        <v>-61875</v>
      </c>
      <c r="BC43" s="229">
        <v>-0.10929999999999999</v>
      </c>
      <c r="BD43" s="228">
        <v>0</v>
      </c>
      <c r="BE43" s="228">
        <v>0</v>
      </c>
      <c r="BF43" s="228">
        <v>0</v>
      </c>
      <c r="BG43" s="229">
        <v>0</v>
      </c>
      <c r="BH43" s="230">
        <v>20691000</v>
      </c>
      <c r="BI43" s="230">
        <v>40637625</v>
      </c>
      <c r="BJ43" s="230">
        <v>-19946625</v>
      </c>
      <c r="BK43" s="229">
        <v>-0.49080000000000001</v>
      </c>
      <c r="BL43" s="230">
        <v>10860750</v>
      </c>
      <c r="BM43" s="230">
        <v>17581875</v>
      </c>
      <c r="BN43" s="230">
        <v>-6721125</v>
      </c>
      <c r="BO43" s="229">
        <v>-0.38229999999999997</v>
      </c>
      <c r="BP43" s="230">
        <v>34615500</v>
      </c>
      <c r="BQ43" s="230">
        <v>63047625</v>
      </c>
      <c r="BR43" s="230">
        <v>-28432125</v>
      </c>
      <c r="BS43" s="229">
        <v>-0.45100000000000001</v>
      </c>
      <c r="BT43" s="230">
        <v>3215319</v>
      </c>
      <c r="BU43" s="230">
        <v>4732364</v>
      </c>
      <c r="BV43" s="230">
        <v>-1517045</v>
      </c>
      <c r="BW43" s="229">
        <v>-0.3206</v>
      </c>
      <c r="BX43" s="230">
        <v>13180125</v>
      </c>
      <c r="BY43" s="230">
        <v>13605000</v>
      </c>
      <c r="BZ43" s="230">
        <v>-424875</v>
      </c>
      <c r="CA43" s="229">
        <v>-3.1199999999999999E-2</v>
      </c>
      <c r="CB43" s="230">
        <v>11191500</v>
      </c>
      <c r="CC43" s="230">
        <v>11600625</v>
      </c>
      <c r="CD43" s="230">
        <v>-409125</v>
      </c>
      <c r="CE43" s="229">
        <v>-3.5299999999999998E-2</v>
      </c>
      <c r="CF43" s="230">
        <v>1808250</v>
      </c>
      <c r="CG43" s="230">
        <v>1818375</v>
      </c>
      <c r="CH43" s="230">
        <v>-10125</v>
      </c>
      <c r="CI43" s="229">
        <v>-5.5999999999999999E-3</v>
      </c>
      <c r="CJ43" s="228">
        <v>0</v>
      </c>
      <c r="CK43" s="228">
        <v>0</v>
      </c>
      <c r="CL43" s="228">
        <v>0</v>
      </c>
      <c r="CM43" s="229">
        <v>0</v>
      </c>
      <c r="CN43" s="230">
        <v>19578375</v>
      </c>
      <c r="CO43" s="230">
        <v>20056875</v>
      </c>
      <c r="CP43" s="230">
        <v>-478500</v>
      </c>
      <c r="CQ43" s="229">
        <v>-2.3900000000000001E-2</v>
      </c>
      <c r="CR43" s="230">
        <v>10738500</v>
      </c>
      <c r="CS43" s="230">
        <v>11052375</v>
      </c>
      <c r="CT43" s="230">
        <v>-313875</v>
      </c>
      <c r="CU43" s="229">
        <v>-2.8400000000000002E-2</v>
      </c>
      <c r="CV43" s="230">
        <v>43497000</v>
      </c>
      <c r="CW43" s="230">
        <v>44714250</v>
      </c>
      <c r="CX43" s="230">
        <v>-1217250</v>
      </c>
      <c r="CY43" s="229">
        <v>-2.7199999999999998E-2</v>
      </c>
      <c r="CZ43" s="228">
        <v>47.01</v>
      </c>
      <c r="DA43" s="228">
        <v>47.67</v>
      </c>
      <c r="DB43" s="228">
        <v>-0.66</v>
      </c>
      <c r="DC43" s="228">
        <v>-0.66</v>
      </c>
      <c r="DD43" s="228">
        <v>67.94</v>
      </c>
      <c r="DE43" s="228">
        <v>68.09</v>
      </c>
      <c r="DF43" s="228">
        <v>-20.93</v>
      </c>
      <c r="DG43" s="228">
        <v>-0.15</v>
      </c>
      <c r="DH43" s="228">
        <v>47.51</v>
      </c>
      <c r="DI43" s="228">
        <v>47.79</v>
      </c>
      <c r="DJ43" s="228">
        <v>-0.28000000000000003</v>
      </c>
      <c r="DK43" s="228">
        <v>-0.28000000000000003</v>
      </c>
      <c r="DL43" s="228">
        <v>46.06</v>
      </c>
      <c r="DM43" s="228">
        <v>47.38</v>
      </c>
      <c r="DN43" s="228">
        <v>-1.32</v>
      </c>
      <c r="DO43" s="228">
        <v>-1.32</v>
      </c>
      <c r="DP43" s="228">
        <v>0.55000000000000004</v>
      </c>
      <c r="DQ43" s="228">
        <v>0.55000000000000004</v>
      </c>
      <c r="DR43" s="228">
        <v>0</v>
      </c>
      <c r="DS43" s="229">
        <v>0</v>
      </c>
      <c r="DT43" s="231">
        <v>2800</v>
      </c>
      <c r="DU43" s="231">
        <v>2400</v>
      </c>
      <c r="DV43" s="228">
        <v>0.52</v>
      </c>
      <c r="DW43" s="228">
        <v>0.43</v>
      </c>
      <c r="DX43" s="228">
        <v>0.09</v>
      </c>
      <c r="DY43" s="229">
        <v>0.20930000000000001</v>
      </c>
      <c r="DZ43" s="229">
        <v>0.13719999999999999</v>
      </c>
      <c r="EA43" s="230">
        <v>1818375</v>
      </c>
      <c r="EB43" s="229">
        <v>2.7000000000000001E-3</v>
      </c>
      <c r="EC43" s="229">
        <v>0.13719999999999999</v>
      </c>
      <c r="ED43" s="228">
        <v>6.29</v>
      </c>
      <c r="EE43" s="229">
        <v>2.5000000000000001E-3</v>
      </c>
      <c r="EF43" s="230">
        <v>849321</v>
      </c>
      <c r="EG43" s="230">
        <v>996568</v>
      </c>
      <c r="EH43" s="229">
        <v>-0.14779999999999999</v>
      </c>
      <c r="EI43" s="229">
        <v>0.2641</v>
      </c>
      <c r="EJ43" s="231">
        <v>566784.28</v>
      </c>
      <c r="EK43" s="231">
        <v>268104.84000000003</v>
      </c>
      <c r="EL43" s="231">
        <v>78399.34</v>
      </c>
      <c r="EM43" s="228">
        <v>0</v>
      </c>
      <c r="EN43" s="231">
        <v>913288.46</v>
      </c>
      <c r="EO43" s="231">
        <v>1650496.51</v>
      </c>
      <c r="EP43" s="231">
        <v>-737208.05</v>
      </c>
      <c r="EQ43" s="229">
        <v>-0.44669999999999999</v>
      </c>
      <c r="ER43" s="231">
        <v>550081</v>
      </c>
      <c r="ES43" s="231">
        <v>261671</v>
      </c>
      <c r="ET43" s="231">
        <v>336389</v>
      </c>
      <c r="EU43" s="231">
        <v>63536556</v>
      </c>
      <c r="EV43" s="231">
        <v>1148142</v>
      </c>
      <c r="EW43" s="231">
        <v>1175677</v>
      </c>
      <c r="EX43" s="231">
        <v>-27535</v>
      </c>
      <c r="EY43" s="229">
        <v>-2.3400000000000001E-2</v>
      </c>
      <c r="EZ43" s="229">
        <v>0.68459999999999999</v>
      </c>
      <c r="FA43" s="227" t="s">
        <v>556</v>
      </c>
      <c r="FB43" s="161">
        <f t="shared" si="0"/>
        <v>1988625</v>
      </c>
    </row>
    <row r="44" spans="1:158" ht="17.25" thickBot="1" x14ac:dyDescent="0.3">
      <c r="A44" s="226">
        <v>45860</v>
      </c>
      <c r="B44" s="227" t="s">
        <v>221</v>
      </c>
      <c r="C44" s="227" t="s">
        <v>531</v>
      </c>
      <c r="D44" s="228">
        <v>1300</v>
      </c>
      <c r="E44" s="228">
        <v>405.5</v>
      </c>
      <c r="F44" s="228">
        <v>417.4</v>
      </c>
      <c r="G44" s="228">
        <v>-11.9</v>
      </c>
      <c r="H44" s="229">
        <v>-2.8500000000000001E-2</v>
      </c>
      <c r="I44" s="228">
        <v>404.3</v>
      </c>
      <c r="J44" s="228">
        <v>416.65</v>
      </c>
      <c r="K44" s="228">
        <v>-12.35</v>
      </c>
      <c r="L44" s="229">
        <v>-2.9600000000000001E-2</v>
      </c>
      <c r="M44" s="228">
        <v>405.5</v>
      </c>
      <c r="N44" s="228">
        <v>417.4</v>
      </c>
      <c r="O44" s="228">
        <v>-11.9</v>
      </c>
      <c r="P44" s="229">
        <v>-2.8500000000000001E-2</v>
      </c>
      <c r="Q44" s="228">
        <v>0</v>
      </c>
      <c r="R44" s="228">
        <v>0</v>
      </c>
      <c r="S44" s="228">
        <v>0</v>
      </c>
      <c r="T44" s="229">
        <v>0</v>
      </c>
      <c r="U44" s="228">
        <v>0</v>
      </c>
      <c r="V44" s="228">
        <v>0</v>
      </c>
      <c r="W44" s="228">
        <v>0</v>
      </c>
      <c r="X44" s="229">
        <v>0</v>
      </c>
      <c r="Y44" s="228">
        <v>1.2</v>
      </c>
      <c r="Z44" s="228">
        <v>0.75</v>
      </c>
      <c r="AA44" s="228">
        <v>0.45</v>
      </c>
      <c r="AB44" s="229">
        <v>3.0000000000000001E-3</v>
      </c>
      <c r="AC44" s="228">
        <v>1.2</v>
      </c>
      <c r="AD44" s="228">
        <v>0.75</v>
      </c>
      <c r="AE44" s="228">
        <v>0.45</v>
      </c>
      <c r="AF44" s="229">
        <v>3.0000000000000001E-3</v>
      </c>
      <c r="AG44" s="228">
        <v>0</v>
      </c>
      <c r="AH44" s="228">
        <v>0</v>
      </c>
      <c r="AI44" s="228">
        <v>0</v>
      </c>
      <c r="AJ44" s="229">
        <v>0</v>
      </c>
      <c r="AK44" s="228">
        <v>0</v>
      </c>
      <c r="AL44" s="228">
        <v>0</v>
      </c>
      <c r="AM44" s="228">
        <v>0</v>
      </c>
      <c r="AN44" s="229">
        <v>0</v>
      </c>
      <c r="AO44" s="228">
        <v>410.43</v>
      </c>
      <c r="AP44" s="228">
        <v>0</v>
      </c>
      <c r="AQ44" s="228">
        <v>0</v>
      </c>
      <c r="AR44" s="230">
        <v>1515800</v>
      </c>
      <c r="AS44" s="230">
        <v>776100</v>
      </c>
      <c r="AT44" s="230">
        <v>739700</v>
      </c>
      <c r="AU44" s="229">
        <v>0.95309999999999995</v>
      </c>
      <c r="AV44" s="230">
        <v>1515800</v>
      </c>
      <c r="AW44" s="230">
        <v>776100</v>
      </c>
      <c r="AX44" s="230">
        <v>739700</v>
      </c>
      <c r="AY44" s="229">
        <v>0.95309999999999995</v>
      </c>
      <c r="AZ44" s="228">
        <v>0</v>
      </c>
      <c r="BA44" s="228">
        <v>0</v>
      </c>
      <c r="BB44" s="228">
        <v>0</v>
      </c>
      <c r="BC44" s="229">
        <v>0</v>
      </c>
      <c r="BD44" s="228">
        <v>0</v>
      </c>
      <c r="BE44" s="228">
        <v>0</v>
      </c>
      <c r="BF44" s="228">
        <v>0</v>
      </c>
      <c r="BG44" s="229">
        <v>0</v>
      </c>
      <c r="BH44" s="230">
        <v>8732100</v>
      </c>
      <c r="BI44" s="230">
        <v>3114800</v>
      </c>
      <c r="BJ44" s="230">
        <v>5617300</v>
      </c>
      <c r="BK44" s="229">
        <v>1.8033999999999999</v>
      </c>
      <c r="BL44" s="230">
        <v>2108600</v>
      </c>
      <c r="BM44" s="230">
        <v>734500</v>
      </c>
      <c r="BN44" s="230">
        <v>1374100</v>
      </c>
      <c r="BO44" s="229">
        <v>1.8708</v>
      </c>
      <c r="BP44" s="230">
        <v>12356500</v>
      </c>
      <c r="BQ44" s="230">
        <v>4625400</v>
      </c>
      <c r="BR44" s="230">
        <v>7731100</v>
      </c>
      <c r="BS44" s="229">
        <v>1.6714</v>
      </c>
      <c r="BT44" s="230">
        <v>1528174</v>
      </c>
      <c r="BU44" s="230">
        <v>671447</v>
      </c>
      <c r="BV44" s="230">
        <v>856727</v>
      </c>
      <c r="BW44" s="229">
        <v>1.2759</v>
      </c>
      <c r="BX44" s="230">
        <v>8505900</v>
      </c>
      <c r="BY44" s="230">
        <v>8606000</v>
      </c>
      <c r="BZ44" s="230">
        <v>-100100</v>
      </c>
      <c r="CA44" s="229">
        <v>-1.1599999999999999E-2</v>
      </c>
      <c r="CB44" s="230">
        <v>8505900</v>
      </c>
      <c r="CC44" s="230">
        <v>8606000</v>
      </c>
      <c r="CD44" s="230">
        <v>-100100</v>
      </c>
      <c r="CE44" s="229">
        <v>-1.1599999999999999E-2</v>
      </c>
      <c r="CF44" s="228">
        <v>0</v>
      </c>
      <c r="CG44" s="228">
        <v>0</v>
      </c>
      <c r="CH44" s="228">
        <v>0</v>
      </c>
      <c r="CI44" s="229">
        <v>0</v>
      </c>
      <c r="CJ44" s="228">
        <v>0</v>
      </c>
      <c r="CK44" s="228">
        <v>0</v>
      </c>
      <c r="CL44" s="228">
        <v>0</v>
      </c>
      <c r="CM44" s="229">
        <v>0</v>
      </c>
      <c r="CN44" s="230">
        <v>9582300</v>
      </c>
      <c r="CO44" s="230">
        <v>10051600</v>
      </c>
      <c r="CP44" s="230">
        <v>-469300</v>
      </c>
      <c r="CQ44" s="229">
        <v>-4.6699999999999998E-2</v>
      </c>
      <c r="CR44" s="230">
        <v>4206800</v>
      </c>
      <c r="CS44" s="230">
        <v>4270500</v>
      </c>
      <c r="CT44" s="230">
        <v>-63700</v>
      </c>
      <c r="CU44" s="229">
        <v>-1.49E-2</v>
      </c>
      <c r="CV44" s="230">
        <v>22295000</v>
      </c>
      <c r="CW44" s="230">
        <v>22928100</v>
      </c>
      <c r="CX44" s="230">
        <v>-633100</v>
      </c>
      <c r="CY44" s="229">
        <v>-2.76E-2</v>
      </c>
      <c r="CZ44" s="228">
        <v>40.020000000000003</v>
      </c>
      <c r="DA44" s="228">
        <v>38.770000000000003</v>
      </c>
      <c r="DB44" s="228">
        <v>1.25</v>
      </c>
      <c r="DC44" s="228">
        <v>1.25</v>
      </c>
      <c r="DD44" s="228">
        <v>40.98</v>
      </c>
      <c r="DE44" s="228">
        <v>40.880000000000003</v>
      </c>
      <c r="DF44" s="228">
        <v>-0.96</v>
      </c>
      <c r="DG44" s="228">
        <v>0.1</v>
      </c>
      <c r="DH44" s="228">
        <v>41.44</v>
      </c>
      <c r="DI44" s="228">
        <v>39.93</v>
      </c>
      <c r="DJ44" s="228">
        <v>1.51</v>
      </c>
      <c r="DK44" s="228">
        <v>1.51</v>
      </c>
      <c r="DL44" s="228">
        <v>34.14</v>
      </c>
      <c r="DM44" s="228">
        <v>33.85</v>
      </c>
      <c r="DN44" s="228">
        <v>0.28999999999999998</v>
      </c>
      <c r="DO44" s="228">
        <v>0.28999999999999998</v>
      </c>
      <c r="DP44" s="228">
        <v>0.44</v>
      </c>
      <c r="DQ44" s="228">
        <v>0.42</v>
      </c>
      <c r="DR44" s="228">
        <v>0.02</v>
      </c>
      <c r="DS44" s="229">
        <v>4.7600000000000003E-2</v>
      </c>
      <c r="DT44" s="228">
        <v>450</v>
      </c>
      <c r="DU44" s="228">
        <v>400</v>
      </c>
      <c r="DV44" s="228">
        <v>0.24</v>
      </c>
      <c r="DW44" s="228">
        <v>0.24</v>
      </c>
      <c r="DX44" s="228">
        <v>0</v>
      </c>
      <c r="DY44" s="229">
        <v>0</v>
      </c>
      <c r="DZ44" s="229">
        <v>0</v>
      </c>
      <c r="EA44" s="228">
        <v>0</v>
      </c>
      <c r="EB44" s="229">
        <v>0</v>
      </c>
      <c r="EC44" s="229">
        <v>0</v>
      </c>
      <c r="ED44" s="228">
        <v>0</v>
      </c>
      <c r="EE44" s="229">
        <v>0</v>
      </c>
      <c r="EF44" s="230">
        <v>726866</v>
      </c>
      <c r="EG44" s="230">
        <v>233128</v>
      </c>
      <c r="EH44" s="229">
        <v>2.1179000000000001</v>
      </c>
      <c r="EI44" s="229">
        <v>0.47560000000000002</v>
      </c>
      <c r="EJ44" s="231">
        <v>38795.949999999997</v>
      </c>
      <c r="EK44" s="231">
        <v>8736.76</v>
      </c>
      <c r="EL44" s="231">
        <v>6221.29</v>
      </c>
      <c r="EM44" s="228">
        <v>0</v>
      </c>
      <c r="EN44" s="231">
        <v>53754</v>
      </c>
      <c r="EO44" s="231">
        <v>20348.86</v>
      </c>
      <c r="EP44" s="231">
        <v>33405.14</v>
      </c>
      <c r="EQ44" s="229">
        <v>1.6415999999999999</v>
      </c>
      <c r="ER44" s="231">
        <v>42978</v>
      </c>
      <c r="ES44" s="231">
        <v>17502</v>
      </c>
      <c r="ET44" s="231">
        <v>34491</v>
      </c>
      <c r="EU44" s="231">
        <v>32988281</v>
      </c>
      <c r="EV44" s="231">
        <v>94972</v>
      </c>
      <c r="EW44" s="231">
        <v>99066</v>
      </c>
      <c r="EX44" s="231">
        <v>-4094</v>
      </c>
      <c r="EY44" s="229">
        <v>-4.1300000000000003E-2</v>
      </c>
      <c r="EZ44" s="229">
        <v>0.67579999999999996</v>
      </c>
      <c r="FA44" s="227" t="s">
        <v>568</v>
      </c>
      <c r="FB44" s="161">
        <f t="shared" si="0"/>
        <v>0</v>
      </c>
    </row>
    <row r="45" spans="1:158" ht="17.25" thickBot="1" x14ac:dyDescent="0.3">
      <c r="A45" s="226">
        <v>45860</v>
      </c>
      <c r="B45" s="227" t="s">
        <v>175</v>
      </c>
      <c r="C45" s="227" t="s">
        <v>612</v>
      </c>
      <c r="D45" s="228">
        <v>150</v>
      </c>
      <c r="E45" s="231">
        <v>4261.3999999999996</v>
      </c>
      <c r="F45" s="231">
        <v>4260.8</v>
      </c>
      <c r="G45" s="228">
        <v>0.6</v>
      </c>
      <c r="H45" s="229">
        <v>1E-4</v>
      </c>
      <c r="I45" s="231">
        <v>4247.5</v>
      </c>
      <c r="J45" s="231">
        <v>4247.7</v>
      </c>
      <c r="K45" s="228">
        <v>-0.2</v>
      </c>
      <c r="L45" s="229">
        <v>0</v>
      </c>
      <c r="M45" s="231">
        <v>4261.3999999999996</v>
      </c>
      <c r="N45" s="231">
        <v>4260.8</v>
      </c>
      <c r="O45" s="228">
        <v>0.6</v>
      </c>
      <c r="P45" s="229">
        <v>1E-4</v>
      </c>
      <c r="Q45" s="231">
        <v>4273.3</v>
      </c>
      <c r="R45" s="231">
        <v>4270.3</v>
      </c>
      <c r="S45" s="228">
        <v>3</v>
      </c>
      <c r="T45" s="229">
        <v>6.9999999999999999E-4</v>
      </c>
      <c r="U45" s="228">
        <v>0</v>
      </c>
      <c r="V45" s="228">
        <v>0</v>
      </c>
      <c r="W45" s="228">
        <v>0</v>
      </c>
      <c r="X45" s="229">
        <v>0</v>
      </c>
      <c r="Y45" s="228">
        <v>13.9</v>
      </c>
      <c r="Z45" s="228">
        <v>13.1</v>
      </c>
      <c r="AA45" s="228">
        <v>0.8</v>
      </c>
      <c r="AB45" s="229">
        <v>3.3E-3</v>
      </c>
      <c r="AC45" s="228">
        <v>13.9</v>
      </c>
      <c r="AD45" s="228">
        <v>13.1</v>
      </c>
      <c r="AE45" s="228">
        <v>0.8</v>
      </c>
      <c r="AF45" s="229">
        <v>3.3E-3</v>
      </c>
      <c r="AG45" s="228">
        <v>25.8</v>
      </c>
      <c r="AH45" s="228">
        <v>22.6</v>
      </c>
      <c r="AI45" s="228">
        <v>3.2</v>
      </c>
      <c r="AJ45" s="229">
        <v>6.1000000000000004E-3</v>
      </c>
      <c r="AK45" s="228">
        <v>0</v>
      </c>
      <c r="AL45" s="228">
        <v>0</v>
      </c>
      <c r="AM45" s="228">
        <v>0</v>
      </c>
      <c r="AN45" s="229">
        <v>0</v>
      </c>
      <c r="AO45" s="231">
        <v>4250.8100000000004</v>
      </c>
      <c r="AP45" s="231">
        <v>4259.5600000000004</v>
      </c>
      <c r="AQ45" s="228">
        <v>0</v>
      </c>
      <c r="AR45" s="230">
        <v>320850</v>
      </c>
      <c r="AS45" s="230">
        <v>268950</v>
      </c>
      <c r="AT45" s="230">
        <v>51900</v>
      </c>
      <c r="AU45" s="229">
        <v>0.193</v>
      </c>
      <c r="AV45" s="230">
        <v>240000</v>
      </c>
      <c r="AW45" s="230">
        <v>226500</v>
      </c>
      <c r="AX45" s="230">
        <v>13500</v>
      </c>
      <c r="AY45" s="229">
        <v>5.96E-2</v>
      </c>
      <c r="AZ45" s="230">
        <v>72750</v>
      </c>
      <c r="BA45" s="230">
        <v>39000</v>
      </c>
      <c r="BB45" s="230">
        <v>33750</v>
      </c>
      <c r="BC45" s="229">
        <v>0.86539999999999995</v>
      </c>
      <c r="BD45" s="228">
        <v>0</v>
      </c>
      <c r="BE45" s="228">
        <v>0</v>
      </c>
      <c r="BF45" s="228">
        <v>0</v>
      </c>
      <c r="BG45" s="229">
        <v>0</v>
      </c>
      <c r="BH45" s="230">
        <v>874050</v>
      </c>
      <c r="BI45" s="230">
        <v>716700</v>
      </c>
      <c r="BJ45" s="230">
        <v>157350</v>
      </c>
      <c r="BK45" s="229">
        <v>0.2195</v>
      </c>
      <c r="BL45" s="230">
        <v>344550</v>
      </c>
      <c r="BM45" s="230">
        <v>358500</v>
      </c>
      <c r="BN45" s="230">
        <v>-13950</v>
      </c>
      <c r="BO45" s="229">
        <v>-3.8899999999999997E-2</v>
      </c>
      <c r="BP45" s="230">
        <v>1539450</v>
      </c>
      <c r="BQ45" s="230">
        <v>1344150</v>
      </c>
      <c r="BR45" s="230">
        <v>195300</v>
      </c>
      <c r="BS45" s="229">
        <v>0.14530000000000001</v>
      </c>
      <c r="BT45" s="230">
        <v>240128</v>
      </c>
      <c r="BU45" s="230">
        <v>185683</v>
      </c>
      <c r="BV45" s="230">
        <v>54445</v>
      </c>
      <c r="BW45" s="229">
        <v>0.29320000000000002</v>
      </c>
      <c r="BX45" s="230">
        <v>2442150</v>
      </c>
      <c r="BY45" s="230">
        <v>2450100</v>
      </c>
      <c r="BZ45" s="230">
        <v>-7950</v>
      </c>
      <c r="CA45" s="229">
        <v>-3.2000000000000002E-3</v>
      </c>
      <c r="CB45" s="230">
        <v>2171700</v>
      </c>
      <c r="CC45" s="230">
        <v>2200050</v>
      </c>
      <c r="CD45" s="230">
        <v>-28350</v>
      </c>
      <c r="CE45" s="229">
        <v>-1.29E-2</v>
      </c>
      <c r="CF45" s="230">
        <v>256050</v>
      </c>
      <c r="CG45" s="230">
        <v>237300</v>
      </c>
      <c r="CH45" s="230">
        <v>18750</v>
      </c>
      <c r="CI45" s="229">
        <v>7.9000000000000001E-2</v>
      </c>
      <c r="CJ45" s="228">
        <v>0</v>
      </c>
      <c r="CK45" s="228">
        <v>0</v>
      </c>
      <c r="CL45" s="228">
        <v>0</v>
      </c>
      <c r="CM45" s="229">
        <v>0</v>
      </c>
      <c r="CN45" s="230">
        <v>1150500</v>
      </c>
      <c r="CO45" s="230">
        <v>1119900</v>
      </c>
      <c r="CP45" s="230">
        <v>30600</v>
      </c>
      <c r="CQ45" s="229">
        <v>2.7300000000000001E-2</v>
      </c>
      <c r="CR45" s="230">
        <v>823500</v>
      </c>
      <c r="CS45" s="230">
        <v>828900</v>
      </c>
      <c r="CT45" s="230">
        <v>-5400</v>
      </c>
      <c r="CU45" s="229">
        <v>-6.4999999999999997E-3</v>
      </c>
      <c r="CV45" s="230">
        <v>4416150</v>
      </c>
      <c r="CW45" s="230">
        <v>4398900</v>
      </c>
      <c r="CX45" s="230">
        <v>17250</v>
      </c>
      <c r="CY45" s="229">
        <v>3.8999999999999998E-3</v>
      </c>
      <c r="CZ45" s="228">
        <v>33.67</v>
      </c>
      <c r="DA45" s="228">
        <v>33.840000000000003</v>
      </c>
      <c r="DB45" s="228">
        <v>-0.17</v>
      </c>
      <c r="DC45" s="228">
        <v>-0.17</v>
      </c>
      <c r="DD45" s="228">
        <v>45.78</v>
      </c>
      <c r="DE45" s="228">
        <v>45.89</v>
      </c>
      <c r="DF45" s="228">
        <v>-12.11</v>
      </c>
      <c r="DG45" s="228">
        <v>-0.11</v>
      </c>
      <c r="DH45" s="228">
        <v>33.29</v>
      </c>
      <c r="DI45" s="228">
        <v>33.479999999999997</v>
      </c>
      <c r="DJ45" s="228">
        <v>-0.19</v>
      </c>
      <c r="DK45" s="228">
        <v>-0.19</v>
      </c>
      <c r="DL45" s="228">
        <v>34.630000000000003</v>
      </c>
      <c r="DM45" s="228">
        <v>34.56</v>
      </c>
      <c r="DN45" s="228">
        <v>7.0000000000000007E-2</v>
      </c>
      <c r="DO45" s="228">
        <v>7.0000000000000007E-2</v>
      </c>
      <c r="DP45" s="228">
        <v>0.72</v>
      </c>
      <c r="DQ45" s="228">
        <v>0.74</v>
      </c>
      <c r="DR45" s="228">
        <v>-0.02</v>
      </c>
      <c r="DS45" s="229">
        <v>-2.7E-2</v>
      </c>
      <c r="DT45" s="231">
        <v>4400</v>
      </c>
      <c r="DU45" s="231">
        <v>4000</v>
      </c>
      <c r="DV45" s="228">
        <v>0.39</v>
      </c>
      <c r="DW45" s="228">
        <v>0.5</v>
      </c>
      <c r="DX45" s="228">
        <v>-0.11</v>
      </c>
      <c r="DY45" s="229">
        <v>-0.22</v>
      </c>
      <c r="DZ45" s="229">
        <v>0.1048</v>
      </c>
      <c r="EA45" s="230">
        <v>237300</v>
      </c>
      <c r="EB45" s="229">
        <v>2.8E-3</v>
      </c>
      <c r="EC45" s="229">
        <v>0.1048</v>
      </c>
      <c r="ED45" s="228">
        <v>8.75</v>
      </c>
      <c r="EE45" s="229">
        <v>2.0999999999999999E-3</v>
      </c>
      <c r="EF45" s="230">
        <v>98313</v>
      </c>
      <c r="EG45" s="230">
        <v>64090</v>
      </c>
      <c r="EH45" s="229">
        <v>0.53400000000000003</v>
      </c>
      <c r="EI45" s="229">
        <v>0.40939999999999999</v>
      </c>
      <c r="EJ45" s="231">
        <v>38370.730000000003</v>
      </c>
      <c r="EK45" s="231">
        <v>14462.19</v>
      </c>
      <c r="EL45" s="231">
        <v>13647.11</v>
      </c>
      <c r="EM45" s="228">
        <v>0</v>
      </c>
      <c r="EN45" s="231">
        <v>66480.03</v>
      </c>
      <c r="EO45" s="231">
        <v>57979.360000000001</v>
      </c>
      <c r="EP45" s="231">
        <v>8500.67</v>
      </c>
      <c r="EQ45" s="229">
        <v>0.14660000000000001</v>
      </c>
      <c r="ER45" s="231">
        <v>50233</v>
      </c>
      <c r="ES45" s="231">
        <v>33802</v>
      </c>
      <c r="ET45" s="231">
        <v>104104</v>
      </c>
      <c r="EU45" s="231">
        <v>9885969</v>
      </c>
      <c r="EV45" s="231">
        <v>188139</v>
      </c>
      <c r="EW45" s="231">
        <v>187357</v>
      </c>
      <c r="EX45" s="228">
        <v>782</v>
      </c>
      <c r="EY45" s="229">
        <v>4.1999999999999997E-3</v>
      </c>
      <c r="EZ45" s="229">
        <v>0.44669999999999999</v>
      </c>
      <c r="FA45" s="227" t="s">
        <v>556</v>
      </c>
      <c r="FB45" s="161">
        <f t="shared" si="0"/>
        <v>270450</v>
      </c>
    </row>
    <row r="46" spans="1:158" ht="17.25" thickBot="1" x14ac:dyDescent="0.3">
      <c r="A46" s="226">
        <v>45860</v>
      </c>
      <c r="B46" s="227" t="s">
        <v>172</v>
      </c>
      <c r="C46" s="227" t="s">
        <v>196</v>
      </c>
      <c r="D46" s="228">
        <v>6750</v>
      </c>
      <c r="E46" s="228">
        <v>108.09</v>
      </c>
      <c r="F46" s="228">
        <v>112.07</v>
      </c>
      <c r="G46" s="228">
        <v>-3.98</v>
      </c>
      <c r="H46" s="229">
        <v>-3.5499999999999997E-2</v>
      </c>
      <c r="I46" s="228">
        <v>108.05</v>
      </c>
      <c r="J46" s="228">
        <v>112.03</v>
      </c>
      <c r="K46" s="228">
        <v>-3.98</v>
      </c>
      <c r="L46" s="229">
        <v>-3.5499999999999997E-2</v>
      </c>
      <c r="M46" s="228">
        <v>108.09</v>
      </c>
      <c r="N46" s="228">
        <v>112.07</v>
      </c>
      <c r="O46" s="228">
        <v>-3.98</v>
      </c>
      <c r="P46" s="229">
        <v>-3.5499999999999997E-2</v>
      </c>
      <c r="Q46" s="228">
        <v>108.64</v>
      </c>
      <c r="R46" s="228">
        <v>112.68</v>
      </c>
      <c r="S46" s="228">
        <v>-4.04</v>
      </c>
      <c r="T46" s="229">
        <v>-3.5900000000000001E-2</v>
      </c>
      <c r="U46" s="228">
        <v>0</v>
      </c>
      <c r="V46" s="228">
        <v>0</v>
      </c>
      <c r="W46" s="228">
        <v>0</v>
      </c>
      <c r="X46" s="229">
        <v>0</v>
      </c>
      <c r="Y46" s="228">
        <v>0.04</v>
      </c>
      <c r="Z46" s="228">
        <v>0.04</v>
      </c>
      <c r="AA46" s="228">
        <v>0</v>
      </c>
      <c r="AB46" s="229">
        <v>4.0000000000000002E-4</v>
      </c>
      <c r="AC46" s="228">
        <v>0.04</v>
      </c>
      <c r="AD46" s="228">
        <v>0.04</v>
      </c>
      <c r="AE46" s="228">
        <v>0</v>
      </c>
      <c r="AF46" s="229">
        <v>4.0000000000000002E-4</v>
      </c>
      <c r="AG46" s="228">
        <v>0.59</v>
      </c>
      <c r="AH46" s="228">
        <v>0.65</v>
      </c>
      <c r="AI46" s="228">
        <v>-0.06</v>
      </c>
      <c r="AJ46" s="229">
        <v>5.4999999999999997E-3</v>
      </c>
      <c r="AK46" s="228">
        <v>0</v>
      </c>
      <c r="AL46" s="228">
        <v>0</v>
      </c>
      <c r="AM46" s="228">
        <v>0</v>
      </c>
      <c r="AN46" s="229">
        <v>0</v>
      </c>
      <c r="AO46" s="228">
        <v>109.49</v>
      </c>
      <c r="AP46" s="228">
        <v>110.06</v>
      </c>
      <c r="AQ46" s="228">
        <v>0</v>
      </c>
      <c r="AR46" s="230">
        <v>99488250</v>
      </c>
      <c r="AS46" s="230">
        <v>75586500</v>
      </c>
      <c r="AT46" s="230">
        <v>23901750</v>
      </c>
      <c r="AU46" s="229">
        <v>0.31619999999999998</v>
      </c>
      <c r="AV46" s="230">
        <v>78030000</v>
      </c>
      <c r="AW46" s="230">
        <v>62511750</v>
      </c>
      <c r="AX46" s="230">
        <v>15518250</v>
      </c>
      <c r="AY46" s="229">
        <v>0.2482</v>
      </c>
      <c r="AZ46" s="230">
        <v>20182500</v>
      </c>
      <c r="BA46" s="230">
        <v>12102750</v>
      </c>
      <c r="BB46" s="230">
        <v>8079750</v>
      </c>
      <c r="BC46" s="229">
        <v>0.66759999999999997</v>
      </c>
      <c r="BD46" s="228">
        <v>0</v>
      </c>
      <c r="BE46" s="228">
        <v>0</v>
      </c>
      <c r="BF46" s="228">
        <v>0</v>
      </c>
      <c r="BG46" s="229">
        <v>0</v>
      </c>
      <c r="BH46" s="230">
        <v>267070500</v>
      </c>
      <c r="BI46" s="230">
        <v>243891000</v>
      </c>
      <c r="BJ46" s="230">
        <v>23179500</v>
      </c>
      <c r="BK46" s="229">
        <v>9.5000000000000001E-2</v>
      </c>
      <c r="BL46" s="230">
        <v>126711000</v>
      </c>
      <c r="BM46" s="230">
        <v>95127750</v>
      </c>
      <c r="BN46" s="230">
        <v>31583250</v>
      </c>
      <c r="BO46" s="229">
        <v>0.33200000000000002</v>
      </c>
      <c r="BP46" s="230">
        <v>493269750</v>
      </c>
      <c r="BQ46" s="230">
        <v>414605250</v>
      </c>
      <c r="BR46" s="230">
        <v>78664500</v>
      </c>
      <c r="BS46" s="229">
        <v>0.18970000000000001</v>
      </c>
      <c r="BT46" s="230">
        <v>43380974</v>
      </c>
      <c r="BU46" s="230">
        <v>24814601</v>
      </c>
      <c r="BV46" s="230">
        <v>18566373</v>
      </c>
      <c r="BW46" s="229">
        <v>0.74819999999999998</v>
      </c>
      <c r="BX46" s="230">
        <v>207245250</v>
      </c>
      <c r="BY46" s="230">
        <v>194683500</v>
      </c>
      <c r="BZ46" s="230">
        <v>12561750</v>
      </c>
      <c r="CA46" s="229">
        <v>6.4500000000000002E-2</v>
      </c>
      <c r="CB46" s="230">
        <v>157929750</v>
      </c>
      <c r="CC46" s="230">
        <v>157302000</v>
      </c>
      <c r="CD46" s="230">
        <v>627750</v>
      </c>
      <c r="CE46" s="229">
        <v>4.0000000000000001E-3</v>
      </c>
      <c r="CF46" s="230">
        <v>46541250</v>
      </c>
      <c r="CG46" s="230">
        <v>35336250</v>
      </c>
      <c r="CH46" s="230">
        <v>11205000</v>
      </c>
      <c r="CI46" s="229">
        <v>0.31709999999999999</v>
      </c>
      <c r="CJ46" s="228">
        <v>0</v>
      </c>
      <c r="CK46" s="228">
        <v>0</v>
      </c>
      <c r="CL46" s="228">
        <v>0</v>
      </c>
      <c r="CM46" s="229">
        <v>0</v>
      </c>
      <c r="CN46" s="230">
        <v>156539250</v>
      </c>
      <c r="CO46" s="230">
        <v>130281750</v>
      </c>
      <c r="CP46" s="230">
        <v>26257500</v>
      </c>
      <c r="CQ46" s="229">
        <v>0.20150000000000001</v>
      </c>
      <c r="CR46" s="230">
        <v>97233750</v>
      </c>
      <c r="CS46" s="230">
        <v>87318000</v>
      </c>
      <c r="CT46" s="230">
        <v>9915750</v>
      </c>
      <c r="CU46" s="229">
        <v>0.11360000000000001</v>
      </c>
      <c r="CV46" s="230">
        <v>461018250</v>
      </c>
      <c r="CW46" s="230">
        <v>412283250</v>
      </c>
      <c r="CX46" s="230">
        <v>48735000</v>
      </c>
      <c r="CY46" s="229">
        <v>0.1182</v>
      </c>
      <c r="CZ46" s="228">
        <v>45.94</v>
      </c>
      <c r="DA46" s="228">
        <v>42.62</v>
      </c>
      <c r="DB46" s="228">
        <v>3.32</v>
      </c>
      <c r="DC46" s="228">
        <v>3.32</v>
      </c>
      <c r="DD46" s="228">
        <v>39.65</v>
      </c>
      <c r="DE46" s="228">
        <v>39.44</v>
      </c>
      <c r="DF46" s="228">
        <v>6.29</v>
      </c>
      <c r="DG46" s="228">
        <v>0.21</v>
      </c>
      <c r="DH46" s="228">
        <v>47.49</v>
      </c>
      <c r="DI46" s="228">
        <v>43.68</v>
      </c>
      <c r="DJ46" s="228">
        <v>3.81</v>
      </c>
      <c r="DK46" s="228">
        <v>3.81</v>
      </c>
      <c r="DL46" s="228">
        <v>42.65</v>
      </c>
      <c r="DM46" s="228">
        <v>39.9</v>
      </c>
      <c r="DN46" s="228">
        <v>2.75</v>
      </c>
      <c r="DO46" s="228">
        <v>2.75</v>
      </c>
      <c r="DP46" s="228">
        <v>0.62</v>
      </c>
      <c r="DQ46" s="228">
        <v>0.67</v>
      </c>
      <c r="DR46" s="228">
        <v>-0.05</v>
      </c>
      <c r="DS46" s="229">
        <v>-7.46E-2</v>
      </c>
      <c r="DT46" s="228">
        <v>120</v>
      </c>
      <c r="DU46" s="228">
        <v>110</v>
      </c>
      <c r="DV46" s="228">
        <v>0.47</v>
      </c>
      <c r="DW46" s="228">
        <v>0.39</v>
      </c>
      <c r="DX46" s="228">
        <v>0.08</v>
      </c>
      <c r="DY46" s="229">
        <v>0.2051</v>
      </c>
      <c r="DZ46" s="229">
        <v>0.22459999999999999</v>
      </c>
      <c r="EA46" s="230">
        <v>35336250</v>
      </c>
      <c r="EB46" s="229">
        <v>5.1000000000000004E-3</v>
      </c>
      <c r="EC46" s="229">
        <v>0.22459999999999999</v>
      </c>
      <c r="ED46" s="228">
        <v>0.56999999999999995</v>
      </c>
      <c r="EE46" s="229">
        <v>5.1999999999999998E-3</v>
      </c>
      <c r="EF46" s="230">
        <v>22450985</v>
      </c>
      <c r="EG46" s="230">
        <v>10886162</v>
      </c>
      <c r="EH46" s="229">
        <v>1.0623</v>
      </c>
      <c r="EI46" s="229">
        <v>0.51749999999999996</v>
      </c>
      <c r="EJ46" s="231">
        <v>313785.59000000003</v>
      </c>
      <c r="EK46" s="231">
        <v>138729.47</v>
      </c>
      <c r="EL46" s="231">
        <v>109057.83</v>
      </c>
      <c r="EM46" s="228">
        <v>0</v>
      </c>
      <c r="EN46" s="231">
        <v>561572.89</v>
      </c>
      <c r="EO46" s="231">
        <v>484769.8</v>
      </c>
      <c r="EP46" s="231">
        <v>76803.09</v>
      </c>
      <c r="EQ46" s="229">
        <v>0.15840000000000001</v>
      </c>
      <c r="ER46" s="231">
        <v>182545</v>
      </c>
      <c r="ES46" s="231">
        <v>104972</v>
      </c>
      <c r="ET46" s="231">
        <v>224300</v>
      </c>
      <c r="EU46" s="231">
        <v>672420574</v>
      </c>
      <c r="EV46" s="231">
        <v>511817</v>
      </c>
      <c r="EW46" s="231">
        <v>465912</v>
      </c>
      <c r="EX46" s="231">
        <v>45905</v>
      </c>
      <c r="EY46" s="229">
        <v>9.8500000000000004E-2</v>
      </c>
      <c r="EZ46" s="229">
        <v>0.68559999999999999</v>
      </c>
      <c r="FA46" s="227" t="s">
        <v>567</v>
      </c>
      <c r="FB46" s="161">
        <f t="shared" si="0"/>
        <v>49315500</v>
      </c>
    </row>
    <row r="47" spans="1:158" ht="17.25" thickBot="1" x14ac:dyDescent="0.3">
      <c r="A47" s="226">
        <v>45860</v>
      </c>
      <c r="B47" s="227" t="s">
        <v>175</v>
      </c>
      <c r="C47" s="227" t="s">
        <v>598</v>
      </c>
      <c r="D47" s="228">
        <v>475</v>
      </c>
      <c r="E47" s="231">
        <v>1716.2</v>
      </c>
      <c r="F47" s="231">
        <v>1738</v>
      </c>
      <c r="G47" s="228">
        <v>-21.8</v>
      </c>
      <c r="H47" s="229">
        <v>-1.2500000000000001E-2</v>
      </c>
      <c r="I47" s="231">
        <v>1714.7</v>
      </c>
      <c r="J47" s="231">
        <v>1731.5</v>
      </c>
      <c r="K47" s="228">
        <v>-16.8</v>
      </c>
      <c r="L47" s="229">
        <v>-9.7000000000000003E-3</v>
      </c>
      <c r="M47" s="231">
        <v>1716.2</v>
      </c>
      <c r="N47" s="231">
        <v>1738</v>
      </c>
      <c r="O47" s="228">
        <v>-21.8</v>
      </c>
      <c r="P47" s="229">
        <v>-1.2500000000000001E-2</v>
      </c>
      <c r="Q47" s="231">
        <v>1709.5</v>
      </c>
      <c r="R47" s="231">
        <v>1729.7</v>
      </c>
      <c r="S47" s="228">
        <v>-20.2</v>
      </c>
      <c r="T47" s="229">
        <v>-1.17E-2</v>
      </c>
      <c r="U47" s="228">
        <v>0</v>
      </c>
      <c r="V47" s="228">
        <v>0</v>
      </c>
      <c r="W47" s="228">
        <v>0</v>
      </c>
      <c r="X47" s="229">
        <v>0</v>
      </c>
      <c r="Y47" s="228">
        <v>1.5</v>
      </c>
      <c r="Z47" s="228">
        <v>6.5</v>
      </c>
      <c r="AA47" s="228">
        <v>-5</v>
      </c>
      <c r="AB47" s="229">
        <v>8.9999999999999998E-4</v>
      </c>
      <c r="AC47" s="228">
        <v>1.5</v>
      </c>
      <c r="AD47" s="228">
        <v>6.5</v>
      </c>
      <c r="AE47" s="228">
        <v>-5</v>
      </c>
      <c r="AF47" s="229">
        <v>8.9999999999999998E-4</v>
      </c>
      <c r="AG47" s="228">
        <v>-5.2</v>
      </c>
      <c r="AH47" s="228">
        <v>-1.8</v>
      </c>
      <c r="AI47" s="228">
        <v>-3.4</v>
      </c>
      <c r="AJ47" s="229">
        <v>-3.0000000000000001E-3</v>
      </c>
      <c r="AK47" s="228">
        <v>0</v>
      </c>
      <c r="AL47" s="228">
        <v>0</v>
      </c>
      <c r="AM47" s="228">
        <v>0</v>
      </c>
      <c r="AN47" s="229">
        <v>0</v>
      </c>
      <c r="AO47" s="231">
        <v>1732.39</v>
      </c>
      <c r="AP47" s="231">
        <v>1724.62</v>
      </c>
      <c r="AQ47" s="228">
        <v>0</v>
      </c>
      <c r="AR47" s="230">
        <v>2871850</v>
      </c>
      <c r="AS47" s="230">
        <v>2467625</v>
      </c>
      <c r="AT47" s="230">
        <v>404225</v>
      </c>
      <c r="AU47" s="229">
        <v>0.1638</v>
      </c>
      <c r="AV47" s="230">
        <v>2143200</v>
      </c>
      <c r="AW47" s="230">
        <v>1931825</v>
      </c>
      <c r="AX47" s="230">
        <v>211375</v>
      </c>
      <c r="AY47" s="229">
        <v>0.1094</v>
      </c>
      <c r="AZ47" s="230">
        <v>696825</v>
      </c>
      <c r="BA47" s="230">
        <v>513000</v>
      </c>
      <c r="BB47" s="230">
        <v>183825</v>
      </c>
      <c r="BC47" s="229">
        <v>0.35830000000000001</v>
      </c>
      <c r="BD47" s="228">
        <v>0</v>
      </c>
      <c r="BE47" s="228">
        <v>0</v>
      </c>
      <c r="BF47" s="228">
        <v>0</v>
      </c>
      <c r="BG47" s="229">
        <v>0</v>
      </c>
      <c r="BH47" s="230">
        <v>10602950</v>
      </c>
      <c r="BI47" s="230">
        <v>8613175</v>
      </c>
      <c r="BJ47" s="230">
        <v>1989775</v>
      </c>
      <c r="BK47" s="229">
        <v>0.23100000000000001</v>
      </c>
      <c r="BL47" s="230">
        <v>3545400</v>
      </c>
      <c r="BM47" s="230">
        <v>3448975</v>
      </c>
      <c r="BN47" s="230">
        <v>96425</v>
      </c>
      <c r="BO47" s="229">
        <v>2.8000000000000001E-2</v>
      </c>
      <c r="BP47" s="230">
        <v>17020200</v>
      </c>
      <c r="BQ47" s="230">
        <v>14529775</v>
      </c>
      <c r="BR47" s="230">
        <v>2490425</v>
      </c>
      <c r="BS47" s="229">
        <v>0.1714</v>
      </c>
      <c r="BT47" s="230">
        <v>2601526</v>
      </c>
      <c r="BU47" s="230">
        <v>2168014</v>
      </c>
      <c r="BV47" s="230">
        <v>433512</v>
      </c>
      <c r="BW47" s="229">
        <v>0.2</v>
      </c>
      <c r="BX47" s="230">
        <v>10186850</v>
      </c>
      <c r="BY47" s="230">
        <v>9728475</v>
      </c>
      <c r="BZ47" s="230">
        <v>458375</v>
      </c>
      <c r="CA47" s="229">
        <v>4.7100000000000003E-2</v>
      </c>
      <c r="CB47" s="230">
        <v>7991875</v>
      </c>
      <c r="CC47" s="230">
        <v>7860300</v>
      </c>
      <c r="CD47" s="230">
        <v>131575</v>
      </c>
      <c r="CE47" s="229">
        <v>1.67E-2</v>
      </c>
      <c r="CF47" s="230">
        <v>1943225</v>
      </c>
      <c r="CG47" s="230">
        <v>1632100</v>
      </c>
      <c r="CH47" s="230">
        <v>311125</v>
      </c>
      <c r="CI47" s="229">
        <v>0.19059999999999999</v>
      </c>
      <c r="CJ47" s="228">
        <v>0</v>
      </c>
      <c r="CK47" s="228">
        <v>0</v>
      </c>
      <c r="CL47" s="228">
        <v>0</v>
      </c>
      <c r="CM47" s="229">
        <v>0</v>
      </c>
      <c r="CN47" s="230">
        <v>9256800</v>
      </c>
      <c r="CO47" s="230">
        <v>8634075</v>
      </c>
      <c r="CP47" s="230">
        <v>622725</v>
      </c>
      <c r="CQ47" s="229">
        <v>7.2099999999999997E-2</v>
      </c>
      <c r="CR47" s="230">
        <v>4819825</v>
      </c>
      <c r="CS47" s="230">
        <v>4714850</v>
      </c>
      <c r="CT47" s="230">
        <v>104975</v>
      </c>
      <c r="CU47" s="229">
        <v>2.23E-2</v>
      </c>
      <c r="CV47" s="230">
        <v>24263475</v>
      </c>
      <c r="CW47" s="230">
        <v>23077400</v>
      </c>
      <c r="CX47" s="230">
        <v>1186075</v>
      </c>
      <c r="CY47" s="229">
        <v>5.1400000000000001E-2</v>
      </c>
      <c r="CZ47" s="228">
        <v>40.19</v>
      </c>
      <c r="DA47" s="228">
        <v>37.93</v>
      </c>
      <c r="DB47" s="228">
        <v>2.2599999999999998</v>
      </c>
      <c r="DC47" s="228">
        <v>2.2599999999999998</v>
      </c>
      <c r="DD47" s="228">
        <v>51.25</v>
      </c>
      <c r="DE47" s="228">
        <v>51.35</v>
      </c>
      <c r="DF47" s="228">
        <v>-11.06</v>
      </c>
      <c r="DG47" s="228">
        <v>-0.1</v>
      </c>
      <c r="DH47" s="228">
        <v>40.74</v>
      </c>
      <c r="DI47" s="228">
        <v>37.729999999999997</v>
      </c>
      <c r="DJ47" s="228">
        <v>3.01</v>
      </c>
      <c r="DK47" s="228">
        <v>3.01</v>
      </c>
      <c r="DL47" s="228">
        <v>38.54</v>
      </c>
      <c r="DM47" s="228">
        <v>38.42</v>
      </c>
      <c r="DN47" s="228">
        <v>0.12</v>
      </c>
      <c r="DO47" s="228">
        <v>0.12</v>
      </c>
      <c r="DP47" s="228">
        <v>0.52</v>
      </c>
      <c r="DQ47" s="228">
        <v>0.55000000000000004</v>
      </c>
      <c r="DR47" s="228">
        <v>-0.03</v>
      </c>
      <c r="DS47" s="229">
        <v>-5.45E-2</v>
      </c>
      <c r="DT47" s="231">
        <v>1800</v>
      </c>
      <c r="DU47" s="231">
        <v>1800</v>
      </c>
      <c r="DV47" s="228">
        <v>0.33</v>
      </c>
      <c r="DW47" s="228">
        <v>0.4</v>
      </c>
      <c r="DX47" s="228">
        <v>-7.0000000000000007E-2</v>
      </c>
      <c r="DY47" s="229">
        <v>-0.17499999999999999</v>
      </c>
      <c r="DZ47" s="229">
        <v>0.1908</v>
      </c>
      <c r="EA47" s="230">
        <v>1632100</v>
      </c>
      <c r="EB47" s="229">
        <v>-3.8999999999999998E-3</v>
      </c>
      <c r="EC47" s="229">
        <v>0.1908</v>
      </c>
      <c r="ED47" s="228">
        <v>-7.77</v>
      </c>
      <c r="EE47" s="229">
        <v>-4.4999999999999997E-3</v>
      </c>
      <c r="EF47" s="230">
        <v>837957</v>
      </c>
      <c r="EG47" s="230">
        <v>734706</v>
      </c>
      <c r="EH47" s="229">
        <v>0.14050000000000001</v>
      </c>
      <c r="EI47" s="229">
        <v>0.3221</v>
      </c>
      <c r="EJ47" s="231">
        <v>193222.39</v>
      </c>
      <c r="EK47" s="231">
        <v>60787.85</v>
      </c>
      <c r="EL47" s="231">
        <v>49696.32</v>
      </c>
      <c r="EM47" s="228">
        <v>0</v>
      </c>
      <c r="EN47" s="231">
        <v>303706.56</v>
      </c>
      <c r="EO47" s="231">
        <v>256723.03</v>
      </c>
      <c r="EP47" s="231">
        <v>46983.53</v>
      </c>
      <c r="EQ47" s="229">
        <v>0.183</v>
      </c>
      <c r="ER47" s="231">
        <v>169285</v>
      </c>
      <c r="ES47" s="231">
        <v>80640</v>
      </c>
      <c r="ET47" s="231">
        <v>174694</v>
      </c>
      <c r="EU47" s="231">
        <v>35530000</v>
      </c>
      <c r="EV47" s="231">
        <v>424619</v>
      </c>
      <c r="EW47" s="231">
        <v>405821</v>
      </c>
      <c r="EX47" s="231">
        <v>18798</v>
      </c>
      <c r="EY47" s="229">
        <v>4.6300000000000001E-2</v>
      </c>
      <c r="EZ47" s="229">
        <v>0.68289999999999995</v>
      </c>
      <c r="FA47" s="227" t="s">
        <v>567</v>
      </c>
      <c r="FB47" s="161">
        <f t="shared" si="0"/>
        <v>2194975</v>
      </c>
    </row>
    <row r="48" spans="1:158" ht="17.25" thickBot="1" x14ac:dyDescent="0.3">
      <c r="A48" s="226">
        <v>45860</v>
      </c>
      <c r="B48" s="227" t="s">
        <v>161</v>
      </c>
      <c r="C48" s="227" t="s">
        <v>602</v>
      </c>
      <c r="D48" s="228">
        <v>3625</v>
      </c>
      <c r="E48" s="228">
        <v>177.98</v>
      </c>
      <c r="F48" s="228">
        <v>178.94</v>
      </c>
      <c r="G48" s="228">
        <v>-0.96</v>
      </c>
      <c r="H48" s="229">
        <v>-5.4000000000000003E-3</v>
      </c>
      <c r="I48" s="228">
        <v>177.93</v>
      </c>
      <c r="J48" s="228">
        <v>178.82</v>
      </c>
      <c r="K48" s="228">
        <v>-0.89</v>
      </c>
      <c r="L48" s="229">
        <v>-5.0000000000000001E-3</v>
      </c>
      <c r="M48" s="228">
        <v>177.98</v>
      </c>
      <c r="N48" s="228">
        <v>178.94</v>
      </c>
      <c r="O48" s="228">
        <v>-0.96</v>
      </c>
      <c r="P48" s="229">
        <v>-5.4000000000000003E-3</v>
      </c>
      <c r="Q48" s="228">
        <v>178.88</v>
      </c>
      <c r="R48" s="228">
        <v>179.94</v>
      </c>
      <c r="S48" s="228">
        <v>-1.06</v>
      </c>
      <c r="T48" s="229">
        <v>-5.8999999999999999E-3</v>
      </c>
      <c r="U48" s="228">
        <v>0</v>
      </c>
      <c r="V48" s="228">
        <v>0</v>
      </c>
      <c r="W48" s="228">
        <v>0</v>
      </c>
      <c r="X48" s="229">
        <v>0</v>
      </c>
      <c r="Y48" s="228">
        <v>0.05</v>
      </c>
      <c r="Z48" s="228">
        <v>0.12</v>
      </c>
      <c r="AA48" s="228">
        <v>-7.0000000000000007E-2</v>
      </c>
      <c r="AB48" s="229">
        <v>2.9999999999999997E-4</v>
      </c>
      <c r="AC48" s="228">
        <v>0.05</v>
      </c>
      <c r="AD48" s="228">
        <v>0.12</v>
      </c>
      <c r="AE48" s="228">
        <v>-7.0000000000000007E-2</v>
      </c>
      <c r="AF48" s="229">
        <v>2.9999999999999997E-4</v>
      </c>
      <c r="AG48" s="228">
        <v>0.95</v>
      </c>
      <c r="AH48" s="228">
        <v>1.1200000000000001</v>
      </c>
      <c r="AI48" s="228">
        <v>-0.17</v>
      </c>
      <c r="AJ48" s="229">
        <v>5.3E-3</v>
      </c>
      <c r="AK48" s="228">
        <v>0</v>
      </c>
      <c r="AL48" s="228">
        <v>0</v>
      </c>
      <c r="AM48" s="228">
        <v>0</v>
      </c>
      <c r="AN48" s="229">
        <v>0</v>
      </c>
      <c r="AO48" s="228">
        <v>178.59</v>
      </c>
      <c r="AP48" s="228">
        <v>179.6</v>
      </c>
      <c r="AQ48" s="228">
        <v>0</v>
      </c>
      <c r="AR48" s="230">
        <v>2135125</v>
      </c>
      <c r="AS48" s="230">
        <v>4495000</v>
      </c>
      <c r="AT48" s="230">
        <v>-2359875</v>
      </c>
      <c r="AU48" s="229">
        <v>-0.52500000000000002</v>
      </c>
      <c r="AV48" s="230">
        <v>1881375</v>
      </c>
      <c r="AW48" s="230">
        <v>4183250</v>
      </c>
      <c r="AX48" s="230">
        <v>-2301875</v>
      </c>
      <c r="AY48" s="229">
        <v>-0.55030000000000001</v>
      </c>
      <c r="AZ48" s="230">
        <v>253750</v>
      </c>
      <c r="BA48" s="230">
        <v>311750</v>
      </c>
      <c r="BB48" s="230">
        <v>-58000</v>
      </c>
      <c r="BC48" s="229">
        <v>-0.186</v>
      </c>
      <c r="BD48" s="228">
        <v>0</v>
      </c>
      <c r="BE48" s="228">
        <v>0</v>
      </c>
      <c r="BF48" s="228">
        <v>0</v>
      </c>
      <c r="BG48" s="229">
        <v>0</v>
      </c>
      <c r="BH48" s="230">
        <v>3182750</v>
      </c>
      <c r="BI48" s="230">
        <v>8747125</v>
      </c>
      <c r="BJ48" s="230">
        <v>-5564375</v>
      </c>
      <c r="BK48" s="229">
        <v>-0.6361</v>
      </c>
      <c r="BL48" s="230">
        <v>793875</v>
      </c>
      <c r="BM48" s="230">
        <v>3306000</v>
      </c>
      <c r="BN48" s="230">
        <v>-2512125</v>
      </c>
      <c r="BO48" s="229">
        <v>-0.75990000000000002</v>
      </c>
      <c r="BP48" s="230">
        <v>6111750</v>
      </c>
      <c r="BQ48" s="230">
        <v>16548125</v>
      </c>
      <c r="BR48" s="230">
        <v>-10436375</v>
      </c>
      <c r="BS48" s="229">
        <v>-0.63070000000000004</v>
      </c>
      <c r="BT48" s="230">
        <v>1664149</v>
      </c>
      <c r="BU48" s="230">
        <v>2462687</v>
      </c>
      <c r="BV48" s="230">
        <v>-798538</v>
      </c>
      <c r="BW48" s="229">
        <v>-0.32429999999999998</v>
      </c>
      <c r="BX48" s="230">
        <v>17226000</v>
      </c>
      <c r="BY48" s="230">
        <v>17577625</v>
      </c>
      <c r="BZ48" s="230">
        <v>-351625</v>
      </c>
      <c r="CA48" s="229">
        <v>-0.02</v>
      </c>
      <c r="CB48" s="230">
        <v>16443000</v>
      </c>
      <c r="CC48" s="230">
        <v>16910625</v>
      </c>
      <c r="CD48" s="230">
        <v>-467625</v>
      </c>
      <c r="CE48" s="229">
        <v>-2.7699999999999999E-2</v>
      </c>
      <c r="CF48" s="230">
        <v>783000</v>
      </c>
      <c r="CG48" s="230">
        <v>667000</v>
      </c>
      <c r="CH48" s="230">
        <v>116000</v>
      </c>
      <c r="CI48" s="229">
        <v>0.1739</v>
      </c>
      <c r="CJ48" s="228">
        <v>0</v>
      </c>
      <c r="CK48" s="228">
        <v>0</v>
      </c>
      <c r="CL48" s="228">
        <v>0</v>
      </c>
      <c r="CM48" s="229">
        <v>0</v>
      </c>
      <c r="CN48" s="230">
        <v>12143750</v>
      </c>
      <c r="CO48" s="230">
        <v>12636750</v>
      </c>
      <c r="CP48" s="230">
        <v>-493000</v>
      </c>
      <c r="CQ48" s="229">
        <v>-3.9E-2</v>
      </c>
      <c r="CR48" s="230">
        <v>5140250</v>
      </c>
      <c r="CS48" s="230">
        <v>5158375</v>
      </c>
      <c r="CT48" s="230">
        <v>-18125</v>
      </c>
      <c r="CU48" s="229">
        <v>-3.5000000000000001E-3</v>
      </c>
      <c r="CV48" s="230">
        <v>34510000</v>
      </c>
      <c r="CW48" s="230">
        <v>35372750</v>
      </c>
      <c r="CX48" s="230">
        <v>-862750</v>
      </c>
      <c r="CY48" s="229">
        <v>-2.4400000000000002E-2</v>
      </c>
      <c r="CZ48" s="228">
        <v>29.59</v>
      </c>
      <c r="DA48" s="228">
        <v>28.38</v>
      </c>
      <c r="DB48" s="228">
        <v>1.21</v>
      </c>
      <c r="DC48" s="228">
        <v>1.21</v>
      </c>
      <c r="DD48" s="228">
        <v>43.4</v>
      </c>
      <c r="DE48" s="228">
        <v>43.5</v>
      </c>
      <c r="DF48" s="228">
        <v>-13.81</v>
      </c>
      <c r="DG48" s="228">
        <v>-0.1</v>
      </c>
      <c r="DH48" s="228">
        <v>30.36</v>
      </c>
      <c r="DI48" s="228">
        <v>28.35</v>
      </c>
      <c r="DJ48" s="228">
        <v>2.0099999999999998</v>
      </c>
      <c r="DK48" s="228">
        <v>2.0099999999999998</v>
      </c>
      <c r="DL48" s="228">
        <v>26.54</v>
      </c>
      <c r="DM48" s="228">
        <v>28.44</v>
      </c>
      <c r="DN48" s="228">
        <v>-1.9</v>
      </c>
      <c r="DO48" s="228">
        <v>-1.9</v>
      </c>
      <c r="DP48" s="228">
        <v>0.42</v>
      </c>
      <c r="DQ48" s="228">
        <v>0.41</v>
      </c>
      <c r="DR48" s="228">
        <v>0.01</v>
      </c>
      <c r="DS48" s="229">
        <v>2.4400000000000002E-2</v>
      </c>
      <c r="DT48" s="228">
        <v>200</v>
      </c>
      <c r="DU48" s="228">
        <v>160</v>
      </c>
      <c r="DV48" s="228">
        <v>0.25</v>
      </c>
      <c r="DW48" s="228">
        <v>0.38</v>
      </c>
      <c r="DX48" s="228">
        <v>-0.13</v>
      </c>
      <c r="DY48" s="229">
        <v>-0.34210000000000002</v>
      </c>
      <c r="DZ48" s="229">
        <v>4.5499999999999999E-2</v>
      </c>
      <c r="EA48" s="230">
        <v>667000</v>
      </c>
      <c r="EB48" s="229">
        <v>5.1000000000000004E-3</v>
      </c>
      <c r="EC48" s="229">
        <v>4.5499999999999999E-2</v>
      </c>
      <c r="ED48" s="228">
        <v>1.01</v>
      </c>
      <c r="EE48" s="229">
        <v>5.7000000000000002E-3</v>
      </c>
      <c r="EF48" s="230">
        <v>1042783</v>
      </c>
      <c r="EG48" s="230">
        <v>1466651</v>
      </c>
      <c r="EH48" s="229">
        <v>-0.28899999999999998</v>
      </c>
      <c r="EI48" s="229">
        <v>0.62660000000000005</v>
      </c>
      <c r="EJ48" s="231">
        <v>6006.04</v>
      </c>
      <c r="EK48" s="231">
        <v>1403.2</v>
      </c>
      <c r="EL48" s="231">
        <v>3815.72</v>
      </c>
      <c r="EM48" s="228">
        <v>0</v>
      </c>
      <c r="EN48" s="231">
        <v>11224.96</v>
      </c>
      <c r="EO48" s="231">
        <v>30197.58</v>
      </c>
      <c r="EP48" s="231">
        <v>-18972.62</v>
      </c>
      <c r="EQ48" s="229">
        <v>-0.62829999999999997</v>
      </c>
      <c r="ER48" s="231">
        <v>22779</v>
      </c>
      <c r="ES48" s="231">
        <v>8629</v>
      </c>
      <c r="ET48" s="231">
        <v>30666</v>
      </c>
      <c r="EU48" s="231">
        <v>126959974</v>
      </c>
      <c r="EV48" s="231">
        <v>62074</v>
      </c>
      <c r="EW48" s="231">
        <v>63853</v>
      </c>
      <c r="EX48" s="231">
        <v>-1779</v>
      </c>
      <c r="EY48" s="229">
        <v>-2.7900000000000001E-2</v>
      </c>
      <c r="EZ48" s="229">
        <v>0.27179999999999999</v>
      </c>
      <c r="FA48" s="227" t="s">
        <v>568</v>
      </c>
      <c r="FB48" s="161">
        <f t="shared" si="0"/>
        <v>783000</v>
      </c>
    </row>
    <row r="49" spans="1:158" ht="17.25" thickBot="1" x14ac:dyDescent="0.3">
      <c r="A49" s="226">
        <v>45860</v>
      </c>
      <c r="B49" s="227" t="s">
        <v>161</v>
      </c>
      <c r="C49" s="227" t="s">
        <v>613</v>
      </c>
      <c r="D49" s="228">
        <v>850</v>
      </c>
      <c r="E49" s="228">
        <v>685.1</v>
      </c>
      <c r="F49" s="228">
        <v>683.35</v>
      </c>
      <c r="G49" s="228">
        <v>1.75</v>
      </c>
      <c r="H49" s="229">
        <v>2.5999999999999999E-3</v>
      </c>
      <c r="I49" s="228">
        <v>683.8</v>
      </c>
      <c r="J49" s="228">
        <v>680.65</v>
      </c>
      <c r="K49" s="228">
        <v>3.15</v>
      </c>
      <c r="L49" s="229">
        <v>4.5999999999999999E-3</v>
      </c>
      <c r="M49" s="228">
        <v>685.1</v>
      </c>
      <c r="N49" s="228">
        <v>683.35</v>
      </c>
      <c r="O49" s="228">
        <v>1.75</v>
      </c>
      <c r="P49" s="229">
        <v>2.5999999999999999E-3</v>
      </c>
      <c r="Q49" s="228">
        <v>688.7</v>
      </c>
      <c r="R49" s="228">
        <v>686.75</v>
      </c>
      <c r="S49" s="228">
        <v>1.95</v>
      </c>
      <c r="T49" s="229">
        <v>2.8E-3</v>
      </c>
      <c r="U49" s="228">
        <v>0</v>
      </c>
      <c r="V49" s="228">
        <v>0</v>
      </c>
      <c r="W49" s="228">
        <v>0</v>
      </c>
      <c r="X49" s="229">
        <v>0</v>
      </c>
      <c r="Y49" s="228">
        <v>1.3</v>
      </c>
      <c r="Z49" s="228">
        <v>2.7</v>
      </c>
      <c r="AA49" s="228">
        <v>-1.4</v>
      </c>
      <c r="AB49" s="229">
        <v>1.9E-3</v>
      </c>
      <c r="AC49" s="228">
        <v>1.3</v>
      </c>
      <c r="AD49" s="228">
        <v>2.7</v>
      </c>
      <c r="AE49" s="228">
        <v>-1.4</v>
      </c>
      <c r="AF49" s="229">
        <v>1.9E-3</v>
      </c>
      <c r="AG49" s="228">
        <v>4.9000000000000004</v>
      </c>
      <c r="AH49" s="228">
        <v>6.1</v>
      </c>
      <c r="AI49" s="228">
        <v>-1.2</v>
      </c>
      <c r="AJ49" s="229">
        <v>7.1999999999999998E-3</v>
      </c>
      <c r="AK49" s="228">
        <v>0</v>
      </c>
      <c r="AL49" s="228">
        <v>0</v>
      </c>
      <c r="AM49" s="228">
        <v>0</v>
      </c>
      <c r="AN49" s="229">
        <v>0</v>
      </c>
      <c r="AO49" s="228">
        <v>685.47</v>
      </c>
      <c r="AP49" s="228">
        <v>688.61</v>
      </c>
      <c r="AQ49" s="228">
        <v>0</v>
      </c>
      <c r="AR49" s="230">
        <v>4027300</v>
      </c>
      <c r="AS49" s="230">
        <v>3993300</v>
      </c>
      <c r="AT49" s="230">
        <v>34000</v>
      </c>
      <c r="AU49" s="229">
        <v>8.5000000000000006E-3</v>
      </c>
      <c r="AV49" s="230">
        <v>3637150</v>
      </c>
      <c r="AW49" s="230">
        <v>3443350</v>
      </c>
      <c r="AX49" s="230">
        <v>193800</v>
      </c>
      <c r="AY49" s="229">
        <v>5.6300000000000003E-2</v>
      </c>
      <c r="AZ49" s="230">
        <v>378250</v>
      </c>
      <c r="BA49" s="230">
        <v>527850</v>
      </c>
      <c r="BB49" s="230">
        <v>-149600</v>
      </c>
      <c r="BC49" s="229">
        <v>-0.28339999999999999</v>
      </c>
      <c r="BD49" s="228">
        <v>0</v>
      </c>
      <c r="BE49" s="228">
        <v>0</v>
      </c>
      <c r="BF49" s="228">
        <v>0</v>
      </c>
      <c r="BG49" s="229">
        <v>0</v>
      </c>
      <c r="BH49" s="230">
        <v>6613850</v>
      </c>
      <c r="BI49" s="230">
        <v>6212650</v>
      </c>
      <c r="BJ49" s="230">
        <v>401200</v>
      </c>
      <c r="BK49" s="229">
        <v>6.4600000000000005E-2</v>
      </c>
      <c r="BL49" s="230">
        <v>2323050</v>
      </c>
      <c r="BM49" s="230">
        <v>2090150</v>
      </c>
      <c r="BN49" s="230">
        <v>232900</v>
      </c>
      <c r="BO49" s="229">
        <v>0.1114</v>
      </c>
      <c r="BP49" s="230">
        <v>12964200</v>
      </c>
      <c r="BQ49" s="230">
        <v>12296100</v>
      </c>
      <c r="BR49" s="230">
        <v>668100</v>
      </c>
      <c r="BS49" s="229">
        <v>5.4300000000000001E-2</v>
      </c>
      <c r="BT49" s="230">
        <v>4365131</v>
      </c>
      <c r="BU49" s="230">
        <v>2713350</v>
      </c>
      <c r="BV49" s="230">
        <v>1651781</v>
      </c>
      <c r="BW49" s="229">
        <v>0.60880000000000001</v>
      </c>
      <c r="BX49" s="230">
        <v>18206150</v>
      </c>
      <c r="BY49" s="230">
        <v>18157700</v>
      </c>
      <c r="BZ49" s="230">
        <v>48450</v>
      </c>
      <c r="CA49" s="229">
        <v>2.7000000000000001E-3</v>
      </c>
      <c r="CB49" s="230">
        <v>17393550</v>
      </c>
      <c r="CC49" s="230">
        <v>17316200</v>
      </c>
      <c r="CD49" s="230">
        <v>77350</v>
      </c>
      <c r="CE49" s="229">
        <v>4.4999999999999997E-3</v>
      </c>
      <c r="CF49" s="230">
        <v>775200</v>
      </c>
      <c r="CG49" s="230">
        <v>801550</v>
      </c>
      <c r="CH49" s="230">
        <v>-26350</v>
      </c>
      <c r="CI49" s="229">
        <v>-3.2899999999999999E-2</v>
      </c>
      <c r="CJ49" s="228">
        <v>0</v>
      </c>
      <c r="CK49" s="228">
        <v>0</v>
      </c>
      <c r="CL49" s="228">
        <v>0</v>
      </c>
      <c r="CM49" s="229">
        <v>0</v>
      </c>
      <c r="CN49" s="230">
        <v>5208800</v>
      </c>
      <c r="CO49" s="230">
        <v>5267450</v>
      </c>
      <c r="CP49" s="230">
        <v>-58650</v>
      </c>
      <c r="CQ49" s="229">
        <v>-1.11E-2</v>
      </c>
      <c r="CR49" s="230">
        <v>3909150</v>
      </c>
      <c r="CS49" s="230">
        <v>3876850</v>
      </c>
      <c r="CT49" s="230">
        <v>32300</v>
      </c>
      <c r="CU49" s="229">
        <v>8.3000000000000001E-3</v>
      </c>
      <c r="CV49" s="230">
        <v>27324100</v>
      </c>
      <c r="CW49" s="230">
        <v>27302000</v>
      </c>
      <c r="CX49" s="230">
        <v>22100</v>
      </c>
      <c r="CY49" s="229">
        <v>8.0000000000000004E-4</v>
      </c>
      <c r="CZ49" s="228">
        <v>40.880000000000003</v>
      </c>
      <c r="DA49" s="228">
        <v>39.94</v>
      </c>
      <c r="DB49" s="228">
        <v>0.94</v>
      </c>
      <c r="DC49" s="228">
        <v>0.94</v>
      </c>
      <c r="DD49" s="228">
        <v>45.45</v>
      </c>
      <c r="DE49" s="228">
        <v>45.56</v>
      </c>
      <c r="DF49" s="228">
        <v>-4.57</v>
      </c>
      <c r="DG49" s="228">
        <v>-0.11</v>
      </c>
      <c r="DH49" s="228">
        <v>40.700000000000003</v>
      </c>
      <c r="DI49" s="228">
        <v>39.94</v>
      </c>
      <c r="DJ49" s="228">
        <v>0.76</v>
      </c>
      <c r="DK49" s="228">
        <v>0.76</v>
      </c>
      <c r="DL49" s="228">
        <v>41.37</v>
      </c>
      <c r="DM49" s="228">
        <v>39.96</v>
      </c>
      <c r="DN49" s="228">
        <v>1.41</v>
      </c>
      <c r="DO49" s="228">
        <v>1.41</v>
      </c>
      <c r="DP49" s="228">
        <v>0.75</v>
      </c>
      <c r="DQ49" s="228">
        <v>0.74</v>
      </c>
      <c r="DR49" s="228">
        <v>0.01</v>
      </c>
      <c r="DS49" s="229">
        <v>1.35E-2</v>
      </c>
      <c r="DT49" s="228">
        <v>700</v>
      </c>
      <c r="DU49" s="228">
        <v>620</v>
      </c>
      <c r="DV49" s="228">
        <v>0.35</v>
      </c>
      <c r="DW49" s="228">
        <v>0.34</v>
      </c>
      <c r="DX49" s="228">
        <v>0.01</v>
      </c>
      <c r="DY49" s="229">
        <v>2.9399999999999999E-2</v>
      </c>
      <c r="DZ49" s="229">
        <v>4.2599999999999999E-2</v>
      </c>
      <c r="EA49" s="230">
        <v>801550</v>
      </c>
      <c r="EB49" s="229">
        <v>5.3E-3</v>
      </c>
      <c r="EC49" s="229">
        <v>4.2599999999999999E-2</v>
      </c>
      <c r="ED49" s="228">
        <v>3.14</v>
      </c>
      <c r="EE49" s="229">
        <v>4.5999999999999999E-3</v>
      </c>
      <c r="EF49" s="230">
        <v>2896916</v>
      </c>
      <c r="EG49" s="230">
        <v>1544563</v>
      </c>
      <c r="EH49" s="229">
        <v>0.87560000000000004</v>
      </c>
      <c r="EI49" s="229">
        <v>0.66359999999999997</v>
      </c>
      <c r="EJ49" s="231">
        <v>46848.32</v>
      </c>
      <c r="EK49" s="231">
        <v>15577.58</v>
      </c>
      <c r="EL49" s="231">
        <v>27618.53</v>
      </c>
      <c r="EM49" s="228">
        <v>0</v>
      </c>
      <c r="EN49" s="231">
        <v>90044.43</v>
      </c>
      <c r="EO49" s="231">
        <v>85094.42</v>
      </c>
      <c r="EP49" s="231">
        <v>4950.01</v>
      </c>
      <c r="EQ49" s="229">
        <v>5.8200000000000002E-2</v>
      </c>
      <c r="ER49" s="231">
        <v>36592</v>
      </c>
      <c r="ES49" s="231">
        <v>25378</v>
      </c>
      <c r="ET49" s="231">
        <v>124760</v>
      </c>
      <c r="EU49" s="231">
        <v>128243866</v>
      </c>
      <c r="EV49" s="231">
        <v>186729</v>
      </c>
      <c r="EW49" s="231">
        <v>186276</v>
      </c>
      <c r="EX49" s="228">
        <v>453</v>
      </c>
      <c r="EY49" s="229">
        <v>2.3999999999999998E-3</v>
      </c>
      <c r="EZ49" s="229">
        <v>0.21310000000000001</v>
      </c>
      <c r="FA49" s="227" t="s">
        <v>555</v>
      </c>
      <c r="FB49" s="161">
        <f t="shared" si="0"/>
        <v>812600</v>
      </c>
    </row>
    <row r="50" spans="1:158" ht="17.25" thickBot="1" x14ac:dyDescent="0.3">
      <c r="A50" s="226">
        <v>45860</v>
      </c>
      <c r="B50" s="227" t="s">
        <v>498</v>
      </c>
      <c r="C50" s="227" t="s">
        <v>532</v>
      </c>
      <c r="D50" s="228">
        <v>950</v>
      </c>
      <c r="E50" s="228">
        <v>551.95000000000005</v>
      </c>
      <c r="F50" s="228">
        <v>554.45000000000005</v>
      </c>
      <c r="G50" s="228">
        <v>-2.5</v>
      </c>
      <c r="H50" s="229">
        <v>-4.4999999999999997E-3</v>
      </c>
      <c r="I50" s="228">
        <v>550.20000000000005</v>
      </c>
      <c r="J50" s="228">
        <v>551.70000000000005</v>
      </c>
      <c r="K50" s="228">
        <v>-1.5</v>
      </c>
      <c r="L50" s="229">
        <v>-2.7000000000000001E-3</v>
      </c>
      <c r="M50" s="228">
        <v>551.95000000000005</v>
      </c>
      <c r="N50" s="228">
        <v>554.45000000000005</v>
      </c>
      <c r="O50" s="228">
        <v>-2.5</v>
      </c>
      <c r="P50" s="229">
        <v>-4.4999999999999997E-3</v>
      </c>
      <c r="Q50" s="228">
        <v>0</v>
      </c>
      <c r="R50" s="228">
        <v>0</v>
      </c>
      <c r="S50" s="228">
        <v>0</v>
      </c>
      <c r="T50" s="229">
        <v>0</v>
      </c>
      <c r="U50" s="228">
        <v>0</v>
      </c>
      <c r="V50" s="228">
        <v>0</v>
      </c>
      <c r="W50" s="228">
        <v>0</v>
      </c>
      <c r="X50" s="229">
        <v>0</v>
      </c>
      <c r="Y50" s="228">
        <v>1.75</v>
      </c>
      <c r="Z50" s="228">
        <v>2.75</v>
      </c>
      <c r="AA50" s="228">
        <v>-1</v>
      </c>
      <c r="AB50" s="229">
        <v>3.2000000000000002E-3</v>
      </c>
      <c r="AC50" s="228">
        <v>1.75</v>
      </c>
      <c r="AD50" s="228">
        <v>2.75</v>
      </c>
      <c r="AE50" s="228">
        <v>-1</v>
      </c>
      <c r="AF50" s="229">
        <v>3.2000000000000002E-3</v>
      </c>
      <c r="AG50" s="228">
        <v>0</v>
      </c>
      <c r="AH50" s="228">
        <v>0</v>
      </c>
      <c r="AI50" s="228">
        <v>0</v>
      </c>
      <c r="AJ50" s="229">
        <v>0</v>
      </c>
      <c r="AK50" s="228">
        <v>0</v>
      </c>
      <c r="AL50" s="228">
        <v>0</v>
      </c>
      <c r="AM50" s="228">
        <v>0</v>
      </c>
      <c r="AN50" s="229">
        <v>0</v>
      </c>
      <c r="AO50" s="228">
        <v>553.09</v>
      </c>
      <c r="AP50" s="228">
        <v>0</v>
      </c>
      <c r="AQ50" s="228">
        <v>0</v>
      </c>
      <c r="AR50" s="230">
        <v>1191300</v>
      </c>
      <c r="AS50" s="230">
        <v>1530450</v>
      </c>
      <c r="AT50" s="230">
        <v>-339150</v>
      </c>
      <c r="AU50" s="229">
        <v>-0.22159999999999999</v>
      </c>
      <c r="AV50" s="230">
        <v>1191300</v>
      </c>
      <c r="AW50" s="230">
        <v>1530450</v>
      </c>
      <c r="AX50" s="230">
        <v>-339150</v>
      </c>
      <c r="AY50" s="229">
        <v>-0.22159999999999999</v>
      </c>
      <c r="AZ50" s="228">
        <v>0</v>
      </c>
      <c r="BA50" s="228">
        <v>0</v>
      </c>
      <c r="BB50" s="228">
        <v>0</v>
      </c>
      <c r="BC50" s="229">
        <v>0</v>
      </c>
      <c r="BD50" s="228">
        <v>0</v>
      </c>
      <c r="BE50" s="228">
        <v>0</v>
      </c>
      <c r="BF50" s="228">
        <v>0</v>
      </c>
      <c r="BG50" s="229">
        <v>0</v>
      </c>
      <c r="BH50" s="230">
        <v>2354100</v>
      </c>
      <c r="BI50" s="230">
        <v>2987750</v>
      </c>
      <c r="BJ50" s="230">
        <v>-633650</v>
      </c>
      <c r="BK50" s="229">
        <v>-0.21210000000000001</v>
      </c>
      <c r="BL50" s="230">
        <v>640300</v>
      </c>
      <c r="BM50" s="230">
        <v>1142850</v>
      </c>
      <c r="BN50" s="230">
        <v>-502550</v>
      </c>
      <c r="BO50" s="229">
        <v>-0.43969999999999998</v>
      </c>
      <c r="BP50" s="230">
        <v>4185700</v>
      </c>
      <c r="BQ50" s="230">
        <v>5661050</v>
      </c>
      <c r="BR50" s="230">
        <v>-1475350</v>
      </c>
      <c r="BS50" s="229">
        <v>-0.2606</v>
      </c>
      <c r="BT50" s="230">
        <v>772961</v>
      </c>
      <c r="BU50" s="230">
        <v>932094</v>
      </c>
      <c r="BV50" s="230">
        <v>-159133</v>
      </c>
      <c r="BW50" s="229">
        <v>-0.17069999999999999</v>
      </c>
      <c r="BX50" s="230">
        <v>10329350</v>
      </c>
      <c r="BY50" s="230">
        <v>10602000</v>
      </c>
      <c r="BZ50" s="230">
        <v>-272650</v>
      </c>
      <c r="CA50" s="229">
        <v>-2.5700000000000001E-2</v>
      </c>
      <c r="CB50" s="230">
        <v>10329350</v>
      </c>
      <c r="CC50" s="230">
        <v>10602000</v>
      </c>
      <c r="CD50" s="230">
        <v>-272650</v>
      </c>
      <c r="CE50" s="229">
        <v>-2.5700000000000001E-2</v>
      </c>
      <c r="CF50" s="228">
        <v>0</v>
      </c>
      <c r="CG50" s="228">
        <v>0</v>
      </c>
      <c r="CH50" s="228">
        <v>0</v>
      </c>
      <c r="CI50" s="229">
        <v>0</v>
      </c>
      <c r="CJ50" s="228">
        <v>0</v>
      </c>
      <c r="CK50" s="228">
        <v>0</v>
      </c>
      <c r="CL50" s="228">
        <v>0</v>
      </c>
      <c r="CM50" s="229">
        <v>0</v>
      </c>
      <c r="CN50" s="230">
        <v>5975500</v>
      </c>
      <c r="CO50" s="230">
        <v>5967900</v>
      </c>
      <c r="CP50" s="230">
        <v>7600</v>
      </c>
      <c r="CQ50" s="229">
        <v>1.2999999999999999E-3</v>
      </c>
      <c r="CR50" s="230">
        <v>2826250</v>
      </c>
      <c r="CS50" s="230">
        <v>2937400</v>
      </c>
      <c r="CT50" s="230">
        <v>-111150</v>
      </c>
      <c r="CU50" s="229">
        <v>-3.78E-2</v>
      </c>
      <c r="CV50" s="230">
        <v>19131100</v>
      </c>
      <c r="CW50" s="230">
        <v>19507300</v>
      </c>
      <c r="CX50" s="230">
        <v>-376200</v>
      </c>
      <c r="CY50" s="229">
        <v>-1.9300000000000001E-2</v>
      </c>
      <c r="CZ50" s="228">
        <v>31.13</v>
      </c>
      <c r="DA50" s="228">
        <v>30.26</v>
      </c>
      <c r="DB50" s="228">
        <v>0.87</v>
      </c>
      <c r="DC50" s="228">
        <v>0.87</v>
      </c>
      <c r="DD50" s="228">
        <v>46.43</v>
      </c>
      <c r="DE50" s="228">
        <v>46.54</v>
      </c>
      <c r="DF50" s="228">
        <v>-15.3</v>
      </c>
      <c r="DG50" s="228">
        <v>-0.11</v>
      </c>
      <c r="DH50" s="228">
        <v>31.73</v>
      </c>
      <c r="DI50" s="228">
        <v>30.78</v>
      </c>
      <c r="DJ50" s="228">
        <v>0.95</v>
      </c>
      <c r="DK50" s="228">
        <v>0.95</v>
      </c>
      <c r="DL50" s="228">
        <v>28.96</v>
      </c>
      <c r="DM50" s="228">
        <v>28.91</v>
      </c>
      <c r="DN50" s="228">
        <v>0.05</v>
      </c>
      <c r="DO50" s="228">
        <v>0.05</v>
      </c>
      <c r="DP50" s="228">
        <v>0.47</v>
      </c>
      <c r="DQ50" s="228">
        <v>0.49</v>
      </c>
      <c r="DR50" s="228">
        <v>-0.02</v>
      </c>
      <c r="DS50" s="229">
        <v>-4.0800000000000003E-2</v>
      </c>
      <c r="DT50" s="228">
        <v>600</v>
      </c>
      <c r="DU50" s="228">
        <v>530</v>
      </c>
      <c r="DV50" s="228">
        <v>0.27</v>
      </c>
      <c r="DW50" s="228">
        <v>0.38</v>
      </c>
      <c r="DX50" s="228">
        <v>-0.11</v>
      </c>
      <c r="DY50" s="229">
        <v>-0.28949999999999998</v>
      </c>
      <c r="DZ50" s="229">
        <v>0</v>
      </c>
      <c r="EA50" s="228">
        <v>0</v>
      </c>
      <c r="EB50" s="229">
        <v>0</v>
      </c>
      <c r="EC50" s="229">
        <v>0</v>
      </c>
      <c r="ED50" s="228">
        <v>0</v>
      </c>
      <c r="EE50" s="229">
        <v>0</v>
      </c>
      <c r="EF50" s="230">
        <v>407663</v>
      </c>
      <c r="EG50" s="230">
        <v>480184</v>
      </c>
      <c r="EH50" s="229">
        <v>-0.151</v>
      </c>
      <c r="EI50" s="229">
        <v>0.52739999999999998</v>
      </c>
      <c r="EJ50" s="231">
        <v>13586.66</v>
      </c>
      <c r="EK50" s="231">
        <v>3532.92</v>
      </c>
      <c r="EL50" s="231">
        <v>6588.91</v>
      </c>
      <c r="EM50" s="228">
        <v>0</v>
      </c>
      <c r="EN50" s="231">
        <v>23708.49</v>
      </c>
      <c r="EO50" s="231">
        <v>31942.26</v>
      </c>
      <c r="EP50" s="231">
        <v>-8233.77</v>
      </c>
      <c r="EQ50" s="229">
        <v>-0.25779999999999997</v>
      </c>
      <c r="ER50" s="231">
        <v>34762</v>
      </c>
      <c r="ES50" s="231">
        <v>15438</v>
      </c>
      <c r="ET50" s="231">
        <v>57013</v>
      </c>
      <c r="EU50" s="231">
        <v>31728204</v>
      </c>
      <c r="EV50" s="231">
        <v>107213</v>
      </c>
      <c r="EW50" s="231">
        <v>109594</v>
      </c>
      <c r="EX50" s="231">
        <v>-2381</v>
      </c>
      <c r="EY50" s="229">
        <v>-2.1700000000000001E-2</v>
      </c>
      <c r="EZ50" s="229">
        <v>0.60299999999999998</v>
      </c>
      <c r="FA50" s="227" t="s">
        <v>568</v>
      </c>
      <c r="FB50" s="161">
        <f t="shared" si="0"/>
        <v>0</v>
      </c>
    </row>
    <row r="51" spans="1:158" ht="17.25" thickBot="1" x14ac:dyDescent="0.3">
      <c r="A51" s="226">
        <v>45860</v>
      </c>
      <c r="B51" s="227" t="s">
        <v>175</v>
      </c>
      <c r="C51" s="227" t="s">
        <v>198</v>
      </c>
      <c r="D51" s="228">
        <v>625</v>
      </c>
      <c r="E51" s="231">
        <v>1565</v>
      </c>
      <c r="F51" s="231">
        <v>1576</v>
      </c>
      <c r="G51" s="228">
        <v>-11</v>
      </c>
      <c r="H51" s="229">
        <v>-7.0000000000000001E-3</v>
      </c>
      <c r="I51" s="231">
        <v>1565.4</v>
      </c>
      <c r="J51" s="231">
        <v>1573.8</v>
      </c>
      <c r="K51" s="228">
        <v>-8.4</v>
      </c>
      <c r="L51" s="229">
        <v>-5.3E-3</v>
      </c>
      <c r="M51" s="231">
        <v>1565</v>
      </c>
      <c r="N51" s="231">
        <v>1576</v>
      </c>
      <c r="O51" s="228">
        <v>-11</v>
      </c>
      <c r="P51" s="229">
        <v>-7.0000000000000001E-3</v>
      </c>
      <c r="Q51" s="231">
        <v>1567.8</v>
      </c>
      <c r="R51" s="231">
        <v>1579.5</v>
      </c>
      <c r="S51" s="228">
        <v>-11.7</v>
      </c>
      <c r="T51" s="229">
        <v>-7.4000000000000003E-3</v>
      </c>
      <c r="U51" s="228">
        <v>0</v>
      </c>
      <c r="V51" s="228">
        <v>0</v>
      </c>
      <c r="W51" s="228">
        <v>0</v>
      </c>
      <c r="X51" s="229">
        <v>0</v>
      </c>
      <c r="Y51" s="228">
        <v>-0.4</v>
      </c>
      <c r="Z51" s="228">
        <v>2.2000000000000002</v>
      </c>
      <c r="AA51" s="228">
        <v>-2.6</v>
      </c>
      <c r="AB51" s="229">
        <v>-2.9999999999999997E-4</v>
      </c>
      <c r="AC51" s="228">
        <v>-0.4</v>
      </c>
      <c r="AD51" s="228">
        <v>2.2000000000000002</v>
      </c>
      <c r="AE51" s="228">
        <v>-2.6</v>
      </c>
      <c r="AF51" s="229">
        <v>-2.9999999999999997E-4</v>
      </c>
      <c r="AG51" s="228">
        <v>2.4</v>
      </c>
      <c r="AH51" s="228">
        <v>5.7</v>
      </c>
      <c r="AI51" s="228">
        <v>-3.3</v>
      </c>
      <c r="AJ51" s="229">
        <v>1.5E-3</v>
      </c>
      <c r="AK51" s="228">
        <v>0</v>
      </c>
      <c r="AL51" s="228">
        <v>0</v>
      </c>
      <c r="AM51" s="228">
        <v>0</v>
      </c>
      <c r="AN51" s="229">
        <v>0</v>
      </c>
      <c r="AO51" s="231">
        <v>1565.29</v>
      </c>
      <c r="AP51" s="231">
        <v>1568.87</v>
      </c>
      <c r="AQ51" s="228">
        <v>0</v>
      </c>
      <c r="AR51" s="230">
        <v>1315000</v>
      </c>
      <c r="AS51" s="230">
        <v>4165625</v>
      </c>
      <c r="AT51" s="230">
        <v>-2850625</v>
      </c>
      <c r="AU51" s="229">
        <v>-0.68430000000000002</v>
      </c>
      <c r="AV51" s="230">
        <v>1094375</v>
      </c>
      <c r="AW51" s="230">
        <v>3092500</v>
      </c>
      <c r="AX51" s="230">
        <v>-1998125</v>
      </c>
      <c r="AY51" s="229">
        <v>-0.64610000000000001</v>
      </c>
      <c r="AZ51" s="230">
        <v>215000</v>
      </c>
      <c r="BA51" s="230">
        <v>1052500</v>
      </c>
      <c r="BB51" s="230">
        <v>-837500</v>
      </c>
      <c r="BC51" s="229">
        <v>-0.79569999999999996</v>
      </c>
      <c r="BD51" s="228">
        <v>0</v>
      </c>
      <c r="BE51" s="228">
        <v>0</v>
      </c>
      <c r="BF51" s="228">
        <v>0</v>
      </c>
      <c r="BG51" s="229">
        <v>0</v>
      </c>
      <c r="BH51" s="230">
        <v>2246875</v>
      </c>
      <c r="BI51" s="230">
        <v>5636875</v>
      </c>
      <c r="BJ51" s="230">
        <v>-3390000</v>
      </c>
      <c r="BK51" s="229">
        <v>-0.60140000000000005</v>
      </c>
      <c r="BL51" s="230">
        <v>1118125</v>
      </c>
      <c r="BM51" s="230">
        <v>2989375</v>
      </c>
      <c r="BN51" s="230">
        <v>-1871250</v>
      </c>
      <c r="BO51" s="229">
        <v>-0.626</v>
      </c>
      <c r="BP51" s="230">
        <v>4680000</v>
      </c>
      <c r="BQ51" s="230">
        <v>12791875</v>
      </c>
      <c r="BR51" s="230">
        <v>-8111875</v>
      </c>
      <c r="BS51" s="229">
        <v>-0.6341</v>
      </c>
      <c r="BT51" s="230">
        <v>749704</v>
      </c>
      <c r="BU51" s="230">
        <v>1682728</v>
      </c>
      <c r="BV51" s="230">
        <v>-933024</v>
      </c>
      <c r="BW51" s="229">
        <v>-0.55449999999999999</v>
      </c>
      <c r="BX51" s="230">
        <v>12371875</v>
      </c>
      <c r="BY51" s="230">
        <v>12281250</v>
      </c>
      <c r="BZ51" s="230">
        <v>90625</v>
      </c>
      <c r="CA51" s="229">
        <v>7.4000000000000003E-3</v>
      </c>
      <c r="CB51" s="230">
        <v>11418125</v>
      </c>
      <c r="CC51" s="230">
        <v>11403125</v>
      </c>
      <c r="CD51" s="230">
        <v>15000</v>
      </c>
      <c r="CE51" s="229">
        <v>1.2999999999999999E-3</v>
      </c>
      <c r="CF51" s="230">
        <v>884375</v>
      </c>
      <c r="CG51" s="230">
        <v>813125</v>
      </c>
      <c r="CH51" s="230">
        <v>71250</v>
      </c>
      <c r="CI51" s="229">
        <v>8.7599999999999997E-2</v>
      </c>
      <c r="CJ51" s="228">
        <v>0</v>
      </c>
      <c r="CK51" s="228">
        <v>0</v>
      </c>
      <c r="CL51" s="228">
        <v>0</v>
      </c>
      <c r="CM51" s="229">
        <v>0</v>
      </c>
      <c r="CN51" s="230">
        <v>3949375</v>
      </c>
      <c r="CO51" s="230">
        <v>3901250</v>
      </c>
      <c r="CP51" s="230">
        <v>48125</v>
      </c>
      <c r="CQ51" s="229">
        <v>1.23E-2</v>
      </c>
      <c r="CR51" s="230">
        <v>3004375</v>
      </c>
      <c r="CS51" s="230">
        <v>2968750</v>
      </c>
      <c r="CT51" s="230">
        <v>35625</v>
      </c>
      <c r="CU51" s="229">
        <v>1.2E-2</v>
      </c>
      <c r="CV51" s="230">
        <v>19325625</v>
      </c>
      <c r="CW51" s="230">
        <v>19151250</v>
      </c>
      <c r="CX51" s="230">
        <v>174375</v>
      </c>
      <c r="CY51" s="229">
        <v>9.1000000000000004E-3</v>
      </c>
      <c r="CZ51" s="228">
        <v>29.28</v>
      </c>
      <c r="DA51" s="228">
        <v>30.22</v>
      </c>
      <c r="DB51" s="228">
        <v>-0.94</v>
      </c>
      <c r="DC51" s="228">
        <v>-0.94</v>
      </c>
      <c r="DD51" s="228">
        <v>40.43</v>
      </c>
      <c r="DE51" s="228">
        <v>40.53</v>
      </c>
      <c r="DF51" s="228">
        <v>-11.15</v>
      </c>
      <c r="DG51" s="228">
        <v>-0.1</v>
      </c>
      <c r="DH51" s="228">
        <v>29.46</v>
      </c>
      <c r="DI51" s="228">
        <v>30.1</v>
      </c>
      <c r="DJ51" s="228">
        <v>-0.64</v>
      </c>
      <c r="DK51" s="228">
        <v>-0.64</v>
      </c>
      <c r="DL51" s="228">
        <v>28.92</v>
      </c>
      <c r="DM51" s="228">
        <v>30.44</v>
      </c>
      <c r="DN51" s="228">
        <v>-1.52</v>
      </c>
      <c r="DO51" s="228">
        <v>-1.52</v>
      </c>
      <c r="DP51" s="228">
        <v>0.76</v>
      </c>
      <c r="DQ51" s="228">
        <v>0.76</v>
      </c>
      <c r="DR51" s="228">
        <v>0</v>
      </c>
      <c r="DS51" s="229">
        <v>0</v>
      </c>
      <c r="DT51" s="231">
        <v>1600</v>
      </c>
      <c r="DU51" s="231">
        <v>1500</v>
      </c>
      <c r="DV51" s="228">
        <v>0.5</v>
      </c>
      <c r="DW51" s="228">
        <v>0.53</v>
      </c>
      <c r="DX51" s="228">
        <v>-0.03</v>
      </c>
      <c r="DY51" s="229">
        <v>-5.6599999999999998E-2</v>
      </c>
      <c r="DZ51" s="229">
        <v>7.1499999999999994E-2</v>
      </c>
      <c r="EA51" s="230">
        <v>813125</v>
      </c>
      <c r="EB51" s="229">
        <v>1.8E-3</v>
      </c>
      <c r="EC51" s="229">
        <v>7.1499999999999994E-2</v>
      </c>
      <c r="ED51" s="228">
        <v>3.58</v>
      </c>
      <c r="EE51" s="229">
        <v>2.3E-3</v>
      </c>
      <c r="EF51" s="230">
        <v>430775</v>
      </c>
      <c r="EG51" s="230">
        <v>1130190</v>
      </c>
      <c r="EH51" s="229">
        <v>-0.61880000000000002</v>
      </c>
      <c r="EI51" s="229">
        <v>0.5746</v>
      </c>
      <c r="EJ51" s="231">
        <v>36465.129999999997</v>
      </c>
      <c r="EK51" s="231">
        <v>17247.400000000001</v>
      </c>
      <c r="EL51" s="231">
        <v>20591.73</v>
      </c>
      <c r="EM51" s="228">
        <v>0</v>
      </c>
      <c r="EN51" s="231">
        <v>74304.259999999995</v>
      </c>
      <c r="EO51" s="231">
        <v>201774.11</v>
      </c>
      <c r="EP51" s="231">
        <v>-127469.85</v>
      </c>
      <c r="EQ51" s="229">
        <v>-0.63170000000000004</v>
      </c>
      <c r="ER51" s="231">
        <v>64731</v>
      </c>
      <c r="ES51" s="231">
        <v>45382</v>
      </c>
      <c r="ET51" s="231">
        <v>193649</v>
      </c>
      <c r="EU51" s="231">
        <v>84229462</v>
      </c>
      <c r="EV51" s="231">
        <v>303762</v>
      </c>
      <c r="EW51" s="231">
        <v>302315</v>
      </c>
      <c r="EX51" s="231">
        <v>1447</v>
      </c>
      <c r="EY51" s="229">
        <v>4.7999999999999996E-3</v>
      </c>
      <c r="EZ51" s="229">
        <v>0.22939999999999999</v>
      </c>
      <c r="FA51" s="227" t="s">
        <v>567</v>
      </c>
      <c r="FB51" s="161">
        <f t="shared" si="0"/>
        <v>953750</v>
      </c>
    </row>
    <row r="52" spans="1:158" ht="17.25" thickBot="1" x14ac:dyDescent="0.3">
      <c r="A52" s="226">
        <v>45860</v>
      </c>
      <c r="B52" s="227" t="s">
        <v>170</v>
      </c>
      <c r="C52" s="227" t="s">
        <v>199</v>
      </c>
      <c r="D52" s="228">
        <v>375</v>
      </c>
      <c r="E52" s="231">
        <v>1465.5</v>
      </c>
      <c r="F52" s="231">
        <v>1475.2</v>
      </c>
      <c r="G52" s="228">
        <v>-9.6999999999999993</v>
      </c>
      <c r="H52" s="229">
        <v>-6.6E-3</v>
      </c>
      <c r="I52" s="231">
        <v>1464.4</v>
      </c>
      <c r="J52" s="231">
        <v>1473.9</v>
      </c>
      <c r="K52" s="228">
        <v>-9.5</v>
      </c>
      <c r="L52" s="229">
        <v>-6.4000000000000003E-3</v>
      </c>
      <c r="M52" s="231">
        <v>1465.5</v>
      </c>
      <c r="N52" s="231">
        <v>1475.2</v>
      </c>
      <c r="O52" s="228">
        <v>-9.6999999999999993</v>
      </c>
      <c r="P52" s="229">
        <v>-6.6E-3</v>
      </c>
      <c r="Q52" s="231">
        <v>1473.3</v>
      </c>
      <c r="R52" s="231">
        <v>1482.7</v>
      </c>
      <c r="S52" s="228">
        <v>-9.4</v>
      </c>
      <c r="T52" s="229">
        <v>-6.3E-3</v>
      </c>
      <c r="U52" s="228">
        <v>0</v>
      </c>
      <c r="V52" s="228">
        <v>0</v>
      </c>
      <c r="W52" s="228">
        <v>0</v>
      </c>
      <c r="X52" s="229">
        <v>0</v>
      </c>
      <c r="Y52" s="228">
        <v>1.1000000000000001</v>
      </c>
      <c r="Z52" s="228">
        <v>1.3</v>
      </c>
      <c r="AA52" s="228">
        <v>-0.2</v>
      </c>
      <c r="AB52" s="229">
        <v>8.0000000000000004E-4</v>
      </c>
      <c r="AC52" s="228">
        <v>1.1000000000000001</v>
      </c>
      <c r="AD52" s="228">
        <v>1.3</v>
      </c>
      <c r="AE52" s="228">
        <v>-0.2</v>
      </c>
      <c r="AF52" s="229">
        <v>8.0000000000000004E-4</v>
      </c>
      <c r="AG52" s="228">
        <v>8.9</v>
      </c>
      <c r="AH52" s="228">
        <v>8.8000000000000007</v>
      </c>
      <c r="AI52" s="228">
        <v>0.1</v>
      </c>
      <c r="AJ52" s="229">
        <v>6.1000000000000004E-3</v>
      </c>
      <c r="AK52" s="228">
        <v>0</v>
      </c>
      <c r="AL52" s="228">
        <v>0</v>
      </c>
      <c r="AM52" s="228">
        <v>0</v>
      </c>
      <c r="AN52" s="229">
        <v>0</v>
      </c>
      <c r="AO52" s="231">
        <v>1464.29</v>
      </c>
      <c r="AP52" s="231">
        <v>1471.45</v>
      </c>
      <c r="AQ52" s="228">
        <v>0</v>
      </c>
      <c r="AR52" s="230">
        <v>1642500</v>
      </c>
      <c r="AS52" s="230">
        <v>1149375</v>
      </c>
      <c r="AT52" s="230">
        <v>493125</v>
      </c>
      <c r="AU52" s="229">
        <v>0.42899999999999999</v>
      </c>
      <c r="AV52" s="230">
        <v>1429500</v>
      </c>
      <c r="AW52" s="230">
        <v>1037250</v>
      </c>
      <c r="AX52" s="230">
        <v>392250</v>
      </c>
      <c r="AY52" s="229">
        <v>0.37819999999999998</v>
      </c>
      <c r="AZ52" s="230">
        <v>198000</v>
      </c>
      <c r="BA52" s="230">
        <v>108375</v>
      </c>
      <c r="BB52" s="230">
        <v>89625</v>
      </c>
      <c r="BC52" s="229">
        <v>0.82699999999999996</v>
      </c>
      <c r="BD52" s="228">
        <v>0</v>
      </c>
      <c r="BE52" s="228">
        <v>0</v>
      </c>
      <c r="BF52" s="228">
        <v>0</v>
      </c>
      <c r="BG52" s="229">
        <v>0</v>
      </c>
      <c r="BH52" s="230">
        <v>3075375</v>
      </c>
      <c r="BI52" s="230">
        <v>1735875</v>
      </c>
      <c r="BJ52" s="230">
        <v>1339500</v>
      </c>
      <c r="BK52" s="229">
        <v>0.77170000000000005</v>
      </c>
      <c r="BL52" s="230">
        <v>2197875</v>
      </c>
      <c r="BM52" s="230">
        <v>1080000</v>
      </c>
      <c r="BN52" s="230">
        <v>1117875</v>
      </c>
      <c r="BO52" s="229">
        <v>1.0350999999999999</v>
      </c>
      <c r="BP52" s="230">
        <v>6915750</v>
      </c>
      <c r="BQ52" s="230">
        <v>3965250</v>
      </c>
      <c r="BR52" s="230">
        <v>2950500</v>
      </c>
      <c r="BS52" s="229">
        <v>0.74409999999999998</v>
      </c>
      <c r="BT52" s="230">
        <v>2054241</v>
      </c>
      <c r="BU52" s="230">
        <v>1239108</v>
      </c>
      <c r="BV52" s="230">
        <v>815133</v>
      </c>
      <c r="BW52" s="229">
        <v>0.65780000000000005</v>
      </c>
      <c r="BX52" s="230">
        <v>11997750</v>
      </c>
      <c r="BY52" s="230">
        <v>12376125</v>
      </c>
      <c r="BZ52" s="230">
        <v>-378375</v>
      </c>
      <c r="CA52" s="229">
        <v>-3.0599999999999999E-2</v>
      </c>
      <c r="CB52" s="230">
        <v>11191875</v>
      </c>
      <c r="CC52" s="230">
        <v>11659125</v>
      </c>
      <c r="CD52" s="230">
        <v>-467250</v>
      </c>
      <c r="CE52" s="229">
        <v>-4.0099999999999997E-2</v>
      </c>
      <c r="CF52" s="230">
        <v>612375</v>
      </c>
      <c r="CG52" s="230">
        <v>527625</v>
      </c>
      <c r="CH52" s="230">
        <v>84750</v>
      </c>
      <c r="CI52" s="229">
        <v>0.16059999999999999</v>
      </c>
      <c r="CJ52" s="228">
        <v>0</v>
      </c>
      <c r="CK52" s="228">
        <v>0</v>
      </c>
      <c r="CL52" s="228">
        <v>0</v>
      </c>
      <c r="CM52" s="229">
        <v>0</v>
      </c>
      <c r="CN52" s="230">
        <v>5564625</v>
      </c>
      <c r="CO52" s="230">
        <v>5593125</v>
      </c>
      <c r="CP52" s="230">
        <v>-28500</v>
      </c>
      <c r="CQ52" s="229">
        <v>-5.1000000000000004E-3</v>
      </c>
      <c r="CR52" s="230">
        <v>2806875</v>
      </c>
      <c r="CS52" s="230">
        <v>2812875</v>
      </c>
      <c r="CT52" s="230">
        <v>-6000</v>
      </c>
      <c r="CU52" s="229">
        <v>-2.0999999999999999E-3</v>
      </c>
      <c r="CV52" s="230">
        <v>20369250</v>
      </c>
      <c r="CW52" s="230">
        <v>20782125</v>
      </c>
      <c r="CX52" s="230">
        <v>-412875</v>
      </c>
      <c r="CY52" s="229">
        <v>-1.9900000000000001E-2</v>
      </c>
      <c r="CZ52" s="228">
        <v>26.72</v>
      </c>
      <c r="DA52" s="228">
        <v>26.2</v>
      </c>
      <c r="DB52" s="228">
        <v>0.52</v>
      </c>
      <c r="DC52" s="228">
        <v>0.52</v>
      </c>
      <c r="DD52" s="228">
        <v>27.16</v>
      </c>
      <c r="DE52" s="228">
        <v>27.21</v>
      </c>
      <c r="DF52" s="228">
        <v>-0.44</v>
      </c>
      <c r="DG52" s="228">
        <v>-0.05</v>
      </c>
      <c r="DH52" s="228">
        <v>26.99</v>
      </c>
      <c r="DI52" s="228">
        <v>26.46</v>
      </c>
      <c r="DJ52" s="228">
        <v>0.53</v>
      </c>
      <c r="DK52" s="228">
        <v>0.53</v>
      </c>
      <c r="DL52" s="228">
        <v>26.35</v>
      </c>
      <c r="DM52" s="228">
        <v>25.79</v>
      </c>
      <c r="DN52" s="228">
        <v>0.56000000000000005</v>
      </c>
      <c r="DO52" s="228">
        <v>0.56000000000000005</v>
      </c>
      <c r="DP52" s="228">
        <v>0.5</v>
      </c>
      <c r="DQ52" s="228">
        <v>0.5</v>
      </c>
      <c r="DR52" s="228">
        <v>0</v>
      </c>
      <c r="DS52" s="229">
        <v>0</v>
      </c>
      <c r="DT52" s="231">
        <v>1600</v>
      </c>
      <c r="DU52" s="231">
        <v>1340</v>
      </c>
      <c r="DV52" s="228">
        <v>0.71</v>
      </c>
      <c r="DW52" s="228">
        <v>0.62</v>
      </c>
      <c r="DX52" s="228">
        <v>0.09</v>
      </c>
      <c r="DY52" s="229">
        <v>0.1452</v>
      </c>
      <c r="DZ52" s="229">
        <v>5.0999999999999997E-2</v>
      </c>
      <c r="EA52" s="230">
        <v>527625</v>
      </c>
      <c r="EB52" s="229">
        <v>5.3E-3</v>
      </c>
      <c r="EC52" s="229">
        <v>5.0999999999999997E-2</v>
      </c>
      <c r="ED52" s="228">
        <v>7.16</v>
      </c>
      <c r="EE52" s="229">
        <v>4.8999999999999998E-3</v>
      </c>
      <c r="EF52" s="230">
        <v>1379977</v>
      </c>
      <c r="EG52" s="230">
        <v>860521</v>
      </c>
      <c r="EH52" s="229">
        <v>0.60370000000000001</v>
      </c>
      <c r="EI52" s="229">
        <v>0.67179999999999995</v>
      </c>
      <c r="EJ52" s="231">
        <v>46922.12</v>
      </c>
      <c r="EK52" s="231">
        <v>31961.65</v>
      </c>
      <c r="EL52" s="231">
        <v>24067.33</v>
      </c>
      <c r="EM52" s="228">
        <v>0</v>
      </c>
      <c r="EN52" s="231">
        <v>102951.1</v>
      </c>
      <c r="EO52" s="231">
        <v>59315.02</v>
      </c>
      <c r="EP52" s="231">
        <v>43636.08</v>
      </c>
      <c r="EQ52" s="229">
        <v>0.73570000000000002</v>
      </c>
      <c r="ER52" s="231">
        <v>88396</v>
      </c>
      <c r="ES52" s="231">
        <v>39753</v>
      </c>
      <c r="ET52" s="231">
        <v>175906</v>
      </c>
      <c r="EU52" s="231">
        <v>114117893</v>
      </c>
      <c r="EV52" s="231">
        <v>304055</v>
      </c>
      <c r="EW52" s="231">
        <v>311397</v>
      </c>
      <c r="EX52" s="231">
        <v>-7342</v>
      </c>
      <c r="EY52" s="229">
        <v>-2.3599999999999999E-2</v>
      </c>
      <c r="EZ52" s="229">
        <v>0.17849999999999999</v>
      </c>
      <c r="FA52" s="227" t="s">
        <v>568</v>
      </c>
      <c r="FB52" s="161">
        <f t="shared" si="0"/>
        <v>805875</v>
      </c>
    </row>
    <row r="53" spans="1:158" ht="17.25" thickBot="1" x14ac:dyDescent="0.3">
      <c r="A53" s="226">
        <v>45860</v>
      </c>
      <c r="B53" s="227" t="s">
        <v>227</v>
      </c>
      <c r="C53" s="227" t="s">
        <v>200</v>
      </c>
      <c r="D53" s="228">
        <v>1350</v>
      </c>
      <c r="E53" s="228">
        <v>390.1</v>
      </c>
      <c r="F53" s="228">
        <v>387.45</v>
      </c>
      <c r="G53" s="228">
        <v>2.65</v>
      </c>
      <c r="H53" s="229">
        <v>6.7999999999999996E-3</v>
      </c>
      <c r="I53" s="228">
        <v>389.1</v>
      </c>
      <c r="J53" s="228">
        <v>386.8</v>
      </c>
      <c r="K53" s="228">
        <v>2.2999999999999998</v>
      </c>
      <c r="L53" s="229">
        <v>5.8999999999999999E-3</v>
      </c>
      <c r="M53" s="228">
        <v>390.1</v>
      </c>
      <c r="N53" s="228">
        <v>387.45</v>
      </c>
      <c r="O53" s="228">
        <v>2.65</v>
      </c>
      <c r="P53" s="229">
        <v>6.7999999999999996E-3</v>
      </c>
      <c r="Q53" s="228">
        <v>384.7</v>
      </c>
      <c r="R53" s="228">
        <v>382</v>
      </c>
      <c r="S53" s="228">
        <v>2.7</v>
      </c>
      <c r="T53" s="229">
        <v>7.1000000000000004E-3</v>
      </c>
      <c r="U53" s="228">
        <v>0</v>
      </c>
      <c r="V53" s="228">
        <v>0</v>
      </c>
      <c r="W53" s="228">
        <v>0</v>
      </c>
      <c r="X53" s="229">
        <v>0</v>
      </c>
      <c r="Y53" s="228">
        <v>1</v>
      </c>
      <c r="Z53" s="228">
        <v>0.65</v>
      </c>
      <c r="AA53" s="228">
        <v>0.35</v>
      </c>
      <c r="AB53" s="229">
        <v>2.5999999999999999E-3</v>
      </c>
      <c r="AC53" s="228">
        <v>1</v>
      </c>
      <c r="AD53" s="228">
        <v>0.65</v>
      </c>
      <c r="AE53" s="228">
        <v>0.35</v>
      </c>
      <c r="AF53" s="229">
        <v>2.5999999999999999E-3</v>
      </c>
      <c r="AG53" s="228">
        <v>-4.4000000000000004</v>
      </c>
      <c r="AH53" s="228">
        <v>-4.8</v>
      </c>
      <c r="AI53" s="228">
        <v>0.4</v>
      </c>
      <c r="AJ53" s="229">
        <v>-1.1299999999999999E-2</v>
      </c>
      <c r="AK53" s="228">
        <v>0</v>
      </c>
      <c r="AL53" s="228">
        <v>0</v>
      </c>
      <c r="AM53" s="228">
        <v>0</v>
      </c>
      <c r="AN53" s="229">
        <v>0</v>
      </c>
      <c r="AO53" s="228">
        <v>389.64</v>
      </c>
      <c r="AP53" s="228">
        <v>384.02</v>
      </c>
      <c r="AQ53" s="228">
        <v>0</v>
      </c>
      <c r="AR53" s="230">
        <v>10326150</v>
      </c>
      <c r="AS53" s="230">
        <v>9070650</v>
      </c>
      <c r="AT53" s="230">
        <v>1255500</v>
      </c>
      <c r="AU53" s="229">
        <v>0.1384</v>
      </c>
      <c r="AV53" s="230">
        <v>7333200</v>
      </c>
      <c r="AW53" s="230">
        <v>6662250</v>
      </c>
      <c r="AX53" s="230">
        <v>670950</v>
      </c>
      <c r="AY53" s="229">
        <v>0.1007</v>
      </c>
      <c r="AZ53" s="230">
        <v>2824200</v>
      </c>
      <c r="BA53" s="230">
        <v>2338200</v>
      </c>
      <c r="BB53" s="230">
        <v>486000</v>
      </c>
      <c r="BC53" s="229">
        <v>0.2079</v>
      </c>
      <c r="BD53" s="228">
        <v>0</v>
      </c>
      <c r="BE53" s="228">
        <v>0</v>
      </c>
      <c r="BF53" s="228">
        <v>0</v>
      </c>
      <c r="BG53" s="229">
        <v>0</v>
      </c>
      <c r="BH53" s="230">
        <v>34311600</v>
      </c>
      <c r="BI53" s="230">
        <v>19780200</v>
      </c>
      <c r="BJ53" s="230">
        <v>14531400</v>
      </c>
      <c r="BK53" s="229">
        <v>0.73460000000000003</v>
      </c>
      <c r="BL53" s="230">
        <v>18084600</v>
      </c>
      <c r="BM53" s="230">
        <v>12590100</v>
      </c>
      <c r="BN53" s="230">
        <v>5494500</v>
      </c>
      <c r="BO53" s="229">
        <v>0.43640000000000001</v>
      </c>
      <c r="BP53" s="230">
        <v>62722350</v>
      </c>
      <c r="BQ53" s="230">
        <v>41440950</v>
      </c>
      <c r="BR53" s="230">
        <v>21281400</v>
      </c>
      <c r="BS53" s="229">
        <v>0.51349999999999996</v>
      </c>
      <c r="BT53" s="230">
        <v>5213011</v>
      </c>
      <c r="BU53" s="230">
        <v>4496234</v>
      </c>
      <c r="BV53" s="230">
        <v>716777</v>
      </c>
      <c r="BW53" s="229">
        <v>0.15939999999999999</v>
      </c>
      <c r="BX53" s="230">
        <v>87030450</v>
      </c>
      <c r="BY53" s="230">
        <v>90612000</v>
      </c>
      <c r="BZ53" s="230">
        <v>-3581550</v>
      </c>
      <c r="CA53" s="229">
        <v>-3.95E-2</v>
      </c>
      <c r="CB53" s="230">
        <v>46255050</v>
      </c>
      <c r="CC53" s="230">
        <v>49727250</v>
      </c>
      <c r="CD53" s="230">
        <v>-3472200</v>
      </c>
      <c r="CE53" s="229">
        <v>-6.9800000000000001E-2</v>
      </c>
      <c r="CF53" s="230">
        <v>40086900</v>
      </c>
      <c r="CG53" s="230">
        <v>40167900</v>
      </c>
      <c r="CH53" s="230">
        <v>-81000</v>
      </c>
      <c r="CI53" s="229">
        <v>-2E-3</v>
      </c>
      <c r="CJ53" s="228">
        <v>0</v>
      </c>
      <c r="CK53" s="228">
        <v>0</v>
      </c>
      <c r="CL53" s="228">
        <v>0</v>
      </c>
      <c r="CM53" s="229">
        <v>0</v>
      </c>
      <c r="CN53" s="230">
        <v>38699100</v>
      </c>
      <c r="CO53" s="230">
        <v>40724100</v>
      </c>
      <c r="CP53" s="230">
        <v>-2025000</v>
      </c>
      <c r="CQ53" s="229">
        <v>-4.9700000000000001E-2</v>
      </c>
      <c r="CR53" s="230">
        <v>29107350</v>
      </c>
      <c r="CS53" s="230">
        <v>29128950</v>
      </c>
      <c r="CT53" s="230">
        <v>-21600</v>
      </c>
      <c r="CU53" s="229">
        <v>-6.9999999999999999E-4</v>
      </c>
      <c r="CV53" s="230">
        <v>154836900</v>
      </c>
      <c r="CW53" s="230">
        <v>160465050</v>
      </c>
      <c r="CX53" s="230">
        <v>-5628150</v>
      </c>
      <c r="CY53" s="229">
        <v>-3.5099999999999999E-2</v>
      </c>
      <c r="CZ53" s="228">
        <v>18.920000000000002</v>
      </c>
      <c r="DA53" s="228">
        <v>20.29</v>
      </c>
      <c r="DB53" s="228">
        <v>-1.37</v>
      </c>
      <c r="DC53" s="228">
        <v>-1.37</v>
      </c>
      <c r="DD53" s="228">
        <v>31.95</v>
      </c>
      <c r="DE53" s="228">
        <v>32.020000000000003</v>
      </c>
      <c r="DF53" s="228">
        <v>-13.03</v>
      </c>
      <c r="DG53" s="228">
        <v>-7.0000000000000007E-2</v>
      </c>
      <c r="DH53" s="228">
        <v>18.38</v>
      </c>
      <c r="DI53" s="228">
        <v>19.190000000000001</v>
      </c>
      <c r="DJ53" s="228">
        <v>-0.81</v>
      </c>
      <c r="DK53" s="228">
        <v>-0.81</v>
      </c>
      <c r="DL53" s="228">
        <v>19.93</v>
      </c>
      <c r="DM53" s="228">
        <v>22.04</v>
      </c>
      <c r="DN53" s="228">
        <v>-2.11</v>
      </c>
      <c r="DO53" s="228">
        <v>-2.11</v>
      </c>
      <c r="DP53" s="228">
        <v>0.75</v>
      </c>
      <c r="DQ53" s="228">
        <v>0.72</v>
      </c>
      <c r="DR53" s="228">
        <v>0.03</v>
      </c>
      <c r="DS53" s="229">
        <v>4.1700000000000001E-2</v>
      </c>
      <c r="DT53" s="228">
        <v>400</v>
      </c>
      <c r="DU53" s="228">
        <v>400</v>
      </c>
      <c r="DV53" s="228">
        <v>0.53</v>
      </c>
      <c r="DW53" s="228">
        <v>0.64</v>
      </c>
      <c r="DX53" s="228">
        <v>-0.11</v>
      </c>
      <c r="DY53" s="229">
        <v>-0.1719</v>
      </c>
      <c r="DZ53" s="229">
        <v>0.46060000000000001</v>
      </c>
      <c r="EA53" s="230">
        <v>40167900</v>
      </c>
      <c r="EB53" s="229">
        <v>-1.38E-2</v>
      </c>
      <c r="EC53" s="229">
        <v>0.46060000000000001</v>
      </c>
      <c r="ED53" s="228">
        <v>-5.62</v>
      </c>
      <c r="EE53" s="229">
        <v>-1.44E-2</v>
      </c>
      <c r="EF53" s="230">
        <v>3341828</v>
      </c>
      <c r="EG53" s="230">
        <v>2706339</v>
      </c>
      <c r="EH53" s="229">
        <v>0.23480000000000001</v>
      </c>
      <c r="EI53" s="229">
        <v>0.6411</v>
      </c>
      <c r="EJ53" s="231">
        <v>137161.85999999999</v>
      </c>
      <c r="EK53" s="231">
        <v>71350.570000000007</v>
      </c>
      <c r="EL53" s="231">
        <v>40069.519999999997</v>
      </c>
      <c r="EM53" s="228">
        <v>0</v>
      </c>
      <c r="EN53" s="231">
        <v>248581.95</v>
      </c>
      <c r="EO53" s="231">
        <v>165740.35</v>
      </c>
      <c r="EP53" s="231">
        <v>82841.600000000006</v>
      </c>
      <c r="EQ53" s="229">
        <v>0.49980000000000002</v>
      </c>
      <c r="ER53" s="231">
        <v>156535</v>
      </c>
      <c r="ES53" s="231">
        <v>113126</v>
      </c>
      <c r="ET53" s="231">
        <v>337314</v>
      </c>
      <c r="EU53" s="231">
        <v>454398477</v>
      </c>
      <c r="EV53" s="231">
        <v>606975</v>
      </c>
      <c r="EW53" s="231">
        <v>626514</v>
      </c>
      <c r="EX53" s="231">
        <v>-19539</v>
      </c>
      <c r="EY53" s="229">
        <v>-3.1199999999999999E-2</v>
      </c>
      <c r="EZ53" s="229">
        <v>0.34079999999999999</v>
      </c>
      <c r="FA53" s="227" t="s">
        <v>556</v>
      </c>
      <c r="FB53" s="161">
        <f t="shared" si="0"/>
        <v>40775400</v>
      </c>
    </row>
    <row r="54" spans="1:158" ht="17.25" thickBot="1" x14ac:dyDescent="0.3">
      <c r="A54" s="226">
        <v>45860</v>
      </c>
      <c r="B54" s="227" t="s">
        <v>221</v>
      </c>
      <c r="C54" s="227" t="s">
        <v>470</v>
      </c>
      <c r="D54" s="228">
        <v>375</v>
      </c>
      <c r="E54" s="231">
        <v>1859</v>
      </c>
      <c r="F54" s="231">
        <v>1877.5</v>
      </c>
      <c r="G54" s="228">
        <v>-18.5</v>
      </c>
      <c r="H54" s="229">
        <v>-9.9000000000000008E-3</v>
      </c>
      <c r="I54" s="231">
        <v>1858.4</v>
      </c>
      <c r="J54" s="231">
        <v>1874.3</v>
      </c>
      <c r="K54" s="228">
        <v>-15.9</v>
      </c>
      <c r="L54" s="229">
        <v>-8.5000000000000006E-3</v>
      </c>
      <c r="M54" s="231">
        <v>1859</v>
      </c>
      <c r="N54" s="231">
        <v>1877.5</v>
      </c>
      <c r="O54" s="228">
        <v>-18.5</v>
      </c>
      <c r="P54" s="229">
        <v>-9.9000000000000008E-3</v>
      </c>
      <c r="Q54" s="231">
        <v>1866.6</v>
      </c>
      <c r="R54" s="231">
        <v>1881.2</v>
      </c>
      <c r="S54" s="228">
        <v>-14.6</v>
      </c>
      <c r="T54" s="229">
        <v>-7.7999999999999996E-3</v>
      </c>
      <c r="U54" s="228">
        <v>0</v>
      </c>
      <c r="V54" s="228">
        <v>0</v>
      </c>
      <c r="W54" s="228">
        <v>0</v>
      </c>
      <c r="X54" s="229">
        <v>0</v>
      </c>
      <c r="Y54" s="228">
        <v>0.6</v>
      </c>
      <c r="Z54" s="228">
        <v>3.2</v>
      </c>
      <c r="AA54" s="228">
        <v>-2.6</v>
      </c>
      <c r="AB54" s="229">
        <v>2.9999999999999997E-4</v>
      </c>
      <c r="AC54" s="228">
        <v>0.6</v>
      </c>
      <c r="AD54" s="228">
        <v>3.2</v>
      </c>
      <c r="AE54" s="228">
        <v>-2.6</v>
      </c>
      <c r="AF54" s="229">
        <v>2.9999999999999997E-4</v>
      </c>
      <c r="AG54" s="228">
        <v>8.1999999999999993</v>
      </c>
      <c r="AH54" s="228">
        <v>6.9</v>
      </c>
      <c r="AI54" s="228">
        <v>1.3</v>
      </c>
      <c r="AJ54" s="229">
        <v>4.4000000000000003E-3</v>
      </c>
      <c r="AK54" s="228">
        <v>0</v>
      </c>
      <c r="AL54" s="228">
        <v>0</v>
      </c>
      <c r="AM54" s="228">
        <v>0</v>
      </c>
      <c r="AN54" s="229">
        <v>0</v>
      </c>
      <c r="AO54" s="231">
        <v>1861.3</v>
      </c>
      <c r="AP54" s="231">
        <v>1869.22</v>
      </c>
      <c r="AQ54" s="228">
        <v>0</v>
      </c>
      <c r="AR54" s="230">
        <v>2267625</v>
      </c>
      <c r="AS54" s="230">
        <v>1720125</v>
      </c>
      <c r="AT54" s="230">
        <v>547500</v>
      </c>
      <c r="AU54" s="229">
        <v>0.31830000000000003</v>
      </c>
      <c r="AV54" s="230">
        <v>1904625</v>
      </c>
      <c r="AW54" s="230">
        <v>1494000</v>
      </c>
      <c r="AX54" s="230">
        <v>410625</v>
      </c>
      <c r="AY54" s="229">
        <v>0.27479999999999999</v>
      </c>
      <c r="AZ54" s="230">
        <v>349500</v>
      </c>
      <c r="BA54" s="230">
        <v>219750</v>
      </c>
      <c r="BB54" s="230">
        <v>129750</v>
      </c>
      <c r="BC54" s="229">
        <v>0.59040000000000004</v>
      </c>
      <c r="BD54" s="228">
        <v>0</v>
      </c>
      <c r="BE54" s="228">
        <v>0</v>
      </c>
      <c r="BF54" s="228">
        <v>0</v>
      </c>
      <c r="BG54" s="229">
        <v>0</v>
      </c>
      <c r="BH54" s="230">
        <v>4333500</v>
      </c>
      <c r="BI54" s="230">
        <v>3389250</v>
      </c>
      <c r="BJ54" s="230">
        <v>944250</v>
      </c>
      <c r="BK54" s="229">
        <v>0.27860000000000001</v>
      </c>
      <c r="BL54" s="230">
        <v>1561875</v>
      </c>
      <c r="BM54" s="230">
        <v>1272000</v>
      </c>
      <c r="BN54" s="230">
        <v>289875</v>
      </c>
      <c r="BO54" s="229">
        <v>0.22789999999999999</v>
      </c>
      <c r="BP54" s="230">
        <v>8163000</v>
      </c>
      <c r="BQ54" s="230">
        <v>6381375</v>
      </c>
      <c r="BR54" s="230">
        <v>1781625</v>
      </c>
      <c r="BS54" s="229">
        <v>0.2792</v>
      </c>
      <c r="BT54" s="230">
        <v>1030405</v>
      </c>
      <c r="BU54" s="230">
        <v>786813</v>
      </c>
      <c r="BV54" s="230">
        <v>243592</v>
      </c>
      <c r="BW54" s="229">
        <v>0.30959999999999999</v>
      </c>
      <c r="BX54" s="230">
        <v>13065750</v>
      </c>
      <c r="BY54" s="230">
        <v>13340625</v>
      </c>
      <c r="BZ54" s="230">
        <v>-274875</v>
      </c>
      <c r="CA54" s="229">
        <v>-2.06E-2</v>
      </c>
      <c r="CB54" s="230">
        <v>12506250</v>
      </c>
      <c r="CC54" s="230">
        <v>12919500</v>
      </c>
      <c r="CD54" s="230">
        <v>-413250</v>
      </c>
      <c r="CE54" s="229">
        <v>-3.2000000000000001E-2</v>
      </c>
      <c r="CF54" s="230">
        <v>510750</v>
      </c>
      <c r="CG54" s="230">
        <v>376125</v>
      </c>
      <c r="CH54" s="230">
        <v>134625</v>
      </c>
      <c r="CI54" s="229">
        <v>0.3579</v>
      </c>
      <c r="CJ54" s="228">
        <v>0</v>
      </c>
      <c r="CK54" s="228">
        <v>0</v>
      </c>
      <c r="CL54" s="228">
        <v>0</v>
      </c>
      <c r="CM54" s="229">
        <v>0</v>
      </c>
      <c r="CN54" s="230">
        <v>6077250</v>
      </c>
      <c r="CO54" s="230">
        <v>5705625</v>
      </c>
      <c r="CP54" s="230">
        <v>371625</v>
      </c>
      <c r="CQ54" s="229">
        <v>6.5100000000000005E-2</v>
      </c>
      <c r="CR54" s="230">
        <v>3014250</v>
      </c>
      <c r="CS54" s="230">
        <v>2932125</v>
      </c>
      <c r="CT54" s="230">
        <v>82125</v>
      </c>
      <c r="CU54" s="229">
        <v>2.8000000000000001E-2</v>
      </c>
      <c r="CV54" s="230">
        <v>22157250</v>
      </c>
      <c r="CW54" s="230">
        <v>21978375</v>
      </c>
      <c r="CX54" s="230">
        <v>178875</v>
      </c>
      <c r="CY54" s="229">
        <v>8.0999999999999996E-3</v>
      </c>
      <c r="CZ54" s="228">
        <v>46.43</v>
      </c>
      <c r="DA54" s="228">
        <v>42.19</v>
      </c>
      <c r="DB54" s="228">
        <v>4.24</v>
      </c>
      <c r="DC54" s="228">
        <v>4.24</v>
      </c>
      <c r="DD54" s="228">
        <v>42.3</v>
      </c>
      <c r="DE54" s="228">
        <v>42.39</v>
      </c>
      <c r="DF54" s="228">
        <v>4.13</v>
      </c>
      <c r="DG54" s="228">
        <v>-0.09</v>
      </c>
      <c r="DH54" s="228">
        <v>46.67</v>
      </c>
      <c r="DI54" s="228">
        <v>42.16</v>
      </c>
      <c r="DJ54" s="228">
        <v>4.51</v>
      </c>
      <c r="DK54" s="228">
        <v>4.51</v>
      </c>
      <c r="DL54" s="228">
        <v>45.76</v>
      </c>
      <c r="DM54" s="228">
        <v>42.3</v>
      </c>
      <c r="DN54" s="228">
        <v>3.46</v>
      </c>
      <c r="DO54" s="228">
        <v>3.46</v>
      </c>
      <c r="DP54" s="228">
        <v>0.5</v>
      </c>
      <c r="DQ54" s="228">
        <v>0.51</v>
      </c>
      <c r="DR54" s="228">
        <v>-0.01</v>
      </c>
      <c r="DS54" s="229">
        <v>-1.9599999999999999E-2</v>
      </c>
      <c r="DT54" s="231">
        <v>1900</v>
      </c>
      <c r="DU54" s="231">
        <v>1800</v>
      </c>
      <c r="DV54" s="228">
        <v>0.36</v>
      </c>
      <c r="DW54" s="228">
        <v>0.38</v>
      </c>
      <c r="DX54" s="228">
        <v>-0.02</v>
      </c>
      <c r="DY54" s="229">
        <v>-5.2600000000000001E-2</v>
      </c>
      <c r="DZ54" s="229">
        <v>3.9100000000000003E-2</v>
      </c>
      <c r="EA54" s="230">
        <v>376125</v>
      </c>
      <c r="EB54" s="229">
        <v>4.1000000000000003E-3</v>
      </c>
      <c r="EC54" s="229">
        <v>3.9100000000000003E-2</v>
      </c>
      <c r="ED54" s="228">
        <v>7.92</v>
      </c>
      <c r="EE54" s="229">
        <v>4.3E-3</v>
      </c>
      <c r="EF54" s="230">
        <v>604940</v>
      </c>
      <c r="EG54" s="230">
        <v>384981</v>
      </c>
      <c r="EH54" s="229">
        <v>0.57140000000000002</v>
      </c>
      <c r="EI54" s="229">
        <v>0.58709999999999996</v>
      </c>
      <c r="EJ54" s="231">
        <v>85194.58</v>
      </c>
      <c r="EK54" s="231">
        <v>28851.18</v>
      </c>
      <c r="EL54" s="231">
        <v>42235.14</v>
      </c>
      <c r="EM54" s="228">
        <v>0</v>
      </c>
      <c r="EN54" s="231">
        <v>156280.9</v>
      </c>
      <c r="EO54" s="231">
        <v>122445.17</v>
      </c>
      <c r="EP54" s="231">
        <v>33835.730000000003</v>
      </c>
      <c r="EQ54" s="229">
        <v>0.27629999999999999</v>
      </c>
      <c r="ER54" s="231">
        <v>118939</v>
      </c>
      <c r="ES54" s="231">
        <v>54583</v>
      </c>
      <c r="ET54" s="231">
        <v>242935</v>
      </c>
      <c r="EU54" s="231">
        <v>66878856</v>
      </c>
      <c r="EV54" s="231">
        <v>416457</v>
      </c>
      <c r="EW54" s="231">
        <v>415469</v>
      </c>
      <c r="EX54" s="228">
        <v>988</v>
      </c>
      <c r="EY54" s="229">
        <v>2.3999999999999998E-3</v>
      </c>
      <c r="EZ54" s="229">
        <v>0.33129999999999998</v>
      </c>
      <c r="FA54" s="227" t="s">
        <v>568</v>
      </c>
      <c r="FB54" s="161">
        <f t="shared" si="0"/>
        <v>559500</v>
      </c>
    </row>
    <row r="55" spans="1:158" ht="17.25" thickBot="1" x14ac:dyDescent="0.3">
      <c r="A55" s="226">
        <v>45860</v>
      </c>
      <c r="B55" s="227" t="s">
        <v>168</v>
      </c>
      <c r="C55" s="227" t="s">
        <v>201</v>
      </c>
      <c r="D55" s="228">
        <v>225</v>
      </c>
      <c r="E55" s="231">
        <v>2375.6</v>
      </c>
      <c r="F55" s="231">
        <v>2390.9</v>
      </c>
      <c r="G55" s="228">
        <v>-15.3</v>
      </c>
      <c r="H55" s="229">
        <v>-6.4000000000000003E-3</v>
      </c>
      <c r="I55" s="231">
        <v>2379.5</v>
      </c>
      <c r="J55" s="231">
        <v>2392</v>
      </c>
      <c r="K55" s="228">
        <v>-12.5</v>
      </c>
      <c r="L55" s="229">
        <v>-5.1999999999999998E-3</v>
      </c>
      <c r="M55" s="231">
        <v>2375.6</v>
      </c>
      <c r="N55" s="231">
        <v>2390.9</v>
      </c>
      <c r="O55" s="228">
        <v>-15.3</v>
      </c>
      <c r="P55" s="229">
        <v>-6.4000000000000003E-3</v>
      </c>
      <c r="Q55" s="231">
        <v>2381.6999999999998</v>
      </c>
      <c r="R55" s="231">
        <v>2398.9</v>
      </c>
      <c r="S55" s="228">
        <v>-17.2</v>
      </c>
      <c r="T55" s="229">
        <v>-7.1999999999999998E-3</v>
      </c>
      <c r="U55" s="228">
        <v>0</v>
      </c>
      <c r="V55" s="228">
        <v>0</v>
      </c>
      <c r="W55" s="228">
        <v>0</v>
      </c>
      <c r="X55" s="229">
        <v>0</v>
      </c>
      <c r="Y55" s="228">
        <v>-3.9</v>
      </c>
      <c r="Z55" s="228">
        <v>-1.1000000000000001</v>
      </c>
      <c r="AA55" s="228">
        <v>-2.8</v>
      </c>
      <c r="AB55" s="229">
        <v>-1.6000000000000001E-3</v>
      </c>
      <c r="AC55" s="228">
        <v>-3.9</v>
      </c>
      <c r="AD55" s="228">
        <v>-1.1000000000000001</v>
      </c>
      <c r="AE55" s="228">
        <v>-2.8</v>
      </c>
      <c r="AF55" s="229">
        <v>-1.6000000000000001E-3</v>
      </c>
      <c r="AG55" s="228">
        <v>2.2000000000000002</v>
      </c>
      <c r="AH55" s="228">
        <v>6.9</v>
      </c>
      <c r="AI55" s="228">
        <v>-4.7</v>
      </c>
      <c r="AJ55" s="229">
        <v>8.9999999999999998E-4</v>
      </c>
      <c r="AK55" s="228">
        <v>0</v>
      </c>
      <c r="AL55" s="228">
        <v>0</v>
      </c>
      <c r="AM55" s="228">
        <v>0</v>
      </c>
      <c r="AN55" s="229">
        <v>0</v>
      </c>
      <c r="AO55" s="231">
        <v>2377.08</v>
      </c>
      <c r="AP55" s="231">
        <v>2382.23</v>
      </c>
      <c r="AQ55" s="228">
        <v>0</v>
      </c>
      <c r="AR55" s="230">
        <v>3943575</v>
      </c>
      <c r="AS55" s="230">
        <v>1013625</v>
      </c>
      <c r="AT55" s="230">
        <v>2929950</v>
      </c>
      <c r="AU55" s="229">
        <v>2.8906000000000001</v>
      </c>
      <c r="AV55" s="230">
        <v>3509775</v>
      </c>
      <c r="AW55" s="230">
        <v>896400</v>
      </c>
      <c r="AX55" s="230">
        <v>2613375</v>
      </c>
      <c r="AY55" s="229">
        <v>2.9154</v>
      </c>
      <c r="AZ55" s="230">
        <v>413550</v>
      </c>
      <c r="BA55" s="230">
        <v>113850</v>
      </c>
      <c r="BB55" s="230">
        <v>299700</v>
      </c>
      <c r="BC55" s="229">
        <v>2.6324000000000001</v>
      </c>
      <c r="BD55" s="228">
        <v>0</v>
      </c>
      <c r="BE55" s="228">
        <v>0</v>
      </c>
      <c r="BF55" s="228">
        <v>0</v>
      </c>
      <c r="BG55" s="229">
        <v>0</v>
      </c>
      <c r="BH55" s="230">
        <v>8121150</v>
      </c>
      <c r="BI55" s="230">
        <v>1248975</v>
      </c>
      <c r="BJ55" s="230">
        <v>6872175</v>
      </c>
      <c r="BK55" s="229">
        <v>5.5023</v>
      </c>
      <c r="BL55" s="230">
        <v>5185125</v>
      </c>
      <c r="BM55" s="230">
        <v>657450</v>
      </c>
      <c r="BN55" s="230">
        <v>4527675</v>
      </c>
      <c r="BO55" s="229">
        <v>6.8867000000000003</v>
      </c>
      <c r="BP55" s="230">
        <v>17249850</v>
      </c>
      <c r="BQ55" s="230">
        <v>2920050</v>
      </c>
      <c r="BR55" s="230">
        <v>14329800</v>
      </c>
      <c r="BS55" s="229">
        <v>4.9074</v>
      </c>
      <c r="BT55" s="230">
        <v>1172875</v>
      </c>
      <c r="BU55" s="230">
        <v>344357</v>
      </c>
      <c r="BV55" s="230">
        <v>828518</v>
      </c>
      <c r="BW55" s="229">
        <v>2.4060000000000001</v>
      </c>
      <c r="BX55" s="230">
        <v>5669775</v>
      </c>
      <c r="BY55" s="230">
        <v>5260725</v>
      </c>
      <c r="BZ55" s="230">
        <v>409050</v>
      </c>
      <c r="CA55" s="229">
        <v>7.7799999999999994E-2</v>
      </c>
      <c r="CB55" s="230">
        <v>4991175</v>
      </c>
      <c r="CC55" s="230">
        <v>4718925</v>
      </c>
      <c r="CD55" s="230">
        <v>272250</v>
      </c>
      <c r="CE55" s="229">
        <v>5.7700000000000001E-2</v>
      </c>
      <c r="CF55" s="230">
        <v>609750</v>
      </c>
      <c r="CG55" s="230">
        <v>479700</v>
      </c>
      <c r="CH55" s="230">
        <v>130050</v>
      </c>
      <c r="CI55" s="229">
        <v>0.27110000000000001</v>
      </c>
      <c r="CJ55" s="228">
        <v>0</v>
      </c>
      <c r="CK55" s="228">
        <v>0</v>
      </c>
      <c r="CL55" s="228">
        <v>0</v>
      </c>
      <c r="CM55" s="229">
        <v>0</v>
      </c>
      <c r="CN55" s="230">
        <v>1916550</v>
      </c>
      <c r="CO55" s="230">
        <v>1521675</v>
      </c>
      <c r="CP55" s="230">
        <v>394875</v>
      </c>
      <c r="CQ55" s="229">
        <v>0.25950000000000001</v>
      </c>
      <c r="CR55" s="230">
        <v>1602225</v>
      </c>
      <c r="CS55" s="230">
        <v>1577700</v>
      </c>
      <c r="CT55" s="230">
        <v>24525</v>
      </c>
      <c r="CU55" s="229">
        <v>1.55E-2</v>
      </c>
      <c r="CV55" s="230">
        <v>9188550</v>
      </c>
      <c r="CW55" s="230">
        <v>8360100</v>
      </c>
      <c r="CX55" s="230">
        <v>828450</v>
      </c>
      <c r="CY55" s="229">
        <v>9.9099999999999994E-2</v>
      </c>
      <c r="CZ55" s="228">
        <v>24.48</v>
      </c>
      <c r="DA55" s="228">
        <v>31.11</v>
      </c>
      <c r="DB55" s="228">
        <v>-6.63</v>
      </c>
      <c r="DC55" s="228">
        <v>-6.63</v>
      </c>
      <c r="DD55" s="228">
        <v>28.73</v>
      </c>
      <c r="DE55" s="228">
        <v>28.79</v>
      </c>
      <c r="DF55" s="228">
        <v>-4.25</v>
      </c>
      <c r="DG55" s="228">
        <v>-0.06</v>
      </c>
      <c r="DH55" s="228">
        <v>24.81</v>
      </c>
      <c r="DI55" s="228">
        <v>31</v>
      </c>
      <c r="DJ55" s="228">
        <v>-6.19</v>
      </c>
      <c r="DK55" s="228">
        <v>-6.19</v>
      </c>
      <c r="DL55" s="228">
        <v>23.96</v>
      </c>
      <c r="DM55" s="228">
        <v>31.31</v>
      </c>
      <c r="DN55" s="228">
        <v>-7.35</v>
      </c>
      <c r="DO55" s="228">
        <v>-7.35</v>
      </c>
      <c r="DP55" s="228">
        <v>0.84</v>
      </c>
      <c r="DQ55" s="228">
        <v>1.04</v>
      </c>
      <c r="DR55" s="228">
        <v>-0.2</v>
      </c>
      <c r="DS55" s="229">
        <v>-0.1923</v>
      </c>
      <c r="DT55" s="231">
        <v>2500</v>
      </c>
      <c r="DU55" s="231">
        <v>2400</v>
      </c>
      <c r="DV55" s="228">
        <v>0.64</v>
      </c>
      <c r="DW55" s="228">
        <v>0.53</v>
      </c>
      <c r="DX55" s="228">
        <v>0.11</v>
      </c>
      <c r="DY55" s="229">
        <v>0.20749999999999999</v>
      </c>
      <c r="DZ55" s="229">
        <v>0.1075</v>
      </c>
      <c r="EA55" s="230">
        <v>479700</v>
      </c>
      <c r="EB55" s="229">
        <v>2.5999999999999999E-3</v>
      </c>
      <c r="EC55" s="229">
        <v>0.1075</v>
      </c>
      <c r="ED55" s="228">
        <v>5.15</v>
      </c>
      <c r="EE55" s="229">
        <v>2.2000000000000001E-3</v>
      </c>
      <c r="EF55" s="230">
        <v>519219</v>
      </c>
      <c r="EG55" s="230">
        <v>214128</v>
      </c>
      <c r="EH55" s="229">
        <v>1.4248000000000001</v>
      </c>
      <c r="EI55" s="229">
        <v>0.44269999999999998</v>
      </c>
      <c r="EJ55" s="231">
        <v>199846.3</v>
      </c>
      <c r="EK55" s="231">
        <v>123685.85</v>
      </c>
      <c r="EL55" s="231">
        <v>93766.69</v>
      </c>
      <c r="EM55" s="228">
        <v>0</v>
      </c>
      <c r="EN55" s="231">
        <v>417298.84</v>
      </c>
      <c r="EO55" s="231">
        <v>71088.38</v>
      </c>
      <c r="EP55" s="231">
        <v>346210.46</v>
      </c>
      <c r="EQ55" s="229">
        <v>4.8700999999999999</v>
      </c>
      <c r="ER55" s="231">
        <v>47405</v>
      </c>
      <c r="ES55" s="231">
        <v>37621</v>
      </c>
      <c r="ET55" s="231">
        <v>134741</v>
      </c>
      <c r="EU55" s="231">
        <v>26654592</v>
      </c>
      <c r="EV55" s="231">
        <v>219767</v>
      </c>
      <c r="EW55" s="231">
        <v>201086</v>
      </c>
      <c r="EX55" s="231">
        <v>18681</v>
      </c>
      <c r="EY55" s="229">
        <v>9.2899999999999996E-2</v>
      </c>
      <c r="EZ55" s="229">
        <v>0.34470000000000001</v>
      </c>
      <c r="FA55" s="227" t="s">
        <v>567</v>
      </c>
      <c r="FB55" s="161">
        <f t="shared" si="0"/>
        <v>678600</v>
      </c>
    </row>
    <row r="56" spans="1:158" ht="17.25" thickBot="1" x14ac:dyDescent="0.3">
      <c r="A56" s="226">
        <v>45860</v>
      </c>
      <c r="B56" s="227" t="s">
        <v>215</v>
      </c>
      <c r="C56" s="227" t="s">
        <v>202</v>
      </c>
      <c r="D56" s="228">
        <v>1250</v>
      </c>
      <c r="E56" s="228">
        <v>607.9</v>
      </c>
      <c r="F56" s="228">
        <v>615.15</v>
      </c>
      <c r="G56" s="228">
        <v>-7.25</v>
      </c>
      <c r="H56" s="229">
        <v>-1.18E-2</v>
      </c>
      <c r="I56" s="228">
        <v>607.5</v>
      </c>
      <c r="J56" s="228">
        <v>613.45000000000005</v>
      </c>
      <c r="K56" s="228">
        <v>-5.95</v>
      </c>
      <c r="L56" s="229">
        <v>-9.7000000000000003E-3</v>
      </c>
      <c r="M56" s="228">
        <v>607.9</v>
      </c>
      <c r="N56" s="228">
        <v>615.15</v>
      </c>
      <c r="O56" s="228">
        <v>-7.25</v>
      </c>
      <c r="P56" s="229">
        <v>-1.18E-2</v>
      </c>
      <c r="Q56" s="228">
        <v>609.6</v>
      </c>
      <c r="R56" s="228">
        <v>617.95000000000005</v>
      </c>
      <c r="S56" s="228">
        <v>-8.35</v>
      </c>
      <c r="T56" s="229">
        <v>-1.35E-2</v>
      </c>
      <c r="U56" s="228">
        <v>0</v>
      </c>
      <c r="V56" s="228">
        <v>0</v>
      </c>
      <c r="W56" s="228">
        <v>0</v>
      </c>
      <c r="X56" s="229">
        <v>0</v>
      </c>
      <c r="Y56" s="228">
        <v>0.4</v>
      </c>
      <c r="Z56" s="228">
        <v>1.7</v>
      </c>
      <c r="AA56" s="228">
        <v>-1.3</v>
      </c>
      <c r="AB56" s="229">
        <v>6.9999999999999999E-4</v>
      </c>
      <c r="AC56" s="228">
        <v>0.4</v>
      </c>
      <c r="AD56" s="228">
        <v>1.7</v>
      </c>
      <c r="AE56" s="228">
        <v>-1.3</v>
      </c>
      <c r="AF56" s="229">
        <v>6.9999999999999999E-4</v>
      </c>
      <c r="AG56" s="228">
        <v>2.1</v>
      </c>
      <c r="AH56" s="228">
        <v>4.5</v>
      </c>
      <c r="AI56" s="228">
        <v>-2.4</v>
      </c>
      <c r="AJ56" s="229">
        <v>3.5000000000000001E-3</v>
      </c>
      <c r="AK56" s="228">
        <v>0</v>
      </c>
      <c r="AL56" s="228">
        <v>0</v>
      </c>
      <c r="AM56" s="228">
        <v>0</v>
      </c>
      <c r="AN56" s="229">
        <v>0</v>
      </c>
      <c r="AO56" s="228">
        <v>610.95000000000005</v>
      </c>
      <c r="AP56" s="228">
        <v>613.79</v>
      </c>
      <c r="AQ56" s="228">
        <v>0</v>
      </c>
      <c r="AR56" s="230">
        <v>3797500</v>
      </c>
      <c r="AS56" s="230">
        <v>1890000</v>
      </c>
      <c r="AT56" s="230">
        <v>1907500</v>
      </c>
      <c r="AU56" s="229">
        <v>1.0093000000000001</v>
      </c>
      <c r="AV56" s="230">
        <v>2353750</v>
      </c>
      <c r="AW56" s="230">
        <v>1417500</v>
      </c>
      <c r="AX56" s="230">
        <v>936250</v>
      </c>
      <c r="AY56" s="229">
        <v>0.66049999999999998</v>
      </c>
      <c r="AZ56" s="230">
        <v>1323750</v>
      </c>
      <c r="BA56" s="230">
        <v>370000</v>
      </c>
      <c r="BB56" s="230">
        <v>953750</v>
      </c>
      <c r="BC56" s="229">
        <v>2.5777000000000001</v>
      </c>
      <c r="BD56" s="228">
        <v>0</v>
      </c>
      <c r="BE56" s="228">
        <v>0</v>
      </c>
      <c r="BF56" s="228">
        <v>0</v>
      </c>
      <c r="BG56" s="229">
        <v>0</v>
      </c>
      <c r="BH56" s="230">
        <v>4252500</v>
      </c>
      <c r="BI56" s="230">
        <v>3640000</v>
      </c>
      <c r="BJ56" s="230">
        <v>612500</v>
      </c>
      <c r="BK56" s="229">
        <v>0.16830000000000001</v>
      </c>
      <c r="BL56" s="230">
        <v>1595000</v>
      </c>
      <c r="BM56" s="230">
        <v>1455000</v>
      </c>
      <c r="BN56" s="230">
        <v>140000</v>
      </c>
      <c r="BO56" s="229">
        <v>9.6199999999999994E-2</v>
      </c>
      <c r="BP56" s="230">
        <v>9645000</v>
      </c>
      <c r="BQ56" s="230">
        <v>6985000</v>
      </c>
      <c r="BR56" s="230">
        <v>2660000</v>
      </c>
      <c r="BS56" s="229">
        <v>0.38080000000000003</v>
      </c>
      <c r="BT56" s="230">
        <v>651194</v>
      </c>
      <c r="BU56" s="230">
        <v>543391</v>
      </c>
      <c r="BV56" s="230">
        <v>107803</v>
      </c>
      <c r="BW56" s="229">
        <v>0.19839999999999999</v>
      </c>
      <c r="BX56" s="230">
        <v>19086250</v>
      </c>
      <c r="BY56" s="230">
        <v>18541250</v>
      </c>
      <c r="BZ56" s="230">
        <v>545000</v>
      </c>
      <c r="CA56" s="229">
        <v>2.9399999999999999E-2</v>
      </c>
      <c r="CB56" s="230">
        <v>15838750</v>
      </c>
      <c r="CC56" s="230">
        <v>16288750</v>
      </c>
      <c r="CD56" s="230">
        <v>-450000</v>
      </c>
      <c r="CE56" s="229">
        <v>-2.76E-2</v>
      </c>
      <c r="CF56" s="230">
        <v>2913750</v>
      </c>
      <c r="CG56" s="230">
        <v>1967500</v>
      </c>
      <c r="CH56" s="230">
        <v>946250</v>
      </c>
      <c r="CI56" s="229">
        <v>0.48089999999999999</v>
      </c>
      <c r="CJ56" s="228">
        <v>0</v>
      </c>
      <c r="CK56" s="228">
        <v>0</v>
      </c>
      <c r="CL56" s="228">
        <v>0</v>
      </c>
      <c r="CM56" s="229">
        <v>0</v>
      </c>
      <c r="CN56" s="230">
        <v>8240000</v>
      </c>
      <c r="CO56" s="230">
        <v>8246250</v>
      </c>
      <c r="CP56" s="230">
        <v>-6250</v>
      </c>
      <c r="CQ56" s="229">
        <v>-8.0000000000000004E-4</v>
      </c>
      <c r="CR56" s="230">
        <v>4842500</v>
      </c>
      <c r="CS56" s="230">
        <v>4846250</v>
      </c>
      <c r="CT56" s="230">
        <v>-3750</v>
      </c>
      <c r="CU56" s="229">
        <v>-8.0000000000000004E-4</v>
      </c>
      <c r="CV56" s="230">
        <v>32168750</v>
      </c>
      <c r="CW56" s="230">
        <v>31633750</v>
      </c>
      <c r="CX56" s="230">
        <v>535000</v>
      </c>
      <c r="CY56" s="229">
        <v>1.6899999999999998E-2</v>
      </c>
      <c r="CZ56" s="228">
        <v>25.25</v>
      </c>
      <c r="DA56" s="228">
        <v>24.6</v>
      </c>
      <c r="DB56" s="228">
        <v>0.65</v>
      </c>
      <c r="DC56" s="228">
        <v>0.65</v>
      </c>
      <c r="DD56" s="228">
        <v>39.56</v>
      </c>
      <c r="DE56" s="228">
        <v>39.630000000000003</v>
      </c>
      <c r="DF56" s="228">
        <v>-14.31</v>
      </c>
      <c r="DG56" s="228">
        <v>-7.0000000000000007E-2</v>
      </c>
      <c r="DH56" s="228">
        <v>25.18</v>
      </c>
      <c r="DI56" s="228">
        <v>24.38</v>
      </c>
      <c r="DJ56" s="228">
        <v>0.8</v>
      </c>
      <c r="DK56" s="228">
        <v>0.8</v>
      </c>
      <c r="DL56" s="228">
        <v>25.42</v>
      </c>
      <c r="DM56" s="228">
        <v>25.15</v>
      </c>
      <c r="DN56" s="228">
        <v>0.27</v>
      </c>
      <c r="DO56" s="228">
        <v>0.27</v>
      </c>
      <c r="DP56" s="228">
        <v>0.59</v>
      </c>
      <c r="DQ56" s="228">
        <v>0.59</v>
      </c>
      <c r="DR56" s="228">
        <v>0</v>
      </c>
      <c r="DS56" s="229">
        <v>0</v>
      </c>
      <c r="DT56" s="228">
        <v>640</v>
      </c>
      <c r="DU56" s="228">
        <v>600</v>
      </c>
      <c r="DV56" s="228">
        <v>0.38</v>
      </c>
      <c r="DW56" s="228">
        <v>0.4</v>
      </c>
      <c r="DX56" s="228">
        <v>-0.02</v>
      </c>
      <c r="DY56" s="229">
        <v>-0.05</v>
      </c>
      <c r="DZ56" s="229">
        <v>0.1527</v>
      </c>
      <c r="EA56" s="230">
        <v>1967500</v>
      </c>
      <c r="EB56" s="229">
        <v>2.8E-3</v>
      </c>
      <c r="EC56" s="229">
        <v>0.1527</v>
      </c>
      <c r="ED56" s="228">
        <v>2.84</v>
      </c>
      <c r="EE56" s="229">
        <v>4.5999999999999999E-3</v>
      </c>
      <c r="EF56" s="230">
        <v>311872</v>
      </c>
      <c r="EG56" s="230">
        <v>253246</v>
      </c>
      <c r="EH56" s="229">
        <v>0.23150000000000001</v>
      </c>
      <c r="EI56" s="229">
        <v>0.47889999999999999</v>
      </c>
      <c r="EJ56" s="231">
        <v>26833.08</v>
      </c>
      <c r="EK56" s="231">
        <v>9718.0499999999993</v>
      </c>
      <c r="EL56" s="231">
        <v>23245.7</v>
      </c>
      <c r="EM56" s="228">
        <v>0</v>
      </c>
      <c r="EN56" s="231">
        <v>59796.83</v>
      </c>
      <c r="EO56" s="231">
        <v>43495.9</v>
      </c>
      <c r="EP56" s="231">
        <v>16300.93</v>
      </c>
      <c r="EQ56" s="229">
        <v>0.37480000000000002</v>
      </c>
      <c r="ER56" s="231">
        <v>52484</v>
      </c>
      <c r="ES56" s="231">
        <v>28956</v>
      </c>
      <c r="ET56" s="231">
        <v>116094</v>
      </c>
      <c r="EU56" s="231">
        <v>68852343</v>
      </c>
      <c r="EV56" s="231">
        <v>197534</v>
      </c>
      <c r="EW56" s="231">
        <v>195660</v>
      </c>
      <c r="EX56" s="231">
        <v>1874</v>
      </c>
      <c r="EY56" s="229">
        <v>9.5999999999999992E-3</v>
      </c>
      <c r="EZ56" s="229">
        <v>0.4672</v>
      </c>
      <c r="FA56" s="227" t="s">
        <v>567</v>
      </c>
      <c r="FB56" s="161">
        <f t="shared" si="0"/>
        <v>3247500</v>
      </c>
    </row>
    <row r="57" spans="1:158" ht="17.25" thickBot="1" x14ac:dyDescent="0.3">
      <c r="A57" s="226">
        <v>45860</v>
      </c>
      <c r="B57" s="227" t="s">
        <v>184</v>
      </c>
      <c r="C57" s="227" t="s">
        <v>523</v>
      </c>
      <c r="D57" s="228">
        <v>1800</v>
      </c>
      <c r="E57" s="228">
        <v>334.05</v>
      </c>
      <c r="F57" s="228">
        <v>338.9</v>
      </c>
      <c r="G57" s="228">
        <v>-4.8499999999999996</v>
      </c>
      <c r="H57" s="229">
        <v>-1.43E-2</v>
      </c>
      <c r="I57" s="228">
        <v>335.95</v>
      </c>
      <c r="J57" s="228">
        <v>341.15</v>
      </c>
      <c r="K57" s="228">
        <v>-5.2</v>
      </c>
      <c r="L57" s="229">
        <v>-1.52E-2</v>
      </c>
      <c r="M57" s="228">
        <v>334.05</v>
      </c>
      <c r="N57" s="228">
        <v>338.9</v>
      </c>
      <c r="O57" s="228">
        <v>-4.8499999999999996</v>
      </c>
      <c r="P57" s="229">
        <v>-1.43E-2</v>
      </c>
      <c r="Q57" s="228">
        <v>335.65</v>
      </c>
      <c r="R57" s="228">
        <v>340.35</v>
      </c>
      <c r="S57" s="228">
        <v>-4.7</v>
      </c>
      <c r="T57" s="229">
        <v>-1.38E-2</v>
      </c>
      <c r="U57" s="228">
        <v>0</v>
      </c>
      <c r="V57" s="228">
        <v>0</v>
      </c>
      <c r="W57" s="228">
        <v>0</v>
      </c>
      <c r="X57" s="229">
        <v>0</v>
      </c>
      <c r="Y57" s="228">
        <v>-1.9</v>
      </c>
      <c r="Z57" s="228">
        <v>-2.25</v>
      </c>
      <c r="AA57" s="228">
        <v>0.35</v>
      </c>
      <c r="AB57" s="229">
        <v>-5.7000000000000002E-3</v>
      </c>
      <c r="AC57" s="228">
        <v>-1.9</v>
      </c>
      <c r="AD57" s="228">
        <v>-2.25</v>
      </c>
      <c r="AE57" s="228">
        <v>0.35</v>
      </c>
      <c r="AF57" s="229">
        <v>-5.7000000000000002E-3</v>
      </c>
      <c r="AG57" s="228">
        <v>-0.3</v>
      </c>
      <c r="AH57" s="228">
        <v>-0.8</v>
      </c>
      <c r="AI57" s="228">
        <v>0.5</v>
      </c>
      <c r="AJ57" s="229">
        <v>-8.9999999999999998E-4</v>
      </c>
      <c r="AK57" s="228">
        <v>0</v>
      </c>
      <c r="AL57" s="228">
        <v>0</v>
      </c>
      <c r="AM57" s="228">
        <v>0</v>
      </c>
      <c r="AN57" s="229">
        <v>0</v>
      </c>
      <c r="AO57" s="228">
        <v>332.78</v>
      </c>
      <c r="AP57" s="228">
        <v>334.55</v>
      </c>
      <c r="AQ57" s="228">
        <v>0</v>
      </c>
      <c r="AR57" s="230">
        <v>7515000</v>
      </c>
      <c r="AS57" s="230">
        <v>3108600</v>
      </c>
      <c r="AT57" s="230">
        <v>4406400</v>
      </c>
      <c r="AU57" s="229">
        <v>1.4175</v>
      </c>
      <c r="AV57" s="230">
        <v>5990400</v>
      </c>
      <c r="AW57" s="230">
        <v>2214000</v>
      </c>
      <c r="AX57" s="230">
        <v>3776400</v>
      </c>
      <c r="AY57" s="229">
        <v>1.7057</v>
      </c>
      <c r="AZ57" s="230">
        <v>1416600</v>
      </c>
      <c r="BA57" s="230">
        <v>856800</v>
      </c>
      <c r="BB57" s="230">
        <v>559800</v>
      </c>
      <c r="BC57" s="229">
        <v>0.65339999999999998</v>
      </c>
      <c r="BD57" s="228">
        <v>0</v>
      </c>
      <c r="BE57" s="228">
        <v>0</v>
      </c>
      <c r="BF57" s="228">
        <v>0</v>
      </c>
      <c r="BG57" s="229">
        <v>0</v>
      </c>
      <c r="BH57" s="230">
        <v>9361800</v>
      </c>
      <c r="BI57" s="230">
        <v>3841200</v>
      </c>
      <c r="BJ57" s="230">
        <v>5520600</v>
      </c>
      <c r="BK57" s="229">
        <v>1.4372</v>
      </c>
      <c r="BL57" s="230">
        <v>4386600</v>
      </c>
      <c r="BM57" s="230">
        <v>1654200</v>
      </c>
      <c r="BN57" s="230">
        <v>2732400</v>
      </c>
      <c r="BO57" s="229">
        <v>1.6517999999999999</v>
      </c>
      <c r="BP57" s="230">
        <v>21263400</v>
      </c>
      <c r="BQ57" s="230">
        <v>8604000</v>
      </c>
      <c r="BR57" s="230">
        <v>12659400</v>
      </c>
      <c r="BS57" s="229">
        <v>1.4713000000000001</v>
      </c>
      <c r="BT57" s="230">
        <v>3720867</v>
      </c>
      <c r="BU57" s="230">
        <v>1324356</v>
      </c>
      <c r="BV57" s="230">
        <v>2396511</v>
      </c>
      <c r="BW57" s="229">
        <v>1.8096000000000001</v>
      </c>
      <c r="BX57" s="230">
        <v>37751400</v>
      </c>
      <c r="BY57" s="230">
        <v>37418400</v>
      </c>
      <c r="BZ57" s="230">
        <v>333000</v>
      </c>
      <c r="CA57" s="229">
        <v>8.8999999999999999E-3</v>
      </c>
      <c r="CB57" s="230">
        <v>35528400</v>
      </c>
      <c r="CC57" s="230">
        <v>35807400</v>
      </c>
      <c r="CD57" s="230">
        <v>-279000</v>
      </c>
      <c r="CE57" s="229">
        <v>-7.7999999999999996E-3</v>
      </c>
      <c r="CF57" s="230">
        <v>2019600</v>
      </c>
      <c r="CG57" s="230">
        <v>1438200</v>
      </c>
      <c r="CH57" s="230">
        <v>581400</v>
      </c>
      <c r="CI57" s="229">
        <v>0.40429999999999999</v>
      </c>
      <c r="CJ57" s="228">
        <v>0</v>
      </c>
      <c r="CK57" s="228">
        <v>0</v>
      </c>
      <c r="CL57" s="228">
        <v>0</v>
      </c>
      <c r="CM57" s="229">
        <v>0</v>
      </c>
      <c r="CN57" s="230">
        <v>7534800</v>
      </c>
      <c r="CO57" s="230">
        <v>7272000</v>
      </c>
      <c r="CP57" s="230">
        <v>262800</v>
      </c>
      <c r="CQ57" s="229">
        <v>3.61E-2</v>
      </c>
      <c r="CR57" s="230">
        <v>4719600</v>
      </c>
      <c r="CS57" s="230">
        <v>4435200</v>
      </c>
      <c r="CT57" s="230">
        <v>284400</v>
      </c>
      <c r="CU57" s="229">
        <v>6.4100000000000004E-2</v>
      </c>
      <c r="CV57" s="230">
        <v>50005800</v>
      </c>
      <c r="CW57" s="230">
        <v>49125600</v>
      </c>
      <c r="CX57" s="230">
        <v>880200</v>
      </c>
      <c r="CY57" s="229">
        <v>1.7899999999999999E-2</v>
      </c>
      <c r="CZ57" s="228">
        <v>30.67</v>
      </c>
      <c r="DA57" s="228">
        <v>30.93</v>
      </c>
      <c r="DB57" s="228">
        <v>-0.26</v>
      </c>
      <c r="DC57" s="228">
        <v>-0.26</v>
      </c>
      <c r="DD57" s="228">
        <v>35.57</v>
      </c>
      <c r="DE57" s="228">
        <v>35.6</v>
      </c>
      <c r="DF57" s="228">
        <v>-4.9000000000000004</v>
      </c>
      <c r="DG57" s="228">
        <v>-0.03</v>
      </c>
      <c r="DH57" s="228">
        <v>31.39</v>
      </c>
      <c r="DI57" s="228">
        <v>31.71</v>
      </c>
      <c r="DJ57" s="228">
        <v>-0.32</v>
      </c>
      <c r="DK57" s="228">
        <v>-0.32</v>
      </c>
      <c r="DL57" s="228">
        <v>29.14</v>
      </c>
      <c r="DM57" s="228">
        <v>29.13</v>
      </c>
      <c r="DN57" s="228">
        <v>0.01</v>
      </c>
      <c r="DO57" s="228">
        <v>0.01</v>
      </c>
      <c r="DP57" s="228">
        <v>0.63</v>
      </c>
      <c r="DQ57" s="228">
        <v>0.61</v>
      </c>
      <c r="DR57" s="228">
        <v>0.02</v>
      </c>
      <c r="DS57" s="229">
        <v>3.2800000000000003E-2</v>
      </c>
      <c r="DT57" s="228">
        <v>360</v>
      </c>
      <c r="DU57" s="228">
        <v>330</v>
      </c>
      <c r="DV57" s="228">
        <v>0.47</v>
      </c>
      <c r="DW57" s="228">
        <v>0.43</v>
      </c>
      <c r="DX57" s="228">
        <v>0.04</v>
      </c>
      <c r="DY57" s="229">
        <v>9.2999999999999999E-2</v>
      </c>
      <c r="DZ57" s="229">
        <v>5.3499999999999999E-2</v>
      </c>
      <c r="EA57" s="230">
        <v>1438200</v>
      </c>
      <c r="EB57" s="229">
        <v>4.7999999999999996E-3</v>
      </c>
      <c r="EC57" s="229">
        <v>5.3499999999999999E-2</v>
      </c>
      <c r="ED57" s="228">
        <v>1.77</v>
      </c>
      <c r="EE57" s="229">
        <v>5.3E-3</v>
      </c>
      <c r="EF57" s="230">
        <v>1748074</v>
      </c>
      <c r="EG57" s="230">
        <v>765443</v>
      </c>
      <c r="EH57" s="229">
        <v>1.2837000000000001</v>
      </c>
      <c r="EI57" s="229">
        <v>0.4698</v>
      </c>
      <c r="EJ57" s="231">
        <v>32651.85</v>
      </c>
      <c r="EK57" s="231">
        <v>14829.45</v>
      </c>
      <c r="EL57" s="231">
        <v>25037.19</v>
      </c>
      <c r="EM57" s="228">
        <v>0</v>
      </c>
      <c r="EN57" s="231">
        <v>72518.490000000005</v>
      </c>
      <c r="EO57" s="231">
        <v>29876.39</v>
      </c>
      <c r="EP57" s="231">
        <v>42642.1</v>
      </c>
      <c r="EQ57" s="229">
        <v>1.4273</v>
      </c>
      <c r="ER57" s="231">
        <v>27100</v>
      </c>
      <c r="ES57" s="231">
        <v>15746</v>
      </c>
      <c r="ET57" s="231">
        <v>126148</v>
      </c>
      <c r="EU57" s="231">
        <v>128761832</v>
      </c>
      <c r="EV57" s="231">
        <v>168994</v>
      </c>
      <c r="EW57" s="231">
        <v>168037</v>
      </c>
      <c r="EX57" s="228">
        <v>957</v>
      </c>
      <c r="EY57" s="229">
        <v>5.7000000000000002E-3</v>
      </c>
      <c r="EZ57" s="229">
        <v>0.38840000000000002</v>
      </c>
      <c r="FA57" s="227" t="s">
        <v>567</v>
      </c>
      <c r="FB57" s="161">
        <f t="shared" si="0"/>
        <v>2223000</v>
      </c>
    </row>
    <row r="58" spans="1:158" ht="17.25" thickBot="1" x14ac:dyDescent="0.3">
      <c r="A58" s="226">
        <v>45860</v>
      </c>
      <c r="B58" s="227" t="s">
        <v>184</v>
      </c>
      <c r="C58" s="227" t="s">
        <v>203</v>
      </c>
      <c r="D58" s="228">
        <v>200</v>
      </c>
      <c r="E58" s="231">
        <v>3589.2</v>
      </c>
      <c r="F58" s="231">
        <v>3621.6</v>
      </c>
      <c r="G58" s="228">
        <v>-32.4</v>
      </c>
      <c r="H58" s="229">
        <v>-8.8999999999999999E-3</v>
      </c>
      <c r="I58" s="231">
        <v>3587.4</v>
      </c>
      <c r="J58" s="231">
        <v>3617.9</v>
      </c>
      <c r="K58" s="228">
        <v>-30.5</v>
      </c>
      <c r="L58" s="229">
        <v>-8.3999999999999995E-3</v>
      </c>
      <c r="M58" s="231">
        <v>3589.2</v>
      </c>
      <c r="N58" s="231">
        <v>3621.6</v>
      </c>
      <c r="O58" s="228">
        <v>-32.4</v>
      </c>
      <c r="P58" s="229">
        <v>-8.8999999999999999E-3</v>
      </c>
      <c r="Q58" s="231">
        <v>3608.2</v>
      </c>
      <c r="R58" s="231">
        <v>3639.5</v>
      </c>
      <c r="S58" s="228">
        <v>-31.3</v>
      </c>
      <c r="T58" s="229">
        <v>-8.6E-3</v>
      </c>
      <c r="U58" s="228">
        <v>0</v>
      </c>
      <c r="V58" s="228">
        <v>0</v>
      </c>
      <c r="W58" s="228">
        <v>0</v>
      </c>
      <c r="X58" s="229">
        <v>0</v>
      </c>
      <c r="Y58" s="228">
        <v>1.8</v>
      </c>
      <c r="Z58" s="228">
        <v>3.7</v>
      </c>
      <c r="AA58" s="228">
        <v>-1.9</v>
      </c>
      <c r="AB58" s="229">
        <v>5.0000000000000001E-4</v>
      </c>
      <c r="AC58" s="228">
        <v>1.8</v>
      </c>
      <c r="AD58" s="228">
        <v>3.7</v>
      </c>
      <c r="AE58" s="228">
        <v>-1.9</v>
      </c>
      <c r="AF58" s="229">
        <v>5.0000000000000001E-4</v>
      </c>
      <c r="AG58" s="228">
        <v>20.8</v>
      </c>
      <c r="AH58" s="228">
        <v>21.6</v>
      </c>
      <c r="AI58" s="228">
        <v>-0.8</v>
      </c>
      <c r="AJ58" s="229">
        <v>5.7999999999999996E-3</v>
      </c>
      <c r="AK58" s="228">
        <v>0</v>
      </c>
      <c r="AL58" s="228">
        <v>0</v>
      </c>
      <c r="AM58" s="228">
        <v>0</v>
      </c>
      <c r="AN58" s="229">
        <v>0</v>
      </c>
      <c r="AO58" s="231">
        <v>3591.48</v>
      </c>
      <c r="AP58" s="231">
        <v>3605.84</v>
      </c>
      <c r="AQ58" s="228">
        <v>0</v>
      </c>
      <c r="AR58" s="230">
        <v>471000</v>
      </c>
      <c r="AS58" s="230">
        <v>691800</v>
      </c>
      <c r="AT58" s="230">
        <v>-220800</v>
      </c>
      <c r="AU58" s="229">
        <v>-0.31919999999999998</v>
      </c>
      <c r="AV58" s="230">
        <v>425800</v>
      </c>
      <c r="AW58" s="230">
        <v>636200</v>
      </c>
      <c r="AX58" s="230">
        <v>-210400</v>
      </c>
      <c r="AY58" s="229">
        <v>-0.33069999999999999</v>
      </c>
      <c r="AZ58" s="230">
        <v>44200</v>
      </c>
      <c r="BA58" s="230">
        <v>54000</v>
      </c>
      <c r="BB58" s="230">
        <v>-9800</v>
      </c>
      <c r="BC58" s="229">
        <v>-0.18149999999999999</v>
      </c>
      <c r="BD58" s="228">
        <v>0</v>
      </c>
      <c r="BE58" s="228">
        <v>0</v>
      </c>
      <c r="BF58" s="228">
        <v>0</v>
      </c>
      <c r="BG58" s="229">
        <v>0</v>
      </c>
      <c r="BH58" s="230">
        <v>1029800</v>
      </c>
      <c r="BI58" s="230">
        <v>2528200</v>
      </c>
      <c r="BJ58" s="230">
        <v>-1498400</v>
      </c>
      <c r="BK58" s="229">
        <v>-0.5927</v>
      </c>
      <c r="BL58" s="230">
        <v>586800</v>
      </c>
      <c r="BM58" s="230">
        <v>852400</v>
      </c>
      <c r="BN58" s="230">
        <v>-265600</v>
      </c>
      <c r="BO58" s="229">
        <v>-0.31159999999999999</v>
      </c>
      <c r="BP58" s="230">
        <v>2087600</v>
      </c>
      <c r="BQ58" s="230">
        <v>4072400</v>
      </c>
      <c r="BR58" s="230">
        <v>-1984800</v>
      </c>
      <c r="BS58" s="229">
        <v>-0.4874</v>
      </c>
      <c r="BT58" s="230">
        <v>357829</v>
      </c>
      <c r="BU58" s="230">
        <v>435240</v>
      </c>
      <c r="BV58" s="230">
        <v>-77411</v>
      </c>
      <c r="BW58" s="229">
        <v>-0.1779</v>
      </c>
      <c r="BX58" s="230">
        <v>3308800</v>
      </c>
      <c r="BY58" s="230">
        <v>3382200</v>
      </c>
      <c r="BZ58" s="230">
        <v>-73400</v>
      </c>
      <c r="CA58" s="229">
        <v>-2.1700000000000001E-2</v>
      </c>
      <c r="CB58" s="230">
        <v>3234600</v>
      </c>
      <c r="CC58" s="230">
        <v>3317000</v>
      </c>
      <c r="CD58" s="230">
        <v>-82400</v>
      </c>
      <c r="CE58" s="229">
        <v>-2.4799999999999999E-2</v>
      </c>
      <c r="CF58" s="230">
        <v>67400</v>
      </c>
      <c r="CG58" s="230">
        <v>58200</v>
      </c>
      <c r="CH58" s="230">
        <v>9200</v>
      </c>
      <c r="CI58" s="229">
        <v>0.15809999999999999</v>
      </c>
      <c r="CJ58" s="228">
        <v>0</v>
      </c>
      <c r="CK58" s="228">
        <v>0</v>
      </c>
      <c r="CL58" s="228">
        <v>0</v>
      </c>
      <c r="CM58" s="229">
        <v>0</v>
      </c>
      <c r="CN58" s="230">
        <v>756000</v>
      </c>
      <c r="CO58" s="230">
        <v>818200</v>
      </c>
      <c r="CP58" s="230">
        <v>-62200</v>
      </c>
      <c r="CQ58" s="229">
        <v>-7.5999999999999998E-2</v>
      </c>
      <c r="CR58" s="230">
        <v>689200</v>
      </c>
      <c r="CS58" s="230">
        <v>709800</v>
      </c>
      <c r="CT58" s="230">
        <v>-20600</v>
      </c>
      <c r="CU58" s="229">
        <v>-2.9000000000000001E-2</v>
      </c>
      <c r="CV58" s="230">
        <v>4754000</v>
      </c>
      <c r="CW58" s="230">
        <v>4910200</v>
      </c>
      <c r="CX58" s="230">
        <v>-156200</v>
      </c>
      <c r="CY58" s="229">
        <v>-3.1800000000000002E-2</v>
      </c>
      <c r="CZ58" s="228">
        <v>26.25</v>
      </c>
      <c r="DA58" s="228">
        <v>28.04</v>
      </c>
      <c r="DB58" s="228">
        <v>-1.79</v>
      </c>
      <c r="DC58" s="228">
        <v>-1.79</v>
      </c>
      <c r="DD58" s="228">
        <v>38.83</v>
      </c>
      <c r="DE58" s="228">
        <v>38.909999999999997</v>
      </c>
      <c r="DF58" s="228">
        <v>-12.58</v>
      </c>
      <c r="DG58" s="228">
        <v>-0.08</v>
      </c>
      <c r="DH58" s="228">
        <v>26.31</v>
      </c>
      <c r="DI58" s="228">
        <v>27.82</v>
      </c>
      <c r="DJ58" s="228">
        <v>-1.51</v>
      </c>
      <c r="DK58" s="228">
        <v>-1.51</v>
      </c>
      <c r="DL58" s="228">
        <v>26.16</v>
      </c>
      <c r="DM58" s="228">
        <v>28.68</v>
      </c>
      <c r="DN58" s="228">
        <v>-2.52</v>
      </c>
      <c r="DO58" s="228">
        <v>-2.52</v>
      </c>
      <c r="DP58" s="228">
        <v>0.91</v>
      </c>
      <c r="DQ58" s="228">
        <v>0.87</v>
      </c>
      <c r="DR58" s="228">
        <v>0.04</v>
      </c>
      <c r="DS58" s="229">
        <v>4.5999999999999999E-2</v>
      </c>
      <c r="DT58" s="231">
        <v>3600</v>
      </c>
      <c r="DU58" s="231">
        <v>3300</v>
      </c>
      <c r="DV58" s="228">
        <v>0.56999999999999995</v>
      </c>
      <c r="DW58" s="228">
        <v>0.34</v>
      </c>
      <c r="DX58" s="228">
        <v>0.23</v>
      </c>
      <c r="DY58" s="229">
        <v>0.67649999999999999</v>
      </c>
      <c r="DZ58" s="229">
        <v>2.0400000000000001E-2</v>
      </c>
      <c r="EA58" s="230">
        <v>58200</v>
      </c>
      <c r="EB58" s="229">
        <v>5.3E-3</v>
      </c>
      <c r="EC58" s="229">
        <v>2.0400000000000001E-2</v>
      </c>
      <c r="ED58" s="228">
        <v>14.36</v>
      </c>
      <c r="EE58" s="229">
        <v>4.0000000000000001E-3</v>
      </c>
      <c r="EF58" s="230">
        <v>218011</v>
      </c>
      <c r="EG58" s="230">
        <v>246036</v>
      </c>
      <c r="EH58" s="229">
        <v>-0.1139</v>
      </c>
      <c r="EI58" s="229">
        <v>0.60929999999999995</v>
      </c>
      <c r="EJ58" s="231">
        <v>38128.39</v>
      </c>
      <c r="EK58" s="231">
        <v>20767.43</v>
      </c>
      <c r="EL58" s="231">
        <v>16922.599999999999</v>
      </c>
      <c r="EM58" s="228">
        <v>0</v>
      </c>
      <c r="EN58" s="231">
        <v>75818.42</v>
      </c>
      <c r="EO58" s="231">
        <v>148126.95000000001</v>
      </c>
      <c r="EP58" s="231">
        <v>-72308.53</v>
      </c>
      <c r="EQ58" s="229">
        <v>-0.48820000000000002</v>
      </c>
      <c r="ER58" s="231">
        <v>27087</v>
      </c>
      <c r="ES58" s="231">
        <v>22770</v>
      </c>
      <c r="ET58" s="231">
        <v>118775</v>
      </c>
      <c r="EU58" s="231">
        <v>27165600</v>
      </c>
      <c r="EV58" s="231">
        <v>168632</v>
      </c>
      <c r="EW58" s="231">
        <v>175342</v>
      </c>
      <c r="EX58" s="231">
        <v>-6710</v>
      </c>
      <c r="EY58" s="229">
        <v>-3.8300000000000001E-2</v>
      </c>
      <c r="EZ58" s="229">
        <v>0.17499999999999999</v>
      </c>
      <c r="FA58" s="227" t="s">
        <v>568</v>
      </c>
      <c r="FB58" s="161">
        <f t="shared" si="0"/>
        <v>74200</v>
      </c>
    </row>
    <row r="59" spans="1:158" ht="17.25" thickBot="1" x14ac:dyDescent="0.3">
      <c r="A59" s="226">
        <v>45860</v>
      </c>
      <c r="B59" s="227" t="s">
        <v>221</v>
      </c>
      <c r="C59" s="227" t="s">
        <v>573</v>
      </c>
      <c r="D59" s="228">
        <v>425</v>
      </c>
      <c r="E59" s="231">
        <v>1273.8</v>
      </c>
      <c r="F59" s="231">
        <v>1285.2</v>
      </c>
      <c r="G59" s="228">
        <v>-11.4</v>
      </c>
      <c r="H59" s="229">
        <v>-8.8999999999999999E-3</v>
      </c>
      <c r="I59" s="231">
        <v>1271.2</v>
      </c>
      <c r="J59" s="231">
        <v>1283.0999999999999</v>
      </c>
      <c r="K59" s="228">
        <v>-11.9</v>
      </c>
      <c r="L59" s="229">
        <v>-9.2999999999999992E-3</v>
      </c>
      <c r="M59" s="231">
        <v>1273.8</v>
      </c>
      <c r="N59" s="231">
        <v>1285.2</v>
      </c>
      <c r="O59" s="228">
        <v>-11.4</v>
      </c>
      <c r="P59" s="229">
        <v>-8.8999999999999999E-3</v>
      </c>
      <c r="Q59" s="231">
        <v>1280</v>
      </c>
      <c r="R59" s="231">
        <v>1292.7</v>
      </c>
      <c r="S59" s="228">
        <v>-12.7</v>
      </c>
      <c r="T59" s="229">
        <v>-9.7999999999999997E-3</v>
      </c>
      <c r="U59" s="228">
        <v>0</v>
      </c>
      <c r="V59" s="228">
        <v>0</v>
      </c>
      <c r="W59" s="228">
        <v>0</v>
      </c>
      <c r="X59" s="229">
        <v>0</v>
      </c>
      <c r="Y59" s="228">
        <v>2.6</v>
      </c>
      <c r="Z59" s="228">
        <v>2.1</v>
      </c>
      <c r="AA59" s="228">
        <v>0.5</v>
      </c>
      <c r="AB59" s="229">
        <v>2E-3</v>
      </c>
      <c r="AC59" s="228">
        <v>2.6</v>
      </c>
      <c r="AD59" s="228">
        <v>2.1</v>
      </c>
      <c r="AE59" s="228">
        <v>0.5</v>
      </c>
      <c r="AF59" s="229">
        <v>2E-3</v>
      </c>
      <c r="AG59" s="228">
        <v>8.8000000000000007</v>
      </c>
      <c r="AH59" s="228">
        <v>9.6</v>
      </c>
      <c r="AI59" s="228">
        <v>-0.8</v>
      </c>
      <c r="AJ59" s="229">
        <v>6.8999999999999999E-3</v>
      </c>
      <c r="AK59" s="228">
        <v>0</v>
      </c>
      <c r="AL59" s="228">
        <v>0</v>
      </c>
      <c r="AM59" s="228">
        <v>0</v>
      </c>
      <c r="AN59" s="229">
        <v>0</v>
      </c>
      <c r="AO59" s="231">
        <v>1277.9000000000001</v>
      </c>
      <c r="AP59" s="231">
        <v>1285.28</v>
      </c>
      <c r="AQ59" s="228">
        <v>0</v>
      </c>
      <c r="AR59" s="230">
        <v>299625</v>
      </c>
      <c r="AS59" s="230">
        <v>283050</v>
      </c>
      <c r="AT59" s="230">
        <v>16575</v>
      </c>
      <c r="AU59" s="229">
        <v>5.8599999999999999E-2</v>
      </c>
      <c r="AV59" s="230">
        <v>244375</v>
      </c>
      <c r="AW59" s="230">
        <v>207825</v>
      </c>
      <c r="AX59" s="230">
        <v>36550</v>
      </c>
      <c r="AY59" s="229">
        <v>0.1759</v>
      </c>
      <c r="AZ59" s="230">
        <v>51850</v>
      </c>
      <c r="BA59" s="230">
        <v>73950</v>
      </c>
      <c r="BB59" s="230">
        <v>-22100</v>
      </c>
      <c r="BC59" s="229">
        <v>-0.2989</v>
      </c>
      <c r="BD59" s="228">
        <v>0</v>
      </c>
      <c r="BE59" s="228">
        <v>0</v>
      </c>
      <c r="BF59" s="228">
        <v>0</v>
      </c>
      <c r="BG59" s="229">
        <v>0</v>
      </c>
      <c r="BH59" s="230">
        <v>482800</v>
      </c>
      <c r="BI59" s="230">
        <v>695300</v>
      </c>
      <c r="BJ59" s="230">
        <v>-212500</v>
      </c>
      <c r="BK59" s="229">
        <v>-0.30559999999999998</v>
      </c>
      <c r="BL59" s="230">
        <v>309825</v>
      </c>
      <c r="BM59" s="230">
        <v>348925</v>
      </c>
      <c r="BN59" s="230">
        <v>-39100</v>
      </c>
      <c r="BO59" s="229">
        <v>-0.11210000000000001</v>
      </c>
      <c r="BP59" s="230">
        <v>1092250</v>
      </c>
      <c r="BQ59" s="230">
        <v>1327275</v>
      </c>
      <c r="BR59" s="230">
        <v>-235025</v>
      </c>
      <c r="BS59" s="229">
        <v>-0.17710000000000001</v>
      </c>
      <c r="BT59" s="230">
        <v>166883</v>
      </c>
      <c r="BU59" s="230">
        <v>177228</v>
      </c>
      <c r="BV59" s="230">
        <v>-10345</v>
      </c>
      <c r="BW59" s="229">
        <v>-5.8400000000000001E-2</v>
      </c>
      <c r="BX59" s="230">
        <v>2749325</v>
      </c>
      <c r="BY59" s="230">
        <v>2753575</v>
      </c>
      <c r="BZ59" s="230">
        <v>-4250</v>
      </c>
      <c r="CA59" s="229">
        <v>-1.5E-3</v>
      </c>
      <c r="CB59" s="230">
        <v>2522375</v>
      </c>
      <c r="CC59" s="230">
        <v>2544475</v>
      </c>
      <c r="CD59" s="230">
        <v>-22100</v>
      </c>
      <c r="CE59" s="229">
        <v>-8.6999999999999994E-3</v>
      </c>
      <c r="CF59" s="230">
        <v>204425</v>
      </c>
      <c r="CG59" s="230">
        <v>188700</v>
      </c>
      <c r="CH59" s="230">
        <v>15725</v>
      </c>
      <c r="CI59" s="229">
        <v>8.3299999999999999E-2</v>
      </c>
      <c r="CJ59" s="228">
        <v>0</v>
      </c>
      <c r="CK59" s="228">
        <v>0</v>
      </c>
      <c r="CL59" s="228">
        <v>0</v>
      </c>
      <c r="CM59" s="229">
        <v>0</v>
      </c>
      <c r="CN59" s="230">
        <v>1510025</v>
      </c>
      <c r="CO59" s="230">
        <v>1507900</v>
      </c>
      <c r="CP59" s="230">
        <v>2125</v>
      </c>
      <c r="CQ59" s="229">
        <v>1.4E-3</v>
      </c>
      <c r="CR59" s="230">
        <v>1126675</v>
      </c>
      <c r="CS59" s="230">
        <v>1078225</v>
      </c>
      <c r="CT59" s="230">
        <v>48450</v>
      </c>
      <c r="CU59" s="229">
        <v>4.4900000000000002E-2</v>
      </c>
      <c r="CV59" s="230">
        <v>5386025</v>
      </c>
      <c r="CW59" s="230">
        <v>5339700</v>
      </c>
      <c r="CX59" s="230">
        <v>46325</v>
      </c>
      <c r="CY59" s="229">
        <v>8.6999999999999994E-3</v>
      </c>
      <c r="CZ59" s="228">
        <v>48.67</v>
      </c>
      <c r="DA59" s="228">
        <v>46.54</v>
      </c>
      <c r="DB59" s="228">
        <v>2.13</v>
      </c>
      <c r="DC59" s="228">
        <v>2.13</v>
      </c>
      <c r="DD59" s="228">
        <v>47.85</v>
      </c>
      <c r="DE59" s="228">
        <v>47.96</v>
      </c>
      <c r="DF59" s="228">
        <v>0.82</v>
      </c>
      <c r="DG59" s="228">
        <v>-0.11</v>
      </c>
      <c r="DH59" s="228">
        <v>46.73</v>
      </c>
      <c r="DI59" s="228">
        <v>45.26</v>
      </c>
      <c r="DJ59" s="228">
        <v>1.47</v>
      </c>
      <c r="DK59" s="228">
        <v>1.47</v>
      </c>
      <c r="DL59" s="228">
        <v>51.69</v>
      </c>
      <c r="DM59" s="228">
        <v>49.09</v>
      </c>
      <c r="DN59" s="228">
        <v>2.6</v>
      </c>
      <c r="DO59" s="228">
        <v>2.6</v>
      </c>
      <c r="DP59" s="228">
        <v>0.75</v>
      </c>
      <c r="DQ59" s="228">
        <v>0.72</v>
      </c>
      <c r="DR59" s="228">
        <v>0.03</v>
      </c>
      <c r="DS59" s="229">
        <v>4.1700000000000001E-2</v>
      </c>
      <c r="DT59" s="231">
        <v>1300</v>
      </c>
      <c r="DU59" s="231">
        <v>1200</v>
      </c>
      <c r="DV59" s="228">
        <v>0.64</v>
      </c>
      <c r="DW59" s="228">
        <v>0.5</v>
      </c>
      <c r="DX59" s="228">
        <v>0.14000000000000001</v>
      </c>
      <c r="DY59" s="229">
        <v>0.28000000000000003</v>
      </c>
      <c r="DZ59" s="229">
        <v>7.4399999999999994E-2</v>
      </c>
      <c r="EA59" s="230">
        <v>188700</v>
      </c>
      <c r="EB59" s="229">
        <v>4.8999999999999998E-3</v>
      </c>
      <c r="EC59" s="229">
        <v>7.4399999999999994E-2</v>
      </c>
      <c r="ED59" s="228">
        <v>7.38</v>
      </c>
      <c r="EE59" s="229">
        <v>5.7999999999999996E-3</v>
      </c>
      <c r="EF59" s="230">
        <v>79124</v>
      </c>
      <c r="EG59" s="230">
        <v>75836</v>
      </c>
      <c r="EH59" s="229">
        <v>4.3400000000000001E-2</v>
      </c>
      <c r="EI59" s="229">
        <v>0.47410000000000002</v>
      </c>
      <c r="EJ59" s="231">
        <v>6605.23</v>
      </c>
      <c r="EK59" s="231">
        <v>3751.38</v>
      </c>
      <c r="EL59" s="231">
        <v>3833.17</v>
      </c>
      <c r="EM59" s="228">
        <v>0</v>
      </c>
      <c r="EN59" s="231">
        <v>14189.78</v>
      </c>
      <c r="EO59" s="231">
        <v>17295.810000000001</v>
      </c>
      <c r="EP59" s="231">
        <v>-3106.03</v>
      </c>
      <c r="EQ59" s="229">
        <v>-0.17960000000000001</v>
      </c>
      <c r="ER59" s="231">
        <v>20466</v>
      </c>
      <c r="ES59" s="231">
        <v>13815</v>
      </c>
      <c r="ET59" s="231">
        <v>35036</v>
      </c>
      <c r="EU59" s="231">
        <v>16859165</v>
      </c>
      <c r="EV59" s="231">
        <v>69317</v>
      </c>
      <c r="EW59" s="231">
        <v>69070</v>
      </c>
      <c r="EX59" s="228">
        <v>247</v>
      </c>
      <c r="EY59" s="229">
        <v>3.5999999999999999E-3</v>
      </c>
      <c r="EZ59" s="229">
        <v>0.31950000000000001</v>
      </c>
      <c r="FA59" s="227" t="s">
        <v>568</v>
      </c>
      <c r="FB59" s="161">
        <f t="shared" si="0"/>
        <v>226950</v>
      </c>
    </row>
    <row r="60" spans="1:158" ht="17.25" thickBot="1" x14ac:dyDescent="0.3">
      <c r="A60" s="226">
        <v>45860</v>
      </c>
      <c r="B60" s="227" t="s">
        <v>168</v>
      </c>
      <c r="C60" s="227" t="s">
        <v>204</v>
      </c>
      <c r="D60" s="228">
        <v>1250</v>
      </c>
      <c r="E60" s="228">
        <v>515.29999999999995</v>
      </c>
      <c r="F60" s="228">
        <v>516.1</v>
      </c>
      <c r="G60" s="228">
        <v>-0.8</v>
      </c>
      <c r="H60" s="229">
        <v>-1.6000000000000001E-3</v>
      </c>
      <c r="I60" s="228">
        <v>515.04999999999995</v>
      </c>
      <c r="J60" s="228">
        <v>514.54999999999995</v>
      </c>
      <c r="K60" s="228">
        <v>0.5</v>
      </c>
      <c r="L60" s="229">
        <v>1E-3</v>
      </c>
      <c r="M60" s="228">
        <v>515.29999999999995</v>
      </c>
      <c r="N60" s="228">
        <v>516.1</v>
      </c>
      <c r="O60" s="228">
        <v>-0.8</v>
      </c>
      <c r="P60" s="229">
        <v>-1.6000000000000001E-3</v>
      </c>
      <c r="Q60" s="228">
        <v>518.04999999999995</v>
      </c>
      <c r="R60" s="228">
        <v>518.65</v>
      </c>
      <c r="S60" s="228">
        <v>-0.6</v>
      </c>
      <c r="T60" s="229">
        <v>-1.1999999999999999E-3</v>
      </c>
      <c r="U60" s="228">
        <v>0</v>
      </c>
      <c r="V60" s="228">
        <v>0</v>
      </c>
      <c r="W60" s="228">
        <v>0</v>
      </c>
      <c r="X60" s="229">
        <v>0</v>
      </c>
      <c r="Y60" s="228">
        <v>0.25</v>
      </c>
      <c r="Z60" s="228">
        <v>1.55</v>
      </c>
      <c r="AA60" s="228">
        <v>-1.3</v>
      </c>
      <c r="AB60" s="229">
        <v>5.0000000000000001E-4</v>
      </c>
      <c r="AC60" s="228">
        <v>0.25</v>
      </c>
      <c r="AD60" s="228">
        <v>1.55</v>
      </c>
      <c r="AE60" s="228">
        <v>-1.3</v>
      </c>
      <c r="AF60" s="229">
        <v>5.0000000000000001E-4</v>
      </c>
      <c r="AG60" s="228">
        <v>3</v>
      </c>
      <c r="AH60" s="228">
        <v>4.0999999999999996</v>
      </c>
      <c r="AI60" s="228">
        <v>-1.1000000000000001</v>
      </c>
      <c r="AJ60" s="229">
        <v>5.7999999999999996E-3</v>
      </c>
      <c r="AK60" s="228">
        <v>0</v>
      </c>
      <c r="AL60" s="228">
        <v>0</v>
      </c>
      <c r="AM60" s="228">
        <v>0</v>
      </c>
      <c r="AN60" s="229">
        <v>0</v>
      </c>
      <c r="AO60" s="228">
        <v>514.38</v>
      </c>
      <c r="AP60" s="228">
        <v>516.85</v>
      </c>
      <c r="AQ60" s="228">
        <v>0</v>
      </c>
      <c r="AR60" s="230">
        <v>1672500</v>
      </c>
      <c r="AS60" s="230">
        <v>2247500</v>
      </c>
      <c r="AT60" s="230">
        <v>-575000</v>
      </c>
      <c r="AU60" s="229">
        <v>-0.25580000000000003</v>
      </c>
      <c r="AV60" s="230">
        <v>1471250</v>
      </c>
      <c r="AW60" s="230">
        <v>1981250</v>
      </c>
      <c r="AX60" s="230">
        <v>-510000</v>
      </c>
      <c r="AY60" s="229">
        <v>-0.25740000000000002</v>
      </c>
      <c r="AZ60" s="230">
        <v>183750</v>
      </c>
      <c r="BA60" s="230">
        <v>233750</v>
      </c>
      <c r="BB60" s="230">
        <v>-50000</v>
      </c>
      <c r="BC60" s="229">
        <v>-0.21390000000000001</v>
      </c>
      <c r="BD60" s="228">
        <v>0</v>
      </c>
      <c r="BE60" s="228">
        <v>0</v>
      </c>
      <c r="BF60" s="228">
        <v>0</v>
      </c>
      <c r="BG60" s="229">
        <v>0</v>
      </c>
      <c r="BH60" s="230">
        <v>6717500</v>
      </c>
      <c r="BI60" s="230">
        <v>6530000</v>
      </c>
      <c r="BJ60" s="230">
        <v>187500</v>
      </c>
      <c r="BK60" s="229">
        <v>2.87E-2</v>
      </c>
      <c r="BL60" s="230">
        <v>2896250</v>
      </c>
      <c r="BM60" s="230">
        <v>5067500</v>
      </c>
      <c r="BN60" s="230">
        <v>-2171250</v>
      </c>
      <c r="BO60" s="229">
        <v>-0.42849999999999999</v>
      </c>
      <c r="BP60" s="230">
        <v>11286250</v>
      </c>
      <c r="BQ60" s="230">
        <v>13845000</v>
      </c>
      <c r="BR60" s="230">
        <v>-2558750</v>
      </c>
      <c r="BS60" s="229">
        <v>-0.18479999999999999</v>
      </c>
      <c r="BT60" s="230">
        <v>1520571</v>
      </c>
      <c r="BU60" s="230">
        <v>1249227</v>
      </c>
      <c r="BV60" s="230">
        <v>271344</v>
      </c>
      <c r="BW60" s="229">
        <v>0.2172</v>
      </c>
      <c r="BX60" s="230">
        <v>18548750</v>
      </c>
      <c r="BY60" s="230">
        <v>18500000</v>
      </c>
      <c r="BZ60" s="230">
        <v>48750</v>
      </c>
      <c r="CA60" s="229">
        <v>2.5999999999999999E-3</v>
      </c>
      <c r="CB60" s="230">
        <v>17637500</v>
      </c>
      <c r="CC60" s="230">
        <v>17650000</v>
      </c>
      <c r="CD60" s="230">
        <v>-12500</v>
      </c>
      <c r="CE60" s="229">
        <v>-6.9999999999999999E-4</v>
      </c>
      <c r="CF60" s="230">
        <v>791250</v>
      </c>
      <c r="CG60" s="230">
        <v>737500</v>
      </c>
      <c r="CH60" s="230">
        <v>53750</v>
      </c>
      <c r="CI60" s="229">
        <v>7.2900000000000006E-2</v>
      </c>
      <c r="CJ60" s="228">
        <v>0</v>
      </c>
      <c r="CK60" s="228">
        <v>0</v>
      </c>
      <c r="CL60" s="228">
        <v>0</v>
      </c>
      <c r="CM60" s="229">
        <v>0</v>
      </c>
      <c r="CN60" s="230">
        <v>12503750</v>
      </c>
      <c r="CO60" s="230">
        <v>12942500</v>
      </c>
      <c r="CP60" s="230">
        <v>-438750</v>
      </c>
      <c r="CQ60" s="229">
        <v>-3.39E-2</v>
      </c>
      <c r="CR60" s="230">
        <v>13093750</v>
      </c>
      <c r="CS60" s="230">
        <v>13267500</v>
      </c>
      <c r="CT60" s="230">
        <v>-173750</v>
      </c>
      <c r="CU60" s="229">
        <v>-1.3100000000000001E-2</v>
      </c>
      <c r="CV60" s="230">
        <v>44146250</v>
      </c>
      <c r="CW60" s="230">
        <v>44710000</v>
      </c>
      <c r="CX60" s="230">
        <v>-563750</v>
      </c>
      <c r="CY60" s="229">
        <v>-1.26E-2</v>
      </c>
      <c r="CZ60" s="228">
        <v>17.97</v>
      </c>
      <c r="DA60" s="228">
        <v>19.75</v>
      </c>
      <c r="DB60" s="228">
        <v>-1.78</v>
      </c>
      <c r="DC60" s="228">
        <v>-1.78</v>
      </c>
      <c r="DD60" s="228">
        <v>25.27</v>
      </c>
      <c r="DE60" s="228">
        <v>25.34</v>
      </c>
      <c r="DF60" s="228">
        <v>-7.3</v>
      </c>
      <c r="DG60" s="228">
        <v>-7.0000000000000007E-2</v>
      </c>
      <c r="DH60" s="228">
        <v>18.23</v>
      </c>
      <c r="DI60" s="228">
        <v>20.12</v>
      </c>
      <c r="DJ60" s="228">
        <v>-1.89</v>
      </c>
      <c r="DK60" s="228">
        <v>-1.89</v>
      </c>
      <c r="DL60" s="228">
        <v>17.350000000000001</v>
      </c>
      <c r="DM60" s="228">
        <v>19.260000000000002</v>
      </c>
      <c r="DN60" s="228">
        <v>-1.91</v>
      </c>
      <c r="DO60" s="228">
        <v>-1.91</v>
      </c>
      <c r="DP60" s="228">
        <v>1.05</v>
      </c>
      <c r="DQ60" s="228">
        <v>1.03</v>
      </c>
      <c r="DR60" s="228">
        <v>0.02</v>
      </c>
      <c r="DS60" s="229">
        <v>1.9400000000000001E-2</v>
      </c>
      <c r="DT60" s="228">
        <v>550</v>
      </c>
      <c r="DU60" s="228">
        <v>470</v>
      </c>
      <c r="DV60" s="228">
        <v>0.43</v>
      </c>
      <c r="DW60" s="228">
        <v>0.78</v>
      </c>
      <c r="DX60" s="228">
        <v>-0.35</v>
      </c>
      <c r="DY60" s="229">
        <v>-0.44869999999999999</v>
      </c>
      <c r="DZ60" s="229">
        <v>4.2700000000000002E-2</v>
      </c>
      <c r="EA60" s="230">
        <v>737500</v>
      </c>
      <c r="EB60" s="229">
        <v>5.3E-3</v>
      </c>
      <c r="EC60" s="229">
        <v>4.2700000000000002E-2</v>
      </c>
      <c r="ED60" s="228">
        <v>2.4700000000000002</v>
      </c>
      <c r="EE60" s="229">
        <v>4.7999999999999996E-3</v>
      </c>
      <c r="EF60" s="230">
        <v>1155472</v>
      </c>
      <c r="EG60" s="230">
        <v>845944</v>
      </c>
      <c r="EH60" s="229">
        <v>0.3659</v>
      </c>
      <c r="EI60" s="229">
        <v>0.75990000000000002</v>
      </c>
      <c r="EJ60" s="231">
        <v>35868.68</v>
      </c>
      <c r="EK60" s="231">
        <v>14668.42</v>
      </c>
      <c r="EL60" s="231">
        <v>8608.48</v>
      </c>
      <c r="EM60" s="228">
        <v>0</v>
      </c>
      <c r="EN60" s="231">
        <v>59145.58</v>
      </c>
      <c r="EO60" s="231">
        <v>72434.63</v>
      </c>
      <c r="EP60" s="231">
        <v>-13289.05</v>
      </c>
      <c r="EQ60" s="229">
        <v>-0.1835</v>
      </c>
      <c r="ER60" s="231">
        <v>66498</v>
      </c>
      <c r="ES60" s="231">
        <v>63025</v>
      </c>
      <c r="ET60" s="231">
        <v>95610</v>
      </c>
      <c r="EU60" s="231">
        <v>119554853</v>
      </c>
      <c r="EV60" s="231">
        <v>225133</v>
      </c>
      <c r="EW60" s="231">
        <v>228310</v>
      </c>
      <c r="EX60" s="231">
        <v>-3177</v>
      </c>
      <c r="EY60" s="229">
        <v>-1.3899999999999999E-2</v>
      </c>
      <c r="EZ60" s="229">
        <v>0.36930000000000002</v>
      </c>
      <c r="FA60" s="227" t="s">
        <v>567</v>
      </c>
      <c r="FB60" s="161">
        <f t="shared" si="0"/>
        <v>911250</v>
      </c>
    </row>
    <row r="61" spans="1:158" ht="17.25" thickBot="1" x14ac:dyDescent="0.3">
      <c r="A61" s="226">
        <v>45860</v>
      </c>
      <c r="B61" s="227" t="s">
        <v>157</v>
      </c>
      <c r="C61" s="227" t="s">
        <v>524</v>
      </c>
      <c r="D61" s="228">
        <v>325</v>
      </c>
      <c r="E61" s="231">
        <v>2322</v>
      </c>
      <c r="F61" s="231">
        <v>2270.8000000000002</v>
      </c>
      <c r="G61" s="228">
        <v>51.2</v>
      </c>
      <c r="H61" s="229">
        <v>2.2499999999999999E-2</v>
      </c>
      <c r="I61" s="231">
        <v>2320.1999999999998</v>
      </c>
      <c r="J61" s="231">
        <v>2262.1999999999998</v>
      </c>
      <c r="K61" s="228">
        <v>58</v>
      </c>
      <c r="L61" s="229">
        <v>2.5600000000000001E-2</v>
      </c>
      <c r="M61" s="231">
        <v>2322</v>
      </c>
      <c r="N61" s="231">
        <v>2270.8000000000002</v>
      </c>
      <c r="O61" s="228">
        <v>51.2</v>
      </c>
      <c r="P61" s="229">
        <v>2.2499999999999999E-2</v>
      </c>
      <c r="Q61" s="231">
        <v>2333.1999999999998</v>
      </c>
      <c r="R61" s="231">
        <v>2279.8000000000002</v>
      </c>
      <c r="S61" s="228">
        <v>53.4</v>
      </c>
      <c r="T61" s="229">
        <v>2.3400000000000001E-2</v>
      </c>
      <c r="U61" s="228">
        <v>0</v>
      </c>
      <c r="V61" s="228">
        <v>0</v>
      </c>
      <c r="W61" s="228">
        <v>0</v>
      </c>
      <c r="X61" s="229">
        <v>0</v>
      </c>
      <c r="Y61" s="228">
        <v>1.8</v>
      </c>
      <c r="Z61" s="228">
        <v>8.6</v>
      </c>
      <c r="AA61" s="228">
        <v>-6.8</v>
      </c>
      <c r="AB61" s="229">
        <v>8.0000000000000004E-4</v>
      </c>
      <c r="AC61" s="228">
        <v>1.8</v>
      </c>
      <c r="AD61" s="228">
        <v>8.6</v>
      </c>
      <c r="AE61" s="228">
        <v>-6.8</v>
      </c>
      <c r="AF61" s="229">
        <v>8.0000000000000004E-4</v>
      </c>
      <c r="AG61" s="228">
        <v>13</v>
      </c>
      <c r="AH61" s="228">
        <v>17.600000000000001</v>
      </c>
      <c r="AI61" s="228">
        <v>-4.5999999999999996</v>
      </c>
      <c r="AJ61" s="229">
        <v>5.5999999999999999E-3</v>
      </c>
      <c r="AK61" s="228">
        <v>0</v>
      </c>
      <c r="AL61" s="228">
        <v>0</v>
      </c>
      <c r="AM61" s="228">
        <v>0</v>
      </c>
      <c r="AN61" s="229">
        <v>0</v>
      </c>
      <c r="AO61" s="231">
        <v>2330.0300000000002</v>
      </c>
      <c r="AP61" s="231">
        <v>2344.69</v>
      </c>
      <c r="AQ61" s="228">
        <v>0</v>
      </c>
      <c r="AR61" s="230">
        <v>1682200</v>
      </c>
      <c r="AS61" s="230">
        <v>1032525</v>
      </c>
      <c r="AT61" s="230">
        <v>649675</v>
      </c>
      <c r="AU61" s="229">
        <v>0.62919999999999998</v>
      </c>
      <c r="AV61" s="230">
        <v>1299025</v>
      </c>
      <c r="AW61" s="230">
        <v>903500</v>
      </c>
      <c r="AX61" s="230">
        <v>395525</v>
      </c>
      <c r="AY61" s="229">
        <v>0.43780000000000002</v>
      </c>
      <c r="AZ61" s="230">
        <v>369850</v>
      </c>
      <c r="BA61" s="230">
        <v>127075</v>
      </c>
      <c r="BB61" s="230">
        <v>242775</v>
      </c>
      <c r="BC61" s="229">
        <v>1.9105000000000001</v>
      </c>
      <c r="BD61" s="228">
        <v>0</v>
      </c>
      <c r="BE61" s="228">
        <v>0</v>
      </c>
      <c r="BF61" s="228">
        <v>0</v>
      </c>
      <c r="BG61" s="229">
        <v>0</v>
      </c>
      <c r="BH61" s="230">
        <v>5239650</v>
      </c>
      <c r="BI61" s="230">
        <v>2849600</v>
      </c>
      <c r="BJ61" s="230">
        <v>2390050</v>
      </c>
      <c r="BK61" s="229">
        <v>0.8387</v>
      </c>
      <c r="BL61" s="230">
        <v>2118350</v>
      </c>
      <c r="BM61" s="230">
        <v>652275</v>
      </c>
      <c r="BN61" s="230">
        <v>1466075</v>
      </c>
      <c r="BO61" s="229">
        <v>2.2475999999999998</v>
      </c>
      <c r="BP61" s="230">
        <v>9040200</v>
      </c>
      <c r="BQ61" s="230">
        <v>4534400</v>
      </c>
      <c r="BR61" s="230">
        <v>4505800</v>
      </c>
      <c r="BS61" s="229">
        <v>0.99370000000000003</v>
      </c>
      <c r="BT61" s="230">
        <v>1046884</v>
      </c>
      <c r="BU61" s="230">
        <v>788809</v>
      </c>
      <c r="BV61" s="230">
        <v>258075</v>
      </c>
      <c r="BW61" s="229">
        <v>0.32719999999999999</v>
      </c>
      <c r="BX61" s="230">
        <v>3425175</v>
      </c>
      <c r="BY61" s="230">
        <v>3323450</v>
      </c>
      <c r="BZ61" s="230">
        <v>101725</v>
      </c>
      <c r="CA61" s="229">
        <v>3.0599999999999999E-2</v>
      </c>
      <c r="CB61" s="230">
        <v>3120650</v>
      </c>
      <c r="CC61" s="230">
        <v>3212625</v>
      </c>
      <c r="CD61" s="230">
        <v>-91975</v>
      </c>
      <c r="CE61" s="229">
        <v>-2.86E-2</v>
      </c>
      <c r="CF61" s="230">
        <v>291850</v>
      </c>
      <c r="CG61" s="230">
        <v>106600</v>
      </c>
      <c r="CH61" s="230">
        <v>185250</v>
      </c>
      <c r="CI61" s="229">
        <v>1.7378</v>
      </c>
      <c r="CJ61" s="228">
        <v>0</v>
      </c>
      <c r="CK61" s="228">
        <v>0</v>
      </c>
      <c r="CL61" s="228">
        <v>0</v>
      </c>
      <c r="CM61" s="229">
        <v>0</v>
      </c>
      <c r="CN61" s="230">
        <v>1214850</v>
      </c>
      <c r="CO61" s="230">
        <v>945100</v>
      </c>
      <c r="CP61" s="230">
        <v>269750</v>
      </c>
      <c r="CQ61" s="229">
        <v>0.28539999999999999</v>
      </c>
      <c r="CR61" s="230">
        <v>704600</v>
      </c>
      <c r="CS61" s="230">
        <v>446225</v>
      </c>
      <c r="CT61" s="230">
        <v>258375</v>
      </c>
      <c r="CU61" s="229">
        <v>0.57899999999999996</v>
      </c>
      <c r="CV61" s="230">
        <v>5344625</v>
      </c>
      <c r="CW61" s="230">
        <v>4714775</v>
      </c>
      <c r="CX61" s="230">
        <v>629850</v>
      </c>
      <c r="CY61" s="229">
        <v>0.1336</v>
      </c>
      <c r="CZ61" s="228">
        <v>31.42</v>
      </c>
      <c r="DA61" s="228">
        <v>32.43</v>
      </c>
      <c r="DB61" s="228">
        <v>-1.01</v>
      </c>
      <c r="DC61" s="228">
        <v>-1.01</v>
      </c>
      <c r="DD61" s="228">
        <v>32.94</v>
      </c>
      <c r="DE61" s="228">
        <v>32.880000000000003</v>
      </c>
      <c r="DF61" s="228">
        <v>-1.52</v>
      </c>
      <c r="DG61" s="228">
        <v>0.06</v>
      </c>
      <c r="DH61" s="228">
        <v>31.29</v>
      </c>
      <c r="DI61" s="228">
        <v>32.29</v>
      </c>
      <c r="DJ61" s="228">
        <v>-1</v>
      </c>
      <c r="DK61" s="228">
        <v>-1</v>
      </c>
      <c r="DL61" s="228">
        <v>31.73</v>
      </c>
      <c r="DM61" s="228">
        <v>33.020000000000003</v>
      </c>
      <c r="DN61" s="228">
        <v>-1.29</v>
      </c>
      <c r="DO61" s="228">
        <v>-1.29</v>
      </c>
      <c r="DP61" s="228">
        <v>0.57999999999999996</v>
      </c>
      <c r="DQ61" s="228">
        <v>0.47</v>
      </c>
      <c r="DR61" s="228">
        <v>0.11</v>
      </c>
      <c r="DS61" s="229">
        <v>0.23400000000000001</v>
      </c>
      <c r="DT61" s="231">
        <v>2300</v>
      </c>
      <c r="DU61" s="231">
        <v>2200</v>
      </c>
      <c r="DV61" s="228">
        <v>0.4</v>
      </c>
      <c r="DW61" s="228">
        <v>0.23</v>
      </c>
      <c r="DX61" s="228">
        <v>0.17</v>
      </c>
      <c r="DY61" s="229">
        <v>0.73909999999999998</v>
      </c>
      <c r="DZ61" s="229">
        <v>8.5199999999999998E-2</v>
      </c>
      <c r="EA61" s="230">
        <v>106600</v>
      </c>
      <c r="EB61" s="229">
        <v>4.7999999999999996E-3</v>
      </c>
      <c r="EC61" s="229">
        <v>8.5199999999999998E-2</v>
      </c>
      <c r="ED61" s="228">
        <v>14.66</v>
      </c>
      <c r="EE61" s="229">
        <v>6.3E-3</v>
      </c>
      <c r="EF61" s="230">
        <v>477526</v>
      </c>
      <c r="EG61" s="230">
        <v>518042</v>
      </c>
      <c r="EH61" s="229">
        <v>-7.8200000000000006E-2</v>
      </c>
      <c r="EI61" s="229">
        <v>0.45610000000000001</v>
      </c>
      <c r="EJ61" s="231">
        <v>125947.56</v>
      </c>
      <c r="EK61" s="231">
        <v>48150.79</v>
      </c>
      <c r="EL61" s="231">
        <v>39252.559999999998</v>
      </c>
      <c r="EM61" s="228">
        <v>0</v>
      </c>
      <c r="EN61" s="231">
        <v>213350.91</v>
      </c>
      <c r="EO61" s="231">
        <v>105107.81</v>
      </c>
      <c r="EP61" s="231">
        <v>108243.1</v>
      </c>
      <c r="EQ61" s="229">
        <v>1.0298</v>
      </c>
      <c r="ER61" s="231">
        <v>28260</v>
      </c>
      <c r="ES61" s="231">
        <v>15442</v>
      </c>
      <c r="ET61" s="231">
        <v>79568</v>
      </c>
      <c r="EU61" s="231">
        <v>16566722</v>
      </c>
      <c r="EV61" s="231">
        <v>123269</v>
      </c>
      <c r="EW61" s="231">
        <v>106609</v>
      </c>
      <c r="EX61" s="231">
        <v>16660</v>
      </c>
      <c r="EY61" s="229">
        <v>0.15629999999999999</v>
      </c>
      <c r="EZ61" s="229">
        <v>0.3226</v>
      </c>
      <c r="FA61" s="227" t="s">
        <v>555</v>
      </c>
      <c r="FB61" s="161">
        <f t="shared" si="0"/>
        <v>304525</v>
      </c>
    </row>
    <row r="62" spans="1:158" ht="17.25" thickBot="1" x14ac:dyDescent="0.3">
      <c r="A62" s="226">
        <v>45860</v>
      </c>
      <c r="B62" s="227" t="s">
        <v>616</v>
      </c>
      <c r="C62" s="227" t="s">
        <v>601</v>
      </c>
      <c r="D62" s="228">
        <v>2075</v>
      </c>
      <c r="E62" s="228">
        <v>434.85</v>
      </c>
      <c r="F62" s="228">
        <v>432.85</v>
      </c>
      <c r="G62" s="228">
        <v>2</v>
      </c>
      <c r="H62" s="229">
        <v>4.5999999999999999E-3</v>
      </c>
      <c r="I62" s="228">
        <v>436.85</v>
      </c>
      <c r="J62" s="228">
        <v>433.1</v>
      </c>
      <c r="K62" s="228">
        <v>3.75</v>
      </c>
      <c r="L62" s="229">
        <v>8.6999999999999994E-3</v>
      </c>
      <c r="M62" s="228">
        <v>434.85</v>
      </c>
      <c r="N62" s="228">
        <v>432.85</v>
      </c>
      <c r="O62" s="228">
        <v>2</v>
      </c>
      <c r="P62" s="229">
        <v>4.5999999999999999E-3</v>
      </c>
      <c r="Q62" s="228">
        <v>435.45</v>
      </c>
      <c r="R62" s="228">
        <v>433.35</v>
      </c>
      <c r="S62" s="228">
        <v>2.1</v>
      </c>
      <c r="T62" s="229">
        <v>4.7999999999999996E-3</v>
      </c>
      <c r="U62" s="228">
        <v>0</v>
      </c>
      <c r="V62" s="228">
        <v>0</v>
      </c>
      <c r="W62" s="228">
        <v>0</v>
      </c>
      <c r="X62" s="229">
        <v>0</v>
      </c>
      <c r="Y62" s="228">
        <v>-2</v>
      </c>
      <c r="Z62" s="228">
        <v>-0.25</v>
      </c>
      <c r="AA62" s="228">
        <v>-1.75</v>
      </c>
      <c r="AB62" s="229">
        <v>-4.5999999999999999E-3</v>
      </c>
      <c r="AC62" s="228">
        <v>-2</v>
      </c>
      <c r="AD62" s="228">
        <v>-0.25</v>
      </c>
      <c r="AE62" s="228">
        <v>-1.75</v>
      </c>
      <c r="AF62" s="229">
        <v>-4.5999999999999999E-3</v>
      </c>
      <c r="AG62" s="228">
        <v>-1.4</v>
      </c>
      <c r="AH62" s="228">
        <v>0.25</v>
      </c>
      <c r="AI62" s="228">
        <v>-1.65</v>
      </c>
      <c r="AJ62" s="229">
        <v>-3.2000000000000002E-3</v>
      </c>
      <c r="AK62" s="228">
        <v>0</v>
      </c>
      <c r="AL62" s="228">
        <v>0</v>
      </c>
      <c r="AM62" s="228">
        <v>0</v>
      </c>
      <c r="AN62" s="229">
        <v>0</v>
      </c>
      <c r="AO62" s="228">
        <v>435.92</v>
      </c>
      <c r="AP62" s="228">
        <v>436.19</v>
      </c>
      <c r="AQ62" s="228">
        <v>0</v>
      </c>
      <c r="AR62" s="230">
        <v>7544700</v>
      </c>
      <c r="AS62" s="230">
        <v>2543950</v>
      </c>
      <c r="AT62" s="230">
        <v>5000750</v>
      </c>
      <c r="AU62" s="229">
        <v>1.9657</v>
      </c>
      <c r="AV62" s="230">
        <v>5959400</v>
      </c>
      <c r="AW62" s="230">
        <v>2099900</v>
      </c>
      <c r="AX62" s="230">
        <v>3859500</v>
      </c>
      <c r="AY62" s="229">
        <v>1.8379000000000001</v>
      </c>
      <c r="AZ62" s="230">
        <v>1527200</v>
      </c>
      <c r="BA62" s="230">
        <v>404625</v>
      </c>
      <c r="BB62" s="230">
        <v>1122575</v>
      </c>
      <c r="BC62" s="229">
        <v>2.7744</v>
      </c>
      <c r="BD62" s="228">
        <v>0</v>
      </c>
      <c r="BE62" s="228">
        <v>0</v>
      </c>
      <c r="BF62" s="228">
        <v>0</v>
      </c>
      <c r="BG62" s="229">
        <v>0</v>
      </c>
      <c r="BH62" s="230">
        <v>15525150</v>
      </c>
      <c r="BI62" s="230">
        <v>9057375</v>
      </c>
      <c r="BJ62" s="230">
        <v>6467775</v>
      </c>
      <c r="BK62" s="229">
        <v>0.71409999999999996</v>
      </c>
      <c r="BL62" s="230">
        <v>7909900</v>
      </c>
      <c r="BM62" s="230">
        <v>3753675</v>
      </c>
      <c r="BN62" s="230">
        <v>4156225</v>
      </c>
      <c r="BO62" s="229">
        <v>1.1072</v>
      </c>
      <c r="BP62" s="230">
        <v>30979750</v>
      </c>
      <c r="BQ62" s="230">
        <v>15355000</v>
      </c>
      <c r="BR62" s="230">
        <v>15624750</v>
      </c>
      <c r="BS62" s="229">
        <v>1.0176000000000001</v>
      </c>
      <c r="BT62" s="230">
        <v>3042539</v>
      </c>
      <c r="BU62" s="230">
        <v>1343922</v>
      </c>
      <c r="BV62" s="230">
        <v>1698617</v>
      </c>
      <c r="BW62" s="229">
        <v>1.2639</v>
      </c>
      <c r="BX62" s="230">
        <v>12856700</v>
      </c>
      <c r="BY62" s="230">
        <v>11879375</v>
      </c>
      <c r="BZ62" s="230">
        <v>977325</v>
      </c>
      <c r="CA62" s="229">
        <v>8.2299999999999998E-2</v>
      </c>
      <c r="CB62" s="230">
        <v>11350250</v>
      </c>
      <c r="CC62" s="230">
        <v>10707000</v>
      </c>
      <c r="CD62" s="230">
        <v>643250</v>
      </c>
      <c r="CE62" s="229">
        <v>6.0100000000000001E-2</v>
      </c>
      <c r="CF62" s="230">
        <v>1411000</v>
      </c>
      <c r="CG62" s="230">
        <v>1068625</v>
      </c>
      <c r="CH62" s="230">
        <v>342375</v>
      </c>
      <c r="CI62" s="229">
        <v>0.32040000000000002</v>
      </c>
      <c r="CJ62" s="228">
        <v>0</v>
      </c>
      <c r="CK62" s="228">
        <v>0</v>
      </c>
      <c r="CL62" s="228">
        <v>0</v>
      </c>
      <c r="CM62" s="229">
        <v>0</v>
      </c>
      <c r="CN62" s="230">
        <v>6828825</v>
      </c>
      <c r="CO62" s="230">
        <v>7175350</v>
      </c>
      <c r="CP62" s="230">
        <v>-346525</v>
      </c>
      <c r="CQ62" s="229">
        <v>-4.8300000000000003E-2</v>
      </c>
      <c r="CR62" s="230">
        <v>5627400</v>
      </c>
      <c r="CS62" s="230">
        <v>5187500</v>
      </c>
      <c r="CT62" s="230">
        <v>439900</v>
      </c>
      <c r="CU62" s="229">
        <v>8.48E-2</v>
      </c>
      <c r="CV62" s="230">
        <v>25312925</v>
      </c>
      <c r="CW62" s="230">
        <v>24242225</v>
      </c>
      <c r="CX62" s="230">
        <v>1070700</v>
      </c>
      <c r="CY62" s="229">
        <v>4.4200000000000003E-2</v>
      </c>
      <c r="CZ62" s="228">
        <v>31.9</v>
      </c>
      <c r="DA62" s="228">
        <v>30.87</v>
      </c>
      <c r="DB62" s="228">
        <v>1.03</v>
      </c>
      <c r="DC62" s="228">
        <v>1.03</v>
      </c>
      <c r="DD62" s="228">
        <v>41.87</v>
      </c>
      <c r="DE62" s="228">
        <v>41.97</v>
      </c>
      <c r="DF62" s="228">
        <v>-9.9700000000000006</v>
      </c>
      <c r="DG62" s="228">
        <v>-0.1</v>
      </c>
      <c r="DH62" s="228">
        <v>33.64</v>
      </c>
      <c r="DI62" s="228">
        <v>30.29</v>
      </c>
      <c r="DJ62" s="228">
        <v>3.35</v>
      </c>
      <c r="DK62" s="228">
        <v>3.35</v>
      </c>
      <c r="DL62" s="228">
        <v>28.47</v>
      </c>
      <c r="DM62" s="228">
        <v>32.270000000000003</v>
      </c>
      <c r="DN62" s="228">
        <v>-3.8</v>
      </c>
      <c r="DO62" s="228">
        <v>-3.8</v>
      </c>
      <c r="DP62" s="228">
        <v>0.82</v>
      </c>
      <c r="DQ62" s="228">
        <v>0.72</v>
      </c>
      <c r="DR62" s="228">
        <v>0.1</v>
      </c>
      <c r="DS62" s="229">
        <v>0.1389</v>
      </c>
      <c r="DT62" s="228">
        <v>430</v>
      </c>
      <c r="DU62" s="228">
        <v>410</v>
      </c>
      <c r="DV62" s="228">
        <v>0.51</v>
      </c>
      <c r="DW62" s="228">
        <v>0.41</v>
      </c>
      <c r="DX62" s="228">
        <v>0.1</v>
      </c>
      <c r="DY62" s="229">
        <v>0.24390000000000001</v>
      </c>
      <c r="DZ62" s="229">
        <v>0.10970000000000001</v>
      </c>
      <c r="EA62" s="230">
        <v>1068625</v>
      </c>
      <c r="EB62" s="229">
        <v>1.4E-3</v>
      </c>
      <c r="EC62" s="229">
        <v>0.10970000000000001</v>
      </c>
      <c r="ED62" s="228">
        <v>0.27</v>
      </c>
      <c r="EE62" s="229">
        <v>5.9999999999999995E-4</v>
      </c>
      <c r="EF62" s="230">
        <v>1672818</v>
      </c>
      <c r="EG62" s="230">
        <v>677926</v>
      </c>
      <c r="EH62" s="229">
        <v>1.4676</v>
      </c>
      <c r="EI62" s="229">
        <v>0.54979999999999996</v>
      </c>
      <c r="EJ62" s="231">
        <v>69556.399999999994</v>
      </c>
      <c r="EK62" s="231">
        <v>34149.68</v>
      </c>
      <c r="EL62" s="231">
        <v>32893.01</v>
      </c>
      <c r="EM62" s="228">
        <v>0</v>
      </c>
      <c r="EN62" s="231">
        <v>136599.09</v>
      </c>
      <c r="EO62" s="231">
        <v>66967.03</v>
      </c>
      <c r="EP62" s="231">
        <v>69632.06</v>
      </c>
      <c r="EQ62" s="229">
        <v>1.0398000000000001</v>
      </c>
      <c r="ER62" s="231">
        <v>29048</v>
      </c>
      <c r="ES62" s="231">
        <v>22357</v>
      </c>
      <c r="ET62" s="231">
        <v>55913</v>
      </c>
      <c r="EU62" s="231">
        <v>149116295</v>
      </c>
      <c r="EV62" s="231">
        <v>107318</v>
      </c>
      <c r="EW62" s="231">
        <v>102321</v>
      </c>
      <c r="EX62" s="231">
        <v>4997</v>
      </c>
      <c r="EY62" s="229">
        <v>4.8800000000000003E-2</v>
      </c>
      <c r="EZ62" s="229">
        <v>0.16980000000000001</v>
      </c>
      <c r="FA62" s="227" t="s">
        <v>555</v>
      </c>
      <c r="FB62" s="161">
        <f t="shared" si="0"/>
        <v>1506450</v>
      </c>
    </row>
    <row r="63" spans="1:158" ht="17.25" thickBot="1" x14ac:dyDescent="0.3">
      <c r="A63" s="226">
        <v>45860</v>
      </c>
      <c r="B63" s="227" t="s">
        <v>170</v>
      </c>
      <c r="C63" s="227" t="s">
        <v>205</v>
      </c>
      <c r="D63" s="228">
        <v>100</v>
      </c>
      <c r="E63" s="231">
        <v>6601</v>
      </c>
      <c r="F63" s="231">
        <v>6675.5</v>
      </c>
      <c r="G63" s="228">
        <v>-74.5</v>
      </c>
      <c r="H63" s="229">
        <v>-1.12E-2</v>
      </c>
      <c r="I63" s="231">
        <v>6613</v>
      </c>
      <c r="J63" s="231">
        <v>6688</v>
      </c>
      <c r="K63" s="228">
        <v>-75</v>
      </c>
      <c r="L63" s="229">
        <v>-1.12E-2</v>
      </c>
      <c r="M63" s="231">
        <v>6601</v>
      </c>
      <c r="N63" s="231">
        <v>6675.5</v>
      </c>
      <c r="O63" s="228">
        <v>-74.5</v>
      </c>
      <c r="P63" s="229">
        <v>-1.12E-2</v>
      </c>
      <c r="Q63" s="231">
        <v>6633</v>
      </c>
      <c r="R63" s="231">
        <v>6708.5</v>
      </c>
      <c r="S63" s="228">
        <v>-75.5</v>
      </c>
      <c r="T63" s="229">
        <v>-1.1299999999999999E-2</v>
      </c>
      <c r="U63" s="228">
        <v>0</v>
      </c>
      <c r="V63" s="228">
        <v>0</v>
      </c>
      <c r="W63" s="228">
        <v>0</v>
      </c>
      <c r="X63" s="229">
        <v>0</v>
      </c>
      <c r="Y63" s="228">
        <v>-12</v>
      </c>
      <c r="Z63" s="228">
        <v>-12.5</v>
      </c>
      <c r="AA63" s="228">
        <v>0.5</v>
      </c>
      <c r="AB63" s="229">
        <v>-1.8E-3</v>
      </c>
      <c r="AC63" s="228">
        <v>-12</v>
      </c>
      <c r="AD63" s="228">
        <v>-12.5</v>
      </c>
      <c r="AE63" s="228">
        <v>0.5</v>
      </c>
      <c r="AF63" s="229">
        <v>-1.8E-3</v>
      </c>
      <c r="AG63" s="228">
        <v>20</v>
      </c>
      <c r="AH63" s="228">
        <v>20.5</v>
      </c>
      <c r="AI63" s="228">
        <v>-0.5</v>
      </c>
      <c r="AJ63" s="229">
        <v>3.0000000000000001E-3</v>
      </c>
      <c r="AK63" s="228">
        <v>0</v>
      </c>
      <c r="AL63" s="228">
        <v>0</v>
      </c>
      <c r="AM63" s="228">
        <v>0</v>
      </c>
      <c r="AN63" s="229">
        <v>0</v>
      </c>
      <c r="AO63" s="231">
        <v>6606.98</v>
      </c>
      <c r="AP63" s="231">
        <v>6636.89</v>
      </c>
      <c r="AQ63" s="228">
        <v>0</v>
      </c>
      <c r="AR63" s="230">
        <v>298800</v>
      </c>
      <c r="AS63" s="230">
        <v>196900</v>
      </c>
      <c r="AT63" s="230">
        <v>101900</v>
      </c>
      <c r="AU63" s="229">
        <v>0.51749999999999996</v>
      </c>
      <c r="AV63" s="230">
        <v>204800</v>
      </c>
      <c r="AW63" s="230">
        <v>170800</v>
      </c>
      <c r="AX63" s="230">
        <v>34000</v>
      </c>
      <c r="AY63" s="229">
        <v>0.1991</v>
      </c>
      <c r="AZ63" s="230">
        <v>88100</v>
      </c>
      <c r="BA63" s="230">
        <v>24200</v>
      </c>
      <c r="BB63" s="230">
        <v>63900</v>
      </c>
      <c r="BC63" s="229">
        <v>2.6404999999999998</v>
      </c>
      <c r="BD63" s="228">
        <v>0</v>
      </c>
      <c r="BE63" s="228">
        <v>0</v>
      </c>
      <c r="BF63" s="228">
        <v>0</v>
      </c>
      <c r="BG63" s="229">
        <v>0</v>
      </c>
      <c r="BH63" s="230">
        <v>945200</v>
      </c>
      <c r="BI63" s="230">
        <v>744800</v>
      </c>
      <c r="BJ63" s="230">
        <v>200400</v>
      </c>
      <c r="BK63" s="229">
        <v>0.26910000000000001</v>
      </c>
      <c r="BL63" s="230">
        <v>451200</v>
      </c>
      <c r="BM63" s="230">
        <v>377900</v>
      </c>
      <c r="BN63" s="230">
        <v>73300</v>
      </c>
      <c r="BO63" s="229">
        <v>0.19400000000000001</v>
      </c>
      <c r="BP63" s="230">
        <v>1695200</v>
      </c>
      <c r="BQ63" s="230">
        <v>1319600</v>
      </c>
      <c r="BR63" s="230">
        <v>375600</v>
      </c>
      <c r="BS63" s="229">
        <v>0.28460000000000002</v>
      </c>
      <c r="BT63" s="230">
        <v>275078</v>
      </c>
      <c r="BU63" s="230">
        <v>153967</v>
      </c>
      <c r="BV63" s="230">
        <v>121111</v>
      </c>
      <c r="BW63" s="229">
        <v>0.78659999999999997</v>
      </c>
      <c r="BX63" s="230">
        <v>2916800</v>
      </c>
      <c r="BY63" s="230">
        <v>2882000</v>
      </c>
      <c r="BZ63" s="230">
        <v>34800</v>
      </c>
      <c r="CA63" s="229">
        <v>1.21E-2</v>
      </c>
      <c r="CB63" s="230">
        <v>2800500</v>
      </c>
      <c r="CC63" s="230">
        <v>2801900</v>
      </c>
      <c r="CD63" s="230">
        <v>-1400</v>
      </c>
      <c r="CE63" s="229">
        <v>-5.0000000000000001E-4</v>
      </c>
      <c r="CF63" s="230">
        <v>97600</v>
      </c>
      <c r="CG63" s="230">
        <v>62100</v>
      </c>
      <c r="CH63" s="230">
        <v>35500</v>
      </c>
      <c r="CI63" s="229">
        <v>0.57169999999999999</v>
      </c>
      <c r="CJ63" s="228">
        <v>0</v>
      </c>
      <c r="CK63" s="228">
        <v>0</v>
      </c>
      <c r="CL63" s="228">
        <v>0</v>
      </c>
      <c r="CM63" s="229">
        <v>0</v>
      </c>
      <c r="CN63" s="230">
        <v>1255400</v>
      </c>
      <c r="CO63" s="230">
        <v>1247600</v>
      </c>
      <c r="CP63" s="230">
        <v>7800</v>
      </c>
      <c r="CQ63" s="229">
        <v>6.3E-3</v>
      </c>
      <c r="CR63" s="230">
        <v>683100</v>
      </c>
      <c r="CS63" s="230">
        <v>695200</v>
      </c>
      <c r="CT63" s="230">
        <v>-12100</v>
      </c>
      <c r="CU63" s="229">
        <v>-1.7399999999999999E-2</v>
      </c>
      <c r="CV63" s="230">
        <v>4855300</v>
      </c>
      <c r="CW63" s="230">
        <v>4824800</v>
      </c>
      <c r="CX63" s="230">
        <v>30500</v>
      </c>
      <c r="CY63" s="229">
        <v>6.3E-3</v>
      </c>
      <c r="CZ63" s="228">
        <v>23.88</v>
      </c>
      <c r="DA63" s="228">
        <v>24.12</v>
      </c>
      <c r="DB63" s="228">
        <v>-0.24</v>
      </c>
      <c r="DC63" s="228">
        <v>-0.24</v>
      </c>
      <c r="DD63" s="228">
        <v>32.14</v>
      </c>
      <c r="DE63" s="228">
        <v>32.18</v>
      </c>
      <c r="DF63" s="228">
        <v>-8.26</v>
      </c>
      <c r="DG63" s="228">
        <v>-0.04</v>
      </c>
      <c r="DH63" s="228">
        <v>25.19</v>
      </c>
      <c r="DI63" s="228">
        <v>24.82</v>
      </c>
      <c r="DJ63" s="228">
        <v>0.37</v>
      </c>
      <c r="DK63" s="228">
        <v>0.37</v>
      </c>
      <c r="DL63" s="228">
        <v>21.15</v>
      </c>
      <c r="DM63" s="228">
        <v>22.74</v>
      </c>
      <c r="DN63" s="228">
        <v>-1.59</v>
      </c>
      <c r="DO63" s="228">
        <v>-1.59</v>
      </c>
      <c r="DP63" s="228">
        <v>0.54</v>
      </c>
      <c r="DQ63" s="228">
        <v>0.56000000000000005</v>
      </c>
      <c r="DR63" s="228">
        <v>-0.02</v>
      </c>
      <c r="DS63" s="229">
        <v>-3.5700000000000003E-2</v>
      </c>
      <c r="DT63" s="231">
        <v>7200</v>
      </c>
      <c r="DU63" s="231">
        <v>6300</v>
      </c>
      <c r="DV63" s="228">
        <v>0.48</v>
      </c>
      <c r="DW63" s="228">
        <v>0.51</v>
      </c>
      <c r="DX63" s="228">
        <v>-0.03</v>
      </c>
      <c r="DY63" s="229">
        <v>-5.8799999999999998E-2</v>
      </c>
      <c r="DZ63" s="229">
        <v>3.3500000000000002E-2</v>
      </c>
      <c r="EA63" s="230">
        <v>62100</v>
      </c>
      <c r="EB63" s="229">
        <v>4.7999999999999996E-3</v>
      </c>
      <c r="EC63" s="229">
        <v>3.3500000000000002E-2</v>
      </c>
      <c r="ED63" s="228">
        <v>29.91</v>
      </c>
      <c r="EE63" s="229">
        <v>4.4999999999999997E-3</v>
      </c>
      <c r="EF63" s="230">
        <v>167107</v>
      </c>
      <c r="EG63" s="230">
        <v>85349</v>
      </c>
      <c r="EH63" s="229">
        <v>0.95789999999999997</v>
      </c>
      <c r="EI63" s="229">
        <v>0.60750000000000004</v>
      </c>
      <c r="EJ63" s="231">
        <v>65436.09</v>
      </c>
      <c r="EK63" s="231">
        <v>29955.47</v>
      </c>
      <c r="EL63" s="231">
        <v>19771.75</v>
      </c>
      <c r="EM63" s="228">
        <v>0</v>
      </c>
      <c r="EN63" s="231">
        <v>115163.31</v>
      </c>
      <c r="EO63" s="231">
        <v>90358.12</v>
      </c>
      <c r="EP63" s="231">
        <v>24805.19</v>
      </c>
      <c r="EQ63" s="229">
        <v>0.27450000000000002</v>
      </c>
      <c r="ER63" s="231">
        <v>89119</v>
      </c>
      <c r="ES63" s="231">
        <v>43839</v>
      </c>
      <c r="ET63" s="231">
        <v>192581</v>
      </c>
      <c r="EU63" s="231">
        <v>25542698</v>
      </c>
      <c r="EV63" s="231">
        <v>325539</v>
      </c>
      <c r="EW63" s="231">
        <v>325950</v>
      </c>
      <c r="EX63" s="228">
        <v>-411</v>
      </c>
      <c r="EY63" s="229">
        <v>-1.2999999999999999E-3</v>
      </c>
      <c r="EZ63" s="229">
        <v>0.19009999999999999</v>
      </c>
      <c r="FA63" s="227" t="s">
        <v>567</v>
      </c>
      <c r="FB63" s="161">
        <f t="shared" si="0"/>
        <v>116300</v>
      </c>
    </row>
    <row r="64" spans="1:158" ht="17.25" thickBot="1" x14ac:dyDescent="0.3">
      <c r="A64" s="226">
        <v>45860</v>
      </c>
      <c r="B64" s="227" t="s">
        <v>184</v>
      </c>
      <c r="C64" s="227" t="s">
        <v>512</v>
      </c>
      <c r="D64" s="228">
        <v>50</v>
      </c>
      <c r="E64" s="231">
        <v>16134</v>
      </c>
      <c r="F64" s="231">
        <v>16335</v>
      </c>
      <c r="G64" s="228">
        <v>-201</v>
      </c>
      <c r="H64" s="229">
        <v>-1.23E-2</v>
      </c>
      <c r="I64" s="231">
        <v>16112</v>
      </c>
      <c r="J64" s="231">
        <v>16281</v>
      </c>
      <c r="K64" s="228">
        <v>-169</v>
      </c>
      <c r="L64" s="229">
        <v>-1.04E-2</v>
      </c>
      <c r="M64" s="231">
        <v>16134</v>
      </c>
      <c r="N64" s="231">
        <v>16335</v>
      </c>
      <c r="O64" s="228">
        <v>-201</v>
      </c>
      <c r="P64" s="229">
        <v>-1.23E-2</v>
      </c>
      <c r="Q64" s="231">
        <v>16201</v>
      </c>
      <c r="R64" s="231">
        <v>16412</v>
      </c>
      <c r="S64" s="228">
        <v>-211</v>
      </c>
      <c r="T64" s="229">
        <v>-1.29E-2</v>
      </c>
      <c r="U64" s="228">
        <v>0</v>
      </c>
      <c r="V64" s="228">
        <v>0</v>
      </c>
      <c r="W64" s="228">
        <v>0</v>
      </c>
      <c r="X64" s="229">
        <v>0</v>
      </c>
      <c r="Y64" s="228">
        <v>22</v>
      </c>
      <c r="Z64" s="228">
        <v>54</v>
      </c>
      <c r="AA64" s="228">
        <v>-32</v>
      </c>
      <c r="AB64" s="229">
        <v>1.4E-3</v>
      </c>
      <c r="AC64" s="228">
        <v>22</v>
      </c>
      <c r="AD64" s="228">
        <v>54</v>
      </c>
      <c r="AE64" s="228">
        <v>-32</v>
      </c>
      <c r="AF64" s="229">
        <v>1.4E-3</v>
      </c>
      <c r="AG64" s="228">
        <v>89</v>
      </c>
      <c r="AH64" s="228">
        <v>131</v>
      </c>
      <c r="AI64" s="228">
        <v>-42</v>
      </c>
      <c r="AJ64" s="229">
        <v>5.4999999999999997E-3</v>
      </c>
      <c r="AK64" s="228">
        <v>0</v>
      </c>
      <c r="AL64" s="228">
        <v>0</v>
      </c>
      <c r="AM64" s="228">
        <v>0</v>
      </c>
      <c r="AN64" s="229">
        <v>0</v>
      </c>
      <c r="AO64" s="231">
        <v>16193.44</v>
      </c>
      <c r="AP64" s="231">
        <v>16280.59</v>
      </c>
      <c r="AQ64" s="228">
        <v>0</v>
      </c>
      <c r="AR64" s="230">
        <v>588500</v>
      </c>
      <c r="AS64" s="230">
        <v>731550</v>
      </c>
      <c r="AT64" s="230">
        <v>-143050</v>
      </c>
      <c r="AU64" s="229">
        <v>-0.19550000000000001</v>
      </c>
      <c r="AV64" s="230">
        <v>501750</v>
      </c>
      <c r="AW64" s="230">
        <v>631750</v>
      </c>
      <c r="AX64" s="230">
        <v>-130000</v>
      </c>
      <c r="AY64" s="229">
        <v>-0.20580000000000001</v>
      </c>
      <c r="AZ64" s="230">
        <v>82550</v>
      </c>
      <c r="BA64" s="230">
        <v>88600</v>
      </c>
      <c r="BB64" s="230">
        <v>-6050</v>
      </c>
      <c r="BC64" s="229">
        <v>-6.83E-2</v>
      </c>
      <c r="BD64" s="228">
        <v>0</v>
      </c>
      <c r="BE64" s="228">
        <v>0</v>
      </c>
      <c r="BF64" s="228">
        <v>0</v>
      </c>
      <c r="BG64" s="229">
        <v>0</v>
      </c>
      <c r="BH64" s="230">
        <v>2523950</v>
      </c>
      <c r="BI64" s="230">
        <v>2738450</v>
      </c>
      <c r="BJ64" s="230">
        <v>-214500</v>
      </c>
      <c r="BK64" s="229">
        <v>-7.8299999999999995E-2</v>
      </c>
      <c r="BL64" s="230">
        <v>1709750</v>
      </c>
      <c r="BM64" s="230">
        <v>1371550</v>
      </c>
      <c r="BN64" s="230">
        <v>338200</v>
      </c>
      <c r="BO64" s="229">
        <v>0.24660000000000001</v>
      </c>
      <c r="BP64" s="230">
        <v>4822200</v>
      </c>
      <c r="BQ64" s="230">
        <v>4841550</v>
      </c>
      <c r="BR64" s="230">
        <v>-19350</v>
      </c>
      <c r="BS64" s="229">
        <v>-4.0000000000000001E-3</v>
      </c>
      <c r="BT64" s="230">
        <v>323846</v>
      </c>
      <c r="BU64" s="230">
        <v>558302</v>
      </c>
      <c r="BV64" s="230">
        <v>-234456</v>
      </c>
      <c r="BW64" s="229">
        <v>-0.4199</v>
      </c>
      <c r="BX64" s="230">
        <v>1712500</v>
      </c>
      <c r="BY64" s="230">
        <v>1691900</v>
      </c>
      <c r="BZ64" s="230">
        <v>20600</v>
      </c>
      <c r="CA64" s="229">
        <v>1.2200000000000001E-2</v>
      </c>
      <c r="CB64" s="230">
        <v>1556250</v>
      </c>
      <c r="CC64" s="230">
        <v>1563050</v>
      </c>
      <c r="CD64" s="230">
        <v>-6800</v>
      </c>
      <c r="CE64" s="229">
        <v>-4.4000000000000003E-3</v>
      </c>
      <c r="CF64" s="230">
        <v>137400</v>
      </c>
      <c r="CG64" s="230">
        <v>110850</v>
      </c>
      <c r="CH64" s="230">
        <v>26550</v>
      </c>
      <c r="CI64" s="229">
        <v>0.23949999999999999</v>
      </c>
      <c r="CJ64" s="228">
        <v>0</v>
      </c>
      <c r="CK64" s="228">
        <v>0</v>
      </c>
      <c r="CL64" s="228">
        <v>0</v>
      </c>
      <c r="CM64" s="229">
        <v>0</v>
      </c>
      <c r="CN64" s="230">
        <v>1381050</v>
      </c>
      <c r="CO64" s="230">
        <v>1078150</v>
      </c>
      <c r="CP64" s="230">
        <v>302900</v>
      </c>
      <c r="CQ64" s="229">
        <v>0.28089999999999998</v>
      </c>
      <c r="CR64" s="230">
        <v>1106950</v>
      </c>
      <c r="CS64" s="230">
        <v>950850</v>
      </c>
      <c r="CT64" s="230">
        <v>156100</v>
      </c>
      <c r="CU64" s="229">
        <v>0.16420000000000001</v>
      </c>
      <c r="CV64" s="230">
        <v>4200500</v>
      </c>
      <c r="CW64" s="230">
        <v>3720900</v>
      </c>
      <c r="CX64" s="230">
        <v>479600</v>
      </c>
      <c r="CY64" s="229">
        <v>0.12889999999999999</v>
      </c>
      <c r="CZ64" s="228">
        <v>50.77</v>
      </c>
      <c r="DA64" s="228">
        <v>47.3</v>
      </c>
      <c r="DB64" s="228">
        <v>3.47</v>
      </c>
      <c r="DC64" s="228">
        <v>3.47</v>
      </c>
      <c r="DD64" s="228">
        <v>48.47</v>
      </c>
      <c r="DE64" s="228">
        <v>48.57</v>
      </c>
      <c r="DF64" s="228">
        <v>2.2999999999999998</v>
      </c>
      <c r="DG64" s="228">
        <v>-0.1</v>
      </c>
      <c r="DH64" s="228">
        <v>50.21</v>
      </c>
      <c r="DI64" s="228">
        <v>46.59</v>
      </c>
      <c r="DJ64" s="228">
        <v>3.62</v>
      </c>
      <c r="DK64" s="228">
        <v>3.62</v>
      </c>
      <c r="DL64" s="228">
        <v>51.61</v>
      </c>
      <c r="DM64" s="228">
        <v>48.73</v>
      </c>
      <c r="DN64" s="228">
        <v>2.88</v>
      </c>
      <c r="DO64" s="228">
        <v>2.88</v>
      </c>
      <c r="DP64" s="228">
        <v>0.8</v>
      </c>
      <c r="DQ64" s="228">
        <v>0.88</v>
      </c>
      <c r="DR64" s="228">
        <v>-0.08</v>
      </c>
      <c r="DS64" s="229">
        <v>-9.0899999999999995E-2</v>
      </c>
      <c r="DT64" s="231">
        <v>17000</v>
      </c>
      <c r="DU64" s="231">
        <v>15000</v>
      </c>
      <c r="DV64" s="228">
        <v>0.68</v>
      </c>
      <c r="DW64" s="228">
        <v>0.5</v>
      </c>
      <c r="DX64" s="228">
        <v>0.18</v>
      </c>
      <c r="DY64" s="229">
        <v>0.36</v>
      </c>
      <c r="DZ64" s="229">
        <v>8.0199999999999994E-2</v>
      </c>
      <c r="EA64" s="230">
        <v>110850</v>
      </c>
      <c r="EB64" s="229">
        <v>4.1999999999999997E-3</v>
      </c>
      <c r="EC64" s="229">
        <v>8.0199999999999994E-2</v>
      </c>
      <c r="ED64" s="228">
        <v>87.15</v>
      </c>
      <c r="EE64" s="229">
        <v>5.4000000000000003E-3</v>
      </c>
      <c r="EF64" s="230">
        <v>133981</v>
      </c>
      <c r="EG64" s="230">
        <v>206050</v>
      </c>
      <c r="EH64" s="229">
        <v>-0.3498</v>
      </c>
      <c r="EI64" s="229">
        <v>0.41370000000000001</v>
      </c>
      <c r="EJ64" s="231">
        <v>435517.93</v>
      </c>
      <c r="EK64" s="231">
        <v>266011.28999999998</v>
      </c>
      <c r="EL64" s="231">
        <v>95376.37</v>
      </c>
      <c r="EM64" s="228">
        <v>0</v>
      </c>
      <c r="EN64" s="231">
        <v>796905.59</v>
      </c>
      <c r="EO64" s="231">
        <v>802661.49</v>
      </c>
      <c r="EP64" s="231">
        <v>-5755.9</v>
      </c>
      <c r="EQ64" s="229">
        <v>-7.1999999999999998E-3</v>
      </c>
      <c r="ER64" s="231">
        <v>228289</v>
      </c>
      <c r="ES64" s="231">
        <v>162813</v>
      </c>
      <c r="ET64" s="231">
        <v>276416</v>
      </c>
      <c r="EU64" s="231">
        <v>8159946</v>
      </c>
      <c r="EV64" s="231">
        <v>667518</v>
      </c>
      <c r="EW64" s="231">
        <v>592309</v>
      </c>
      <c r="EX64" s="231">
        <v>75209</v>
      </c>
      <c r="EY64" s="229">
        <v>0.127</v>
      </c>
      <c r="EZ64" s="229">
        <v>0.51480000000000004</v>
      </c>
      <c r="FA64" s="227" t="s">
        <v>567</v>
      </c>
      <c r="FB64" s="161">
        <f t="shared" si="0"/>
        <v>156250</v>
      </c>
    </row>
    <row r="65" spans="1:158" ht="17.25" thickBot="1" x14ac:dyDescent="0.3">
      <c r="A65" s="226">
        <v>45860</v>
      </c>
      <c r="B65" s="227" t="s">
        <v>206</v>
      </c>
      <c r="C65" s="227" t="s">
        <v>207</v>
      </c>
      <c r="D65" s="228">
        <v>825</v>
      </c>
      <c r="E65" s="228">
        <v>839.85</v>
      </c>
      <c r="F65" s="228">
        <v>847.7</v>
      </c>
      <c r="G65" s="228">
        <v>-7.85</v>
      </c>
      <c r="H65" s="229">
        <v>-9.2999999999999992E-3</v>
      </c>
      <c r="I65" s="228">
        <v>845.5</v>
      </c>
      <c r="J65" s="228">
        <v>852.6</v>
      </c>
      <c r="K65" s="228">
        <v>-7.1</v>
      </c>
      <c r="L65" s="229">
        <v>-8.3000000000000001E-3</v>
      </c>
      <c r="M65" s="228">
        <v>839.85</v>
      </c>
      <c r="N65" s="228">
        <v>847.7</v>
      </c>
      <c r="O65" s="228">
        <v>-7.85</v>
      </c>
      <c r="P65" s="229">
        <v>-9.2999999999999992E-3</v>
      </c>
      <c r="Q65" s="228">
        <v>843.3</v>
      </c>
      <c r="R65" s="228">
        <v>851.4</v>
      </c>
      <c r="S65" s="228">
        <v>-8.1</v>
      </c>
      <c r="T65" s="229">
        <v>-9.4999999999999998E-3</v>
      </c>
      <c r="U65" s="228">
        <v>0</v>
      </c>
      <c r="V65" s="228">
        <v>0</v>
      </c>
      <c r="W65" s="228">
        <v>0</v>
      </c>
      <c r="X65" s="229">
        <v>0</v>
      </c>
      <c r="Y65" s="228">
        <v>-5.65</v>
      </c>
      <c r="Z65" s="228">
        <v>-4.9000000000000004</v>
      </c>
      <c r="AA65" s="228">
        <v>-0.75</v>
      </c>
      <c r="AB65" s="229">
        <v>-6.7000000000000002E-3</v>
      </c>
      <c r="AC65" s="228">
        <v>-5.65</v>
      </c>
      <c r="AD65" s="228">
        <v>-4.9000000000000004</v>
      </c>
      <c r="AE65" s="228">
        <v>-0.75</v>
      </c>
      <c r="AF65" s="229">
        <v>-6.7000000000000002E-3</v>
      </c>
      <c r="AG65" s="228">
        <v>-2.2000000000000002</v>
      </c>
      <c r="AH65" s="228">
        <v>-1.2</v>
      </c>
      <c r="AI65" s="228">
        <v>-1</v>
      </c>
      <c r="AJ65" s="229">
        <v>-2.5999999999999999E-3</v>
      </c>
      <c r="AK65" s="228">
        <v>0</v>
      </c>
      <c r="AL65" s="228">
        <v>0</v>
      </c>
      <c r="AM65" s="228">
        <v>0</v>
      </c>
      <c r="AN65" s="229">
        <v>0</v>
      </c>
      <c r="AO65" s="228">
        <v>840.6</v>
      </c>
      <c r="AP65" s="228">
        <v>844.43</v>
      </c>
      <c r="AQ65" s="228">
        <v>0</v>
      </c>
      <c r="AR65" s="230">
        <v>5228850</v>
      </c>
      <c r="AS65" s="230">
        <v>3976500</v>
      </c>
      <c r="AT65" s="230">
        <v>1252350</v>
      </c>
      <c r="AU65" s="229">
        <v>0.31490000000000001</v>
      </c>
      <c r="AV65" s="230">
        <v>4284225</v>
      </c>
      <c r="AW65" s="230">
        <v>3379200</v>
      </c>
      <c r="AX65" s="230">
        <v>905025</v>
      </c>
      <c r="AY65" s="229">
        <v>0.26779999999999998</v>
      </c>
      <c r="AZ65" s="230">
        <v>900900</v>
      </c>
      <c r="BA65" s="230">
        <v>562650</v>
      </c>
      <c r="BB65" s="230">
        <v>338250</v>
      </c>
      <c r="BC65" s="229">
        <v>0.60119999999999996</v>
      </c>
      <c r="BD65" s="228">
        <v>0</v>
      </c>
      <c r="BE65" s="228">
        <v>0</v>
      </c>
      <c r="BF65" s="228">
        <v>0</v>
      </c>
      <c r="BG65" s="229">
        <v>0</v>
      </c>
      <c r="BH65" s="230">
        <v>14803800</v>
      </c>
      <c r="BI65" s="230">
        <v>12752025</v>
      </c>
      <c r="BJ65" s="230">
        <v>2051775</v>
      </c>
      <c r="BK65" s="229">
        <v>0.16089999999999999</v>
      </c>
      <c r="BL65" s="230">
        <v>7377975</v>
      </c>
      <c r="BM65" s="230">
        <v>5701575</v>
      </c>
      <c r="BN65" s="230">
        <v>1676400</v>
      </c>
      <c r="BO65" s="229">
        <v>0.29399999999999998</v>
      </c>
      <c r="BP65" s="230">
        <v>27410625</v>
      </c>
      <c r="BQ65" s="230">
        <v>22430100</v>
      </c>
      <c r="BR65" s="230">
        <v>4980525</v>
      </c>
      <c r="BS65" s="229">
        <v>0.222</v>
      </c>
      <c r="BT65" s="230">
        <v>2635750</v>
      </c>
      <c r="BU65" s="230">
        <v>1608796</v>
      </c>
      <c r="BV65" s="230">
        <v>1026954</v>
      </c>
      <c r="BW65" s="229">
        <v>0.63829999999999998</v>
      </c>
      <c r="BX65" s="230">
        <v>47030775</v>
      </c>
      <c r="BY65" s="230">
        <v>47241975</v>
      </c>
      <c r="BZ65" s="230">
        <v>-211200</v>
      </c>
      <c r="CA65" s="229">
        <v>-4.4999999999999997E-3</v>
      </c>
      <c r="CB65" s="230">
        <v>31040625</v>
      </c>
      <c r="CC65" s="230">
        <v>31331850</v>
      </c>
      <c r="CD65" s="230">
        <v>-291225</v>
      </c>
      <c r="CE65" s="229">
        <v>-9.2999999999999992E-3</v>
      </c>
      <c r="CF65" s="230">
        <v>15759150</v>
      </c>
      <c r="CG65" s="230">
        <v>15697275</v>
      </c>
      <c r="CH65" s="230">
        <v>61875</v>
      </c>
      <c r="CI65" s="229">
        <v>3.8999999999999998E-3</v>
      </c>
      <c r="CJ65" s="228">
        <v>0</v>
      </c>
      <c r="CK65" s="228">
        <v>0</v>
      </c>
      <c r="CL65" s="228">
        <v>0</v>
      </c>
      <c r="CM65" s="229">
        <v>0</v>
      </c>
      <c r="CN65" s="230">
        <v>17141025</v>
      </c>
      <c r="CO65" s="230">
        <v>17459475</v>
      </c>
      <c r="CP65" s="230">
        <v>-318450</v>
      </c>
      <c r="CQ65" s="229">
        <v>-1.8200000000000001E-2</v>
      </c>
      <c r="CR65" s="230">
        <v>9600525</v>
      </c>
      <c r="CS65" s="230">
        <v>9719325</v>
      </c>
      <c r="CT65" s="230">
        <v>-118800</v>
      </c>
      <c r="CU65" s="229">
        <v>-1.2200000000000001E-2</v>
      </c>
      <c r="CV65" s="230">
        <v>73772325</v>
      </c>
      <c r="CW65" s="230">
        <v>74420775</v>
      </c>
      <c r="CX65" s="230">
        <v>-648450</v>
      </c>
      <c r="CY65" s="229">
        <v>-8.6999999999999994E-3</v>
      </c>
      <c r="CZ65" s="228">
        <v>30.46</v>
      </c>
      <c r="DA65" s="228">
        <v>30.82</v>
      </c>
      <c r="DB65" s="228">
        <v>-0.36</v>
      </c>
      <c r="DC65" s="228">
        <v>-0.36</v>
      </c>
      <c r="DD65" s="228">
        <v>39.96</v>
      </c>
      <c r="DE65" s="228">
        <v>40.049999999999997</v>
      </c>
      <c r="DF65" s="228">
        <v>-9.5</v>
      </c>
      <c r="DG65" s="228">
        <v>-0.09</v>
      </c>
      <c r="DH65" s="228">
        <v>30.46</v>
      </c>
      <c r="DI65" s="228">
        <v>30.85</v>
      </c>
      <c r="DJ65" s="228">
        <v>-0.39</v>
      </c>
      <c r="DK65" s="228">
        <v>-0.39</v>
      </c>
      <c r="DL65" s="228">
        <v>30.47</v>
      </c>
      <c r="DM65" s="228">
        <v>30.77</v>
      </c>
      <c r="DN65" s="228">
        <v>-0.3</v>
      </c>
      <c r="DO65" s="228">
        <v>-0.3</v>
      </c>
      <c r="DP65" s="228">
        <v>0.56000000000000005</v>
      </c>
      <c r="DQ65" s="228">
        <v>0.56000000000000005</v>
      </c>
      <c r="DR65" s="228">
        <v>0</v>
      </c>
      <c r="DS65" s="229">
        <v>0</v>
      </c>
      <c r="DT65" s="228">
        <v>850</v>
      </c>
      <c r="DU65" s="228">
        <v>840</v>
      </c>
      <c r="DV65" s="228">
        <v>0.5</v>
      </c>
      <c r="DW65" s="228">
        <v>0.45</v>
      </c>
      <c r="DX65" s="228">
        <v>0.05</v>
      </c>
      <c r="DY65" s="229">
        <v>0.1111</v>
      </c>
      <c r="DZ65" s="229">
        <v>0.33510000000000001</v>
      </c>
      <c r="EA65" s="230">
        <v>15697275</v>
      </c>
      <c r="EB65" s="229">
        <v>4.1000000000000003E-3</v>
      </c>
      <c r="EC65" s="229">
        <v>0.33510000000000001</v>
      </c>
      <c r="ED65" s="228">
        <v>3.83</v>
      </c>
      <c r="EE65" s="229">
        <v>4.5999999999999999E-3</v>
      </c>
      <c r="EF65" s="230">
        <v>1407590</v>
      </c>
      <c r="EG65" s="230">
        <v>874996</v>
      </c>
      <c r="EH65" s="229">
        <v>0.60870000000000002</v>
      </c>
      <c r="EI65" s="229">
        <v>0.53400000000000003</v>
      </c>
      <c r="EJ65" s="231">
        <v>129267.16</v>
      </c>
      <c r="EK65" s="231">
        <v>62042.74</v>
      </c>
      <c r="EL65" s="231">
        <v>43991.97</v>
      </c>
      <c r="EM65" s="228">
        <v>0</v>
      </c>
      <c r="EN65" s="231">
        <v>235301.87</v>
      </c>
      <c r="EO65" s="231">
        <v>192698.85</v>
      </c>
      <c r="EP65" s="231">
        <v>42603.02</v>
      </c>
      <c r="EQ65" s="229">
        <v>0.22109999999999999</v>
      </c>
      <c r="ER65" s="231">
        <v>148608</v>
      </c>
      <c r="ES65" s="231">
        <v>77723</v>
      </c>
      <c r="ET65" s="231">
        <v>395551</v>
      </c>
      <c r="EU65" s="231">
        <v>128335464</v>
      </c>
      <c r="EV65" s="231">
        <v>621882</v>
      </c>
      <c r="EW65" s="231">
        <v>631305</v>
      </c>
      <c r="EX65" s="231">
        <v>-9423</v>
      </c>
      <c r="EY65" s="229">
        <v>-1.49E-2</v>
      </c>
      <c r="EZ65" s="229">
        <v>0.57479999999999998</v>
      </c>
      <c r="FA65" s="227" t="s">
        <v>568</v>
      </c>
      <c r="FB65" s="161">
        <f t="shared" si="0"/>
        <v>15990150</v>
      </c>
    </row>
    <row r="66" spans="1:158" ht="17.25" thickBot="1" x14ac:dyDescent="0.3">
      <c r="A66" s="226">
        <v>45860</v>
      </c>
      <c r="B66" s="227" t="s">
        <v>616</v>
      </c>
      <c r="C66" s="227" t="s">
        <v>584</v>
      </c>
      <c r="D66" s="228">
        <v>150</v>
      </c>
      <c r="E66" s="231">
        <v>4044.2</v>
      </c>
      <c r="F66" s="231">
        <v>4030.5</v>
      </c>
      <c r="G66" s="228">
        <v>13.7</v>
      </c>
      <c r="H66" s="229">
        <v>3.3999999999999998E-3</v>
      </c>
      <c r="I66" s="231">
        <v>4033.3</v>
      </c>
      <c r="J66" s="231">
        <v>4023.7</v>
      </c>
      <c r="K66" s="228">
        <v>9.6</v>
      </c>
      <c r="L66" s="229">
        <v>2.3999999999999998E-3</v>
      </c>
      <c r="M66" s="231">
        <v>4044.2</v>
      </c>
      <c r="N66" s="231">
        <v>4030.5</v>
      </c>
      <c r="O66" s="228">
        <v>13.7</v>
      </c>
      <c r="P66" s="229">
        <v>3.3999999999999998E-3</v>
      </c>
      <c r="Q66" s="231">
        <v>4049.5</v>
      </c>
      <c r="R66" s="231">
        <v>4033.8</v>
      </c>
      <c r="S66" s="228">
        <v>15.7</v>
      </c>
      <c r="T66" s="229">
        <v>3.8999999999999998E-3</v>
      </c>
      <c r="U66" s="228">
        <v>0</v>
      </c>
      <c r="V66" s="228">
        <v>0</v>
      </c>
      <c r="W66" s="228">
        <v>0</v>
      </c>
      <c r="X66" s="229">
        <v>0</v>
      </c>
      <c r="Y66" s="228">
        <v>10.9</v>
      </c>
      <c r="Z66" s="228">
        <v>6.8</v>
      </c>
      <c r="AA66" s="228">
        <v>4.0999999999999996</v>
      </c>
      <c r="AB66" s="229">
        <v>2.7000000000000001E-3</v>
      </c>
      <c r="AC66" s="228">
        <v>10.9</v>
      </c>
      <c r="AD66" s="228">
        <v>6.8</v>
      </c>
      <c r="AE66" s="228">
        <v>4.0999999999999996</v>
      </c>
      <c r="AF66" s="229">
        <v>2.7000000000000001E-3</v>
      </c>
      <c r="AG66" s="228">
        <v>16.2</v>
      </c>
      <c r="AH66" s="228">
        <v>10.1</v>
      </c>
      <c r="AI66" s="228">
        <v>6.1</v>
      </c>
      <c r="AJ66" s="229">
        <v>4.0000000000000001E-3</v>
      </c>
      <c r="AK66" s="228">
        <v>0</v>
      </c>
      <c r="AL66" s="228">
        <v>0</v>
      </c>
      <c r="AM66" s="228">
        <v>0</v>
      </c>
      <c r="AN66" s="229">
        <v>0</v>
      </c>
      <c r="AO66" s="231">
        <v>4045.88</v>
      </c>
      <c r="AP66" s="231">
        <v>4048.57</v>
      </c>
      <c r="AQ66" s="228">
        <v>0</v>
      </c>
      <c r="AR66" s="230">
        <v>602400</v>
      </c>
      <c r="AS66" s="230">
        <v>357750</v>
      </c>
      <c r="AT66" s="230">
        <v>244650</v>
      </c>
      <c r="AU66" s="229">
        <v>0.68389999999999995</v>
      </c>
      <c r="AV66" s="230">
        <v>489900</v>
      </c>
      <c r="AW66" s="230">
        <v>299850</v>
      </c>
      <c r="AX66" s="230">
        <v>190050</v>
      </c>
      <c r="AY66" s="229">
        <v>0.63380000000000003</v>
      </c>
      <c r="AZ66" s="230">
        <v>107400</v>
      </c>
      <c r="BA66" s="230">
        <v>53550</v>
      </c>
      <c r="BB66" s="230">
        <v>53850</v>
      </c>
      <c r="BC66" s="229">
        <v>1.0056</v>
      </c>
      <c r="BD66" s="228">
        <v>0</v>
      </c>
      <c r="BE66" s="228">
        <v>0</v>
      </c>
      <c r="BF66" s="228">
        <v>0</v>
      </c>
      <c r="BG66" s="229">
        <v>0</v>
      </c>
      <c r="BH66" s="230">
        <v>2737350</v>
      </c>
      <c r="BI66" s="230">
        <v>2107350</v>
      </c>
      <c r="BJ66" s="230">
        <v>630000</v>
      </c>
      <c r="BK66" s="229">
        <v>0.29899999999999999</v>
      </c>
      <c r="BL66" s="230">
        <v>859500</v>
      </c>
      <c r="BM66" s="230">
        <v>758700</v>
      </c>
      <c r="BN66" s="230">
        <v>100800</v>
      </c>
      <c r="BO66" s="229">
        <v>0.13289999999999999</v>
      </c>
      <c r="BP66" s="230">
        <v>4199250</v>
      </c>
      <c r="BQ66" s="230">
        <v>3223800</v>
      </c>
      <c r="BR66" s="230">
        <v>975450</v>
      </c>
      <c r="BS66" s="229">
        <v>0.30259999999999998</v>
      </c>
      <c r="BT66" s="230">
        <v>978697</v>
      </c>
      <c r="BU66" s="230">
        <v>428320</v>
      </c>
      <c r="BV66" s="230">
        <v>550377</v>
      </c>
      <c r="BW66" s="229">
        <v>1.2849999999999999</v>
      </c>
      <c r="BX66" s="230">
        <v>6440550</v>
      </c>
      <c r="BY66" s="230">
        <v>6426600</v>
      </c>
      <c r="BZ66" s="230">
        <v>13950</v>
      </c>
      <c r="CA66" s="229">
        <v>2.2000000000000001E-3</v>
      </c>
      <c r="CB66" s="230">
        <v>5647800</v>
      </c>
      <c r="CC66" s="230">
        <v>5670900</v>
      </c>
      <c r="CD66" s="230">
        <v>-23100</v>
      </c>
      <c r="CE66" s="229">
        <v>-4.1000000000000003E-3</v>
      </c>
      <c r="CF66" s="230">
        <v>750150</v>
      </c>
      <c r="CG66" s="230">
        <v>715350</v>
      </c>
      <c r="CH66" s="230">
        <v>34800</v>
      </c>
      <c r="CI66" s="229">
        <v>4.8599999999999997E-2</v>
      </c>
      <c r="CJ66" s="228">
        <v>0</v>
      </c>
      <c r="CK66" s="228">
        <v>0</v>
      </c>
      <c r="CL66" s="228">
        <v>0</v>
      </c>
      <c r="CM66" s="229">
        <v>0</v>
      </c>
      <c r="CN66" s="230">
        <v>3138900</v>
      </c>
      <c r="CO66" s="230">
        <v>3204150</v>
      </c>
      <c r="CP66" s="230">
        <v>-65250</v>
      </c>
      <c r="CQ66" s="229">
        <v>-2.0400000000000001E-2</v>
      </c>
      <c r="CR66" s="230">
        <v>1392000</v>
      </c>
      <c r="CS66" s="230">
        <v>1429200</v>
      </c>
      <c r="CT66" s="230">
        <v>-37200</v>
      </c>
      <c r="CU66" s="229">
        <v>-2.5999999999999999E-2</v>
      </c>
      <c r="CV66" s="230">
        <v>10971450</v>
      </c>
      <c r="CW66" s="230">
        <v>11059950</v>
      </c>
      <c r="CX66" s="230">
        <v>-88500</v>
      </c>
      <c r="CY66" s="229">
        <v>-8.0000000000000002E-3</v>
      </c>
      <c r="CZ66" s="228">
        <v>28.99</v>
      </c>
      <c r="DA66" s="228">
        <v>30.09</v>
      </c>
      <c r="DB66" s="228">
        <v>-1.1000000000000001</v>
      </c>
      <c r="DC66" s="228">
        <v>-1.1000000000000001</v>
      </c>
      <c r="DD66" s="228">
        <v>33.89</v>
      </c>
      <c r="DE66" s="228">
        <v>33.97</v>
      </c>
      <c r="DF66" s="228">
        <v>-4.9000000000000004</v>
      </c>
      <c r="DG66" s="228">
        <v>-0.08</v>
      </c>
      <c r="DH66" s="228">
        <v>29.27</v>
      </c>
      <c r="DI66" s="228">
        <v>30.67</v>
      </c>
      <c r="DJ66" s="228">
        <v>-1.4</v>
      </c>
      <c r="DK66" s="228">
        <v>-1.4</v>
      </c>
      <c r="DL66" s="228">
        <v>28.09</v>
      </c>
      <c r="DM66" s="228">
        <v>28.48</v>
      </c>
      <c r="DN66" s="228">
        <v>-0.39</v>
      </c>
      <c r="DO66" s="228">
        <v>-0.39</v>
      </c>
      <c r="DP66" s="228">
        <v>0.44</v>
      </c>
      <c r="DQ66" s="228">
        <v>0.45</v>
      </c>
      <c r="DR66" s="228">
        <v>-0.01</v>
      </c>
      <c r="DS66" s="229">
        <v>-2.2200000000000001E-2</v>
      </c>
      <c r="DT66" s="231">
        <v>4500</v>
      </c>
      <c r="DU66" s="231">
        <v>4000</v>
      </c>
      <c r="DV66" s="228">
        <v>0.31</v>
      </c>
      <c r="DW66" s="228">
        <v>0.36</v>
      </c>
      <c r="DX66" s="228">
        <v>-0.05</v>
      </c>
      <c r="DY66" s="229">
        <v>-0.1389</v>
      </c>
      <c r="DZ66" s="229">
        <v>0.11650000000000001</v>
      </c>
      <c r="EA66" s="230">
        <v>715350</v>
      </c>
      <c r="EB66" s="229">
        <v>1.2999999999999999E-3</v>
      </c>
      <c r="EC66" s="229">
        <v>0.11650000000000001</v>
      </c>
      <c r="ED66" s="228">
        <v>2.69</v>
      </c>
      <c r="EE66" s="229">
        <v>6.9999999999999999E-4</v>
      </c>
      <c r="EF66" s="230">
        <v>758457</v>
      </c>
      <c r="EG66" s="230">
        <v>277576</v>
      </c>
      <c r="EH66" s="229">
        <v>1.7323999999999999</v>
      </c>
      <c r="EI66" s="229">
        <v>0.77500000000000002</v>
      </c>
      <c r="EJ66" s="231">
        <v>116678.01</v>
      </c>
      <c r="EK66" s="231">
        <v>33692.93</v>
      </c>
      <c r="EL66" s="231">
        <v>24375.79</v>
      </c>
      <c r="EM66" s="228">
        <v>0</v>
      </c>
      <c r="EN66" s="231">
        <v>174746.73</v>
      </c>
      <c r="EO66" s="231">
        <v>134636.26999999999</v>
      </c>
      <c r="EP66" s="231">
        <v>40110.46</v>
      </c>
      <c r="EQ66" s="229">
        <v>0.2979</v>
      </c>
      <c r="ER66" s="231">
        <v>137617</v>
      </c>
      <c r="ES66" s="231">
        <v>55366</v>
      </c>
      <c r="ET66" s="231">
        <v>260516</v>
      </c>
      <c r="EU66" s="231">
        <v>32997182</v>
      </c>
      <c r="EV66" s="231">
        <v>453499</v>
      </c>
      <c r="EW66" s="231">
        <v>456538</v>
      </c>
      <c r="EX66" s="231">
        <v>-3039</v>
      </c>
      <c r="EY66" s="229">
        <v>-6.7000000000000002E-3</v>
      </c>
      <c r="EZ66" s="229">
        <v>0.33250000000000002</v>
      </c>
      <c r="FA66" s="227" t="s">
        <v>555</v>
      </c>
      <c r="FB66" s="161">
        <f t="shared" si="0"/>
        <v>792750</v>
      </c>
    </row>
    <row r="67" spans="1:158" ht="17.25" thickBot="1" x14ac:dyDescent="0.3">
      <c r="A67" s="226">
        <v>45860</v>
      </c>
      <c r="B67" s="227" t="s">
        <v>170</v>
      </c>
      <c r="C67" s="227" t="s">
        <v>208</v>
      </c>
      <c r="D67" s="228">
        <v>625</v>
      </c>
      <c r="E67" s="231">
        <v>1240.9000000000001</v>
      </c>
      <c r="F67" s="231">
        <v>1259.8</v>
      </c>
      <c r="G67" s="228">
        <v>-18.899999999999999</v>
      </c>
      <c r="H67" s="229">
        <v>-1.4999999999999999E-2</v>
      </c>
      <c r="I67" s="231">
        <v>1240</v>
      </c>
      <c r="J67" s="231">
        <v>1259.3</v>
      </c>
      <c r="K67" s="228">
        <v>-19.3</v>
      </c>
      <c r="L67" s="229">
        <v>-1.5299999999999999E-2</v>
      </c>
      <c r="M67" s="231">
        <v>1240.9000000000001</v>
      </c>
      <c r="N67" s="231">
        <v>1259.8</v>
      </c>
      <c r="O67" s="228">
        <v>-18.899999999999999</v>
      </c>
      <c r="P67" s="229">
        <v>-1.4999999999999999E-2</v>
      </c>
      <c r="Q67" s="231">
        <v>1247</v>
      </c>
      <c r="R67" s="231">
        <v>1264.2</v>
      </c>
      <c r="S67" s="228">
        <v>-17.2</v>
      </c>
      <c r="T67" s="229">
        <v>-1.3599999999999999E-2</v>
      </c>
      <c r="U67" s="228">
        <v>0</v>
      </c>
      <c r="V67" s="228">
        <v>0</v>
      </c>
      <c r="W67" s="228">
        <v>0</v>
      </c>
      <c r="X67" s="229">
        <v>0</v>
      </c>
      <c r="Y67" s="228">
        <v>0.9</v>
      </c>
      <c r="Z67" s="228">
        <v>0.5</v>
      </c>
      <c r="AA67" s="228">
        <v>0.4</v>
      </c>
      <c r="AB67" s="229">
        <v>6.9999999999999999E-4</v>
      </c>
      <c r="AC67" s="228">
        <v>0.9</v>
      </c>
      <c r="AD67" s="228">
        <v>0.5</v>
      </c>
      <c r="AE67" s="228">
        <v>0.4</v>
      </c>
      <c r="AF67" s="229">
        <v>6.9999999999999999E-4</v>
      </c>
      <c r="AG67" s="228">
        <v>7</v>
      </c>
      <c r="AH67" s="228">
        <v>4.9000000000000004</v>
      </c>
      <c r="AI67" s="228">
        <v>2.1</v>
      </c>
      <c r="AJ67" s="229">
        <v>5.5999999999999999E-3</v>
      </c>
      <c r="AK67" s="228">
        <v>0</v>
      </c>
      <c r="AL67" s="228">
        <v>0</v>
      </c>
      <c r="AM67" s="228">
        <v>0</v>
      </c>
      <c r="AN67" s="229">
        <v>0</v>
      </c>
      <c r="AO67" s="231">
        <v>1244.3699999999999</v>
      </c>
      <c r="AP67" s="231">
        <v>1250.47</v>
      </c>
      <c r="AQ67" s="228">
        <v>0</v>
      </c>
      <c r="AR67" s="230">
        <v>3487500</v>
      </c>
      <c r="AS67" s="230">
        <v>1587500</v>
      </c>
      <c r="AT67" s="230">
        <v>1900000</v>
      </c>
      <c r="AU67" s="229">
        <v>1.1969000000000001</v>
      </c>
      <c r="AV67" s="230">
        <v>3107500</v>
      </c>
      <c r="AW67" s="230">
        <v>1316875</v>
      </c>
      <c r="AX67" s="230">
        <v>1790625</v>
      </c>
      <c r="AY67" s="229">
        <v>1.3597999999999999</v>
      </c>
      <c r="AZ67" s="230">
        <v>356875</v>
      </c>
      <c r="BA67" s="230">
        <v>265625</v>
      </c>
      <c r="BB67" s="230">
        <v>91250</v>
      </c>
      <c r="BC67" s="229">
        <v>0.34350000000000003</v>
      </c>
      <c r="BD67" s="228">
        <v>0</v>
      </c>
      <c r="BE67" s="228">
        <v>0</v>
      </c>
      <c r="BF67" s="228">
        <v>0</v>
      </c>
      <c r="BG67" s="229">
        <v>0</v>
      </c>
      <c r="BH67" s="230">
        <v>6073125</v>
      </c>
      <c r="BI67" s="230">
        <v>3055000</v>
      </c>
      <c r="BJ67" s="230">
        <v>3018125</v>
      </c>
      <c r="BK67" s="229">
        <v>0.9879</v>
      </c>
      <c r="BL67" s="230">
        <v>5135000</v>
      </c>
      <c r="BM67" s="230">
        <v>1510625</v>
      </c>
      <c r="BN67" s="230">
        <v>3624375</v>
      </c>
      <c r="BO67" s="229">
        <v>2.3993000000000002</v>
      </c>
      <c r="BP67" s="230">
        <v>14695625</v>
      </c>
      <c r="BQ67" s="230">
        <v>6153125</v>
      </c>
      <c r="BR67" s="230">
        <v>8542500</v>
      </c>
      <c r="BS67" s="229">
        <v>1.3883000000000001</v>
      </c>
      <c r="BT67" s="230">
        <v>1369353</v>
      </c>
      <c r="BU67" s="230">
        <v>1225500</v>
      </c>
      <c r="BV67" s="230">
        <v>143853</v>
      </c>
      <c r="BW67" s="229">
        <v>0.1174</v>
      </c>
      <c r="BX67" s="230">
        <v>12191875</v>
      </c>
      <c r="BY67" s="230">
        <v>11865625</v>
      </c>
      <c r="BZ67" s="230">
        <v>326250</v>
      </c>
      <c r="CA67" s="229">
        <v>2.75E-2</v>
      </c>
      <c r="CB67" s="230">
        <v>11163125</v>
      </c>
      <c r="CC67" s="230">
        <v>10970625</v>
      </c>
      <c r="CD67" s="230">
        <v>192500</v>
      </c>
      <c r="CE67" s="229">
        <v>1.7500000000000002E-2</v>
      </c>
      <c r="CF67" s="230">
        <v>958750</v>
      </c>
      <c r="CG67" s="230">
        <v>836875</v>
      </c>
      <c r="CH67" s="230">
        <v>121875</v>
      </c>
      <c r="CI67" s="229">
        <v>0.14560000000000001</v>
      </c>
      <c r="CJ67" s="228">
        <v>0</v>
      </c>
      <c r="CK67" s="228">
        <v>0</v>
      </c>
      <c r="CL67" s="228">
        <v>0</v>
      </c>
      <c r="CM67" s="229">
        <v>0</v>
      </c>
      <c r="CN67" s="230">
        <v>11045625</v>
      </c>
      <c r="CO67" s="230">
        <v>10888750</v>
      </c>
      <c r="CP67" s="230">
        <v>156875</v>
      </c>
      <c r="CQ67" s="229">
        <v>1.44E-2</v>
      </c>
      <c r="CR67" s="230">
        <v>5228125</v>
      </c>
      <c r="CS67" s="230">
        <v>5017500</v>
      </c>
      <c r="CT67" s="230">
        <v>210625</v>
      </c>
      <c r="CU67" s="229">
        <v>4.2000000000000003E-2</v>
      </c>
      <c r="CV67" s="230">
        <v>28465625</v>
      </c>
      <c r="CW67" s="230">
        <v>27771875</v>
      </c>
      <c r="CX67" s="230">
        <v>693750</v>
      </c>
      <c r="CY67" s="229">
        <v>2.5000000000000001E-2</v>
      </c>
      <c r="CZ67" s="228">
        <v>31.43</v>
      </c>
      <c r="DA67" s="228">
        <v>30.1</v>
      </c>
      <c r="DB67" s="228">
        <v>1.33</v>
      </c>
      <c r="DC67" s="228">
        <v>1.33</v>
      </c>
      <c r="DD67" s="228">
        <v>25.21</v>
      </c>
      <c r="DE67" s="228">
        <v>25.19</v>
      </c>
      <c r="DF67" s="228">
        <v>6.22</v>
      </c>
      <c r="DG67" s="228">
        <v>0.02</v>
      </c>
      <c r="DH67" s="228">
        <v>31.66</v>
      </c>
      <c r="DI67" s="228">
        <v>29.84</v>
      </c>
      <c r="DJ67" s="228">
        <v>1.82</v>
      </c>
      <c r="DK67" s="228">
        <v>1.82</v>
      </c>
      <c r="DL67" s="228">
        <v>31.15</v>
      </c>
      <c r="DM67" s="228">
        <v>30.61</v>
      </c>
      <c r="DN67" s="228">
        <v>0.54</v>
      </c>
      <c r="DO67" s="228">
        <v>0.54</v>
      </c>
      <c r="DP67" s="228">
        <v>0.47</v>
      </c>
      <c r="DQ67" s="228">
        <v>0.46</v>
      </c>
      <c r="DR67" s="228">
        <v>0.01</v>
      </c>
      <c r="DS67" s="229">
        <v>2.1700000000000001E-2</v>
      </c>
      <c r="DT67" s="231">
        <v>1300</v>
      </c>
      <c r="DU67" s="231">
        <v>1100</v>
      </c>
      <c r="DV67" s="228">
        <v>0.85</v>
      </c>
      <c r="DW67" s="228">
        <v>0.49</v>
      </c>
      <c r="DX67" s="228">
        <v>0.36</v>
      </c>
      <c r="DY67" s="229">
        <v>0.73470000000000002</v>
      </c>
      <c r="DZ67" s="229">
        <v>7.8600000000000003E-2</v>
      </c>
      <c r="EA67" s="230">
        <v>836875</v>
      </c>
      <c r="EB67" s="229">
        <v>4.8999999999999998E-3</v>
      </c>
      <c r="EC67" s="229">
        <v>7.8600000000000003E-2</v>
      </c>
      <c r="ED67" s="228">
        <v>6.1</v>
      </c>
      <c r="EE67" s="229">
        <v>4.8999999999999998E-3</v>
      </c>
      <c r="EF67" s="230">
        <v>706780</v>
      </c>
      <c r="EG67" s="230">
        <v>792467</v>
      </c>
      <c r="EH67" s="229">
        <v>-0.1081</v>
      </c>
      <c r="EI67" s="229">
        <v>0.5161</v>
      </c>
      <c r="EJ67" s="231">
        <v>79446.740000000005</v>
      </c>
      <c r="EK67" s="231">
        <v>64253.93</v>
      </c>
      <c r="EL67" s="231">
        <v>43421.06</v>
      </c>
      <c r="EM67" s="228">
        <v>0</v>
      </c>
      <c r="EN67" s="231">
        <v>187121.73</v>
      </c>
      <c r="EO67" s="231">
        <v>79373.06</v>
      </c>
      <c r="EP67" s="231">
        <v>107748.67</v>
      </c>
      <c r="EQ67" s="229">
        <v>1.3574999999999999</v>
      </c>
      <c r="ER67" s="231">
        <v>149074</v>
      </c>
      <c r="ES67" s="231">
        <v>63079</v>
      </c>
      <c r="ET67" s="231">
        <v>151354</v>
      </c>
      <c r="EU67" s="231">
        <v>121939493</v>
      </c>
      <c r="EV67" s="231">
        <v>363507</v>
      </c>
      <c r="EW67" s="231">
        <v>357329</v>
      </c>
      <c r="EX67" s="231">
        <v>6178</v>
      </c>
      <c r="EY67" s="229">
        <v>1.7299999999999999E-2</v>
      </c>
      <c r="EZ67" s="229">
        <v>0.2334</v>
      </c>
      <c r="FA67" s="227" t="s">
        <v>567</v>
      </c>
      <c r="FB67" s="161">
        <f t="shared" ref="FB67:FB130" si="1">BX67-CB67</f>
        <v>1028750</v>
      </c>
    </row>
    <row r="68" spans="1:158" ht="17.25" thickBot="1" x14ac:dyDescent="0.3">
      <c r="A68" s="226">
        <v>45860</v>
      </c>
      <c r="B68" s="227" t="s">
        <v>162</v>
      </c>
      <c r="C68" s="227" t="s">
        <v>209</v>
      </c>
      <c r="D68" s="228">
        <v>175</v>
      </c>
      <c r="E68" s="231">
        <v>5455.5</v>
      </c>
      <c r="F68" s="231">
        <v>5576</v>
      </c>
      <c r="G68" s="228">
        <v>-120.5</v>
      </c>
      <c r="H68" s="229">
        <v>-2.1600000000000001E-2</v>
      </c>
      <c r="I68" s="231">
        <v>5439.5</v>
      </c>
      <c r="J68" s="231">
        <v>5558</v>
      </c>
      <c r="K68" s="228">
        <v>-118.5</v>
      </c>
      <c r="L68" s="229">
        <v>-2.1299999999999999E-2</v>
      </c>
      <c r="M68" s="231">
        <v>5455.5</v>
      </c>
      <c r="N68" s="231">
        <v>5576</v>
      </c>
      <c r="O68" s="228">
        <v>-120.5</v>
      </c>
      <c r="P68" s="229">
        <v>-2.1600000000000001E-2</v>
      </c>
      <c r="Q68" s="231">
        <v>5412</v>
      </c>
      <c r="R68" s="231">
        <v>5534.5</v>
      </c>
      <c r="S68" s="228">
        <v>-122.5</v>
      </c>
      <c r="T68" s="229">
        <v>-2.2100000000000002E-2</v>
      </c>
      <c r="U68" s="228">
        <v>0</v>
      </c>
      <c r="V68" s="228">
        <v>0</v>
      </c>
      <c r="W68" s="228">
        <v>0</v>
      </c>
      <c r="X68" s="229">
        <v>0</v>
      </c>
      <c r="Y68" s="228">
        <v>16</v>
      </c>
      <c r="Z68" s="228">
        <v>18</v>
      </c>
      <c r="AA68" s="228">
        <v>-2</v>
      </c>
      <c r="AB68" s="229">
        <v>2.8999999999999998E-3</v>
      </c>
      <c r="AC68" s="228">
        <v>16</v>
      </c>
      <c r="AD68" s="228">
        <v>18</v>
      </c>
      <c r="AE68" s="228">
        <v>-2</v>
      </c>
      <c r="AF68" s="229">
        <v>2.8999999999999998E-3</v>
      </c>
      <c r="AG68" s="228">
        <v>-27.5</v>
      </c>
      <c r="AH68" s="228">
        <v>-23.5</v>
      </c>
      <c r="AI68" s="228">
        <v>-4</v>
      </c>
      <c r="AJ68" s="229">
        <v>-5.1000000000000004E-3</v>
      </c>
      <c r="AK68" s="228">
        <v>0</v>
      </c>
      <c r="AL68" s="228">
        <v>0</v>
      </c>
      <c r="AM68" s="228">
        <v>0</v>
      </c>
      <c r="AN68" s="229">
        <v>0</v>
      </c>
      <c r="AO68" s="231">
        <v>5491.04</v>
      </c>
      <c r="AP68" s="231">
        <v>5442.95</v>
      </c>
      <c r="AQ68" s="228">
        <v>0</v>
      </c>
      <c r="AR68" s="230">
        <v>446250</v>
      </c>
      <c r="AS68" s="230">
        <v>296450</v>
      </c>
      <c r="AT68" s="230">
        <v>149800</v>
      </c>
      <c r="AU68" s="229">
        <v>0.50529999999999997</v>
      </c>
      <c r="AV68" s="230">
        <v>348075</v>
      </c>
      <c r="AW68" s="230">
        <v>261625</v>
      </c>
      <c r="AX68" s="230">
        <v>86450</v>
      </c>
      <c r="AY68" s="229">
        <v>0.33040000000000003</v>
      </c>
      <c r="AZ68" s="230">
        <v>91525</v>
      </c>
      <c r="BA68" s="230">
        <v>34125</v>
      </c>
      <c r="BB68" s="230">
        <v>57400</v>
      </c>
      <c r="BC68" s="229">
        <v>1.6820999999999999</v>
      </c>
      <c r="BD68" s="228">
        <v>0</v>
      </c>
      <c r="BE68" s="228">
        <v>0</v>
      </c>
      <c r="BF68" s="228">
        <v>0</v>
      </c>
      <c r="BG68" s="229">
        <v>0</v>
      </c>
      <c r="BH68" s="230">
        <v>2003050</v>
      </c>
      <c r="BI68" s="230">
        <v>1147650</v>
      </c>
      <c r="BJ68" s="230">
        <v>855400</v>
      </c>
      <c r="BK68" s="229">
        <v>0.74529999999999996</v>
      </c>
      <c r="BL68" s="230">
        <v>1245300</v>
      </c>
      <c r="BM68" s="230">
        <v>758975</v>
      </c>
      <c r="BN68" s="230">
        <v>486325</v>
      </c>
      <c r="BO68" s="229">
        <v>0.64080000000000004</v>
      </c>
      <c r="BP68" s="230">
        <v>3694600</v>
      </c>
      <c r="BQ68" s="230">
        <v>2203075</v>
      </c>
      <c r="BR68" s="230">
        <v>1491525</v>
      </c>
      <c r="BS68" s="229">
        <v>0.67700000000000005</v>
      </c>
      <c r="BT68" s="230">
        <v>609927</v>
      </c>
      <c r="BU68" s="230">
        <v>216435</v>
      </c>
      <c r="BV68" s="230">
        <v>393492</v>
      </c>
      <c r="BW68" s="229">
        <v>1.8181</v>
      </c>
      <c r="BX68" s="230">
        <v>2885050</v>
      </c>
      <c r="BY68" s="230">
        <v>2769725</v>
      </c>
      <c r="BZ68" s="230">
        <v>115325</v>
      </c>
      <c r="CA68" s="229">
        <v>4.1599999999999998E-2</v>
      </c>
      <c r="CB68" s="230">
        <v>2315250</v>
      </c>
      <c r="CC68" s="230">
        <v>2259775</v>
      </c>
      <c r="CD68" s="230">
        <v>55475</v>
      </c>
      <c r="CE68" s="229">
        <v>2.4500000000000001E-2</v>
      </c>
      <c r="CF68" s="230">
        <v>557375</v>
      </c>
      <c r="CG68" s="230">
        <v>501200</v>
      </c>
      <c r="CH68" s="230">
        <v>56175</v>
      </c>
      <c r="CI68" s="229">
        <v>0.11210000000000001</v>
      </c>
      <c r="CJ68" s="228">
        <v>0</v>
      </c>
      <c r="CK68" s="228">
        <v>0</v>
      </c>
      <c r="CL68" s="228">
        <v>0</v>
      </c>
      <c r="CM68" s="229">
        <v>0</v>
      </c>
      <c r="CN68" s="230">
        <v>1888600</v>
      </c>
      <c r="CO68" s="230">
        <v>1659700</v>
      </c>
      <c r="CP68" s="230">
        <v>228900</v>
      </c>
      <c r="CQ68" s="229">
        <v>0.13789999999999999</v>
      </c>
      <c r="CR68" s="230">
        <v>979125</v>
      </c>
      <c r="CS68" s="230">
        <v>904750</v>
      </c>
      <c r="CT68" s="230">
        <v>74375</v>
      </c>
      <c r="CU68" s="229">
        <v>8.2199999999999995E-2</v>
      </c>
      <c r="CV68" s="230">
        <v>5752775</v>
      </c>
      <c r="CW68" s="230">
        <v>5334175</v>
      </c>
      <c r="CX68" s="230">
        <v>418600</v>
      </c>
      <c r="CY68" s="229">
        <v>7.85E-2</v>
      </c>
      <c r="CZ68" s="228">
        <v>21.76</v>
      </c>
      <c r="DA68" s="228">
        <v>19.170000000000002</v>
      </c>
      <c r="DB68" s="228">
        <v>2.59</v>
      </c>
      <c r="DC68" s="228">
        <v>2.59</v>
      </c>
      <c r="DD68" s="228">
        <v>29.75</v>
      </c>
      <c r="DE68" s="228">
        <v>29.68</v>
      </c>
      <c r="DF68" s="228">
        <v>-7.99</v>
      </c>
      <c r="DG68" s="228">
        <v>7.0000000000000007E-2</v>
      </c>
      <c r="DH68" s="228">
        <v>22.12</v>
      </c>
      <c r="DI68" s="228">
        <v>19</v>
      </c>
      <c r="DJ68" s="228">
        <v>3.12</v>
      </c>
      <c r="DK68" s="228">
        <v>3.12</v>
      </c>
      <c r="DL68" s="228">
        <v>21.2</v>
      </c>
      <c r="DM68" s="228">
        <v>19.440000000000001</v>
      </c>
      <c r="DN68" s="228">
        <v>1.76</v>
      </c>
      <c r="DO68" s="228">
        <v>1.76</v>
      </c>
      <c r="DP68" s="228">
        <v>0.52</v>
      </c>
      <c r="DQ68" s="228">
        <v>0.55000000000000004</v>
      </c>
      <c r="DR68" s="228">
        <v>-0.03</v>
      </c>
      <c r="DS68" s="229">
        <v>-5.45E-2</v>
      </c>
      <c r="DT68" s="231">
        <v>5800</v>
      </c>
      <c r="DU68" s="231">
        <v>5800</v>
      </c>
      <c r="DV68" s="228">
        <v>0.62</v>
      </c>
      <c r="DW68" s="228">
        <v>0.66</v>
      </c>
      <c r="DX68" s="228">
        <v>-0.04</v>
      </c>
      <c r="DY68" s="229">
        <v>-6.0600000000000001E-2</v>
      </c>
      <c r="DZ68" s="229">
        <v>0.19320000000000001</v>
      </c>
      <c r="EA68" s="230">
        <v>501200</v>
      </c>
      <c r="EB68" s="229">
        <v>-8.0000000000000002E-3</v>
      </c>
      <c r="EC68" s="229">
        <v>0.19320000000000001</v>
      </c>
      <c r="ED68" s="228">
        <v>-48.09</v>
      </c>
      <c r="EE68" s="229">
        <v>-8.8000000000000005E-3</v>
      </c>
      <c r="EF68" s="230">
        <v>350100</v>
      </c>
      <c r="EG68" s="230">
        <v>140693</v>
      </c>
      <c r="EH68" s="229">
        <v>1.4883999999999999</v>
      </c>
      <c r="EI68" s="229">
        <v>0.57399999999999995</v>
      </c>
      <c r="EJ68" s="231">
        <v>113771.52</v>
      </c>
      <c r="EK68" s="231">
        <v>68104.47</v>
      </c>
      <c r="EL68" s="231">
        <v>24458.799999999999</v>
      </c>
      <c r="EM68" s="228">
        <v>0</v>
      </c>
      <c r="EN68" s="231">
        <v>206334.79</v>
      </c>
      <c r="EO68" s="231">
        <v>124971.75</v>
      </c>
      <c r="EP68" s="231">
        <v>81363.039999999994</v>
      </c>
      <c r="EQ68" s="229">
        <v>0.65110000000000001</v>
      </c>
      <c r="ER68" s="231">
        <v>110019</v>
      </c>
      <c r="ES68" s="231">
        <v>52437</v>
      </c>
      <c r="ET68" s="231">
        <v>157150</v>
      </c>
      <c r="EU68" s="231">
        <v>27919827</v>
      </c>
      <c r="EV68" s="231">
        <v>319606</v>
      </c>
      <c r="EW68" s="231">
        <v>300109</v>
      </c>
      <c r="EX68" s="231">
        <v>19497</v>
      </c>
      <c r="EY68" s="229">
        <v>6.5000000000000002E-2</v>
      </c>
      <c r="EZ68" s="229">
        <v>0.20599999999999999</v>
      </c>
      <c r="FA68" s="227" t="s">
        <v>567</v>
      </c>
      <c r="FB68" s="161">
        <f t="shared" si="1"/>
        <v>569800</v>
      </c>
    </row>
    <row r="69" spans="1:158" ht="17.25" thickBot="1" x14ac:dyDescent="0.3">
      <c r="A69" s="226">
        <v>45860</v>
      </c>
      <c r="B69" s="227" t="s">
        <v>616</v>
      </c>
      <c r="C69" s="227" t="s">
        <v>669</v>
      </c>
      <c r="D69" s="228">
        <v>2425</v>
      </c>
      <c r="E69" s="228">
        <v>300.75</v>
      </c>
      <c r="F69" s="228">
        <v>271.39999999999998</v>
      </c>
      <c r="G69" s="228">
        <v>29.35</v>
      </c>
      <c r="H69" s="229">
        <v>0.1081</v>
      </c>
      <c r="I69" s="228">
        <v>299.8</v>
      </c>
      <c r="J69" s="228">
        <v>271.7</v>
      </c>
      <c r="K69" s="228">
        <v>28.1</v>
      </c>
      <c r="L69" s="229">
        <v>0.10340000000000001</v>
      </c>
      <c r="M69" s="228">
        <v>300.75</v>
      </c>
      <c r="N69" s="228">
        <v>271.39999999999998</v>
      </c>
      <c r="O69" s="228">
        <v>29.35</v>
      </c>
      <c r="P69" s="229">
        <v>0.1081</v>
      </c>
      <c r="Q69" s="228">
        <v>302.14999999999998</v>
      </c>
      <c r="R69" s="228">
        <v>273.25</v>
      </c>
      <c r="S69" s="228">
        <v>28.9</v>
      </c>
      <c r="T69" s="229">
        <v>0.10580000000000001</v>
      </c>
      <c r="U69" s="228">
        <v>0</v>
      </c>
      <c r="V69" s="228">
        <v>0</v>
      </c>
      <c r="W69" s="228">
        <v>0</v>
      </c>
      <c r="X69" s="229">
        <v>0</v>
      </c>
      <c r="Y69" s="228">
        <v>0.95</v>
      </c>
      <c r="Z69" s="228">
        <v>-0.3</v>
      </c>
      <c r="AA69" s="228">
        <v>1.25</v>
      </c>
      <c r="AB69" s="229">
        <v>3.2000000000000002E-3</v>
      </c>
      <c r="AC69" s="228">
        <v>0.95</v>
      </c>
      <c r="AD69" s="228">
        <v>-0.3</v>
      </c>
      <c r="AE69" s="228">
        <v>1.25</v>
      </c>
      <c r="AF69" s="229">
        <v>3.2000000000000002E-3</v>
      </c>
      <c r="AG69" s="228">
        <v>2.35</v>
      </c>
      <c r="AH69" s="228">
        <v>1.55</v>
      </c>
      <c r="AI69" s="228">
        <v>0.8</v>
      </c>
      <c r="AJ69" s="229">
        <v>7.7999999999999996E-3</v>
      </c>
      <c r="AK69" s="228">
        <v>0</v>
      </c>
      <c r="AL69" s="228">
        <v>0</v>
      </c>
      <c r="AM69" s="228">
        <v>0</v>
      </c>
      <c r="AN69" s="229">
        <v>0</v>
      </c>
      <c r="AO69" s="228">
        <v>301.89999999999998</v>
      </c>
      <c r="AP69" s="228">
        <v>302.64999999999998</v>
      </c>
      <c r="AQ69" s="228">
        <v>0</v>
      </c>
      <c r="AR69" s="230">
        <v>195646575</v>
      </c>
      <c r="AS69" s="230">
        <v>115527000</v>
      </c>
      <c r="AT69" s="230">
        <v>80119575</v>
      </c>
      <c r="AU69" s="229">
        <v>0.69350000000000001</v>
      </c>
      <c r="AV69" s="230">
        <v>164036700</v>
      </c>
      <c r="AW69" s="230">
        <v>106198025</v>
      </c>
      <c r="AX69" s="230">
        <v>57838675</v>
      </c>
      <c r="AY69" s="229">
        <v>0.54459999999999997</v>
      </c>
      <c r="AZ69" s="230">
        <v>29883275</v>
      </c>
      <c r="BA69" s="230">
        <v>8778500</v>
      </c>
      <c r="BB69" s="230">
        <v>21104775</v>
      </c>
      <c r="BC69" s="229">
        <v>2.4041000000000001</v>
      </c>
      <c r="BD69" s="228">
        <v>0</v>
      </c>
      <c r="BE69" s="228">
        <v>0</v>
      </c>
      <c r="BF69" s="228">
        <v>0</v>
      </c>
      <c r="BG69" s="229">
        <v>0</v>
      </c>
      <c r="BH69" s="230">
        <v>836872350</v>
      </c>
      <c r="BI69" s="230">
        <v>312194500</v>
      </c>
      <c r="BJ69" s="230">
        <v>524677850</v>
      </c>
      <c r="BK69" s="229">
        <v>1.6806000000000001</v>
      </c>
      <c r="BL69" s="230">
        <v>645663525</v>
      </c>
      <c r="BM69" s="230">
        <v>194055775</v>
      </c>
      <c r="BN69" s="230">
        <v>451607750</v>
      </c>
      <c r="BO69" s="229">
        <v>2.3271999999999999</v>
      </c>
      <c r="BP69" s="230">
        <v>1678182450</v>
      </c>
      <c r="BQ69" s="230">
        <v>621777275</v>
      </c>
      <c r="BR69" s="230">
        <v>1056405175</v>
      </c>
      <c r="BS69" s="229">
        <v>1.6990000000000001</v>
      </c>
      <c r="BT69" s="230">
        <v>281425522</v>
      </c>
      <c r="BU69" s="230">
        <v>73173228</v>
      </c>
      <c r="BV69" s="230">
        <v>208252294</v>
      </c>
      <c r="BW69" s="229">
        <v>2.8460000000000001</v>
      </c>
      <c r="BX69" s="230">
        <v>185987800</v>
      </c>
      <c r="BY69" s="230">
        <v>164204025</v>
      </c>
      <c r="BZ69" s="230">
        <v>21783775</v>
      </c>
      <c r="CA69" s="229">
        <v>0.13270000000000001</v>
      </c>
      <c r="CB69" s="230">
        <v>172563000</v>
      </c>
      <c r="CC69" s="230">
        <v>156179700</v>
      </c>
      <c r="CD69" s="230">
        <v>16383300</v>
      </c>
      <c r="CE69" s="229">
        <v>0.10489999999999999</v>
      </c>
      <c r="CF69" s="230">
        <v>12568775</v>
      </c>
      <c r="CG69" s="230">
        <v>7500525</v>
      </c>
      <c r="CH69" s="230">
        <v>5068250</v>
      </c>
      <c r="CI69" s="229">
        <v>0.67569999999999997</v>
      </c>
      <c r="CJ69" s="228">
        <v>0</v>
      </c>
      <c r="CK69" s="228">
        <v>0</v>
      </c>
      <c r="CL69" s="228">
        <v>0</v>
      </c>
      <c r="CM69" s="229">
        <v>0</v>
      </c>
      <c r="CN69" s="230">
        <v>92833850</v>
      </c>
      <c r="CO69" s="230">
        <v>65836325</v>
      </c>
      <c r="CP69" s="230">
        <v>26997525</v>
      </c>
      <c r="CQ69" s="229">
        <v>0.41010000000000002</v>
      </c>
      <c r="CR69" s="230">
        <v>98081550</v>
      </c>
      <c r="CS69" s="230">
        <v>52998375</v>
      </c>
      <c r="CT69" s="230">
        <v>45083175</v>
      </c>
      <c r="CU69" s="229">
        <v>0.85070000000000001</v>
      </c>
      <c r="CV69" s="230">
        <v>376903200</v>
      </c>
      <c r="CW69" s="230">
        <v>283038725</v>
      </c>
      <c r="CX69" s="230">
        <v>93864475</v>
      </c>
      <c r="CY69" s="229">
        <v>0.33160000000000001</v>
      </c>
      <c r="CZ69" s="228">
        <v>41.13</v>
      </c>
      <c r="DA69" s="228">
        <v>43.07</v>
      </c>
      <c r="DB69" s="228">
        <v>-1.94</v>
      </c>
      <c r="DC69" s="228">
        <v>-1.94</v>
      </c>
      <c r="DD69" s="228">
        <v>50.72</v>
      </c>
      <c r="DE69" s="228">
        <v>49.07</v>
      </c>
      <c r="DF69" s="228">
        <v>-9.59</v>
      </c>
      <c r="DG69" s="228">
        <v>1.65</v>
      </c>
      <c r="DH69" s="228">
        <v>38.76</v>
      </c>
      <c r="DI69" s="228">
        <v>40.270000000000003</v>
      </c>
      <c r="DJ69" s="228">
        <v>-1.51</v>
      </c>
      <c r="DK69" s="228">
        <v>-1.51</v>
      </c>
      <c r="DL69" s="228">
        <v>44.21</v>
      </c>
      <c r="DM69" s="228">
        <v>47.57</v>
      </c>
      <c r="DN69" s="228">
        <v>-3.36</v>
      </c>
      <c r="DO69" s="228">
        <v>-3.36</v>
      </c>
      <c r="DP69" s="228">
        <v>1.06</v>
      </c>
      <c r="DQ69" s="228">
        <v>0.81</v>
      </c>
      <c r="DR69" s="228">
        <v>0.25</v>
      </c>
      <c r="DS69" s="229">
        <v>0.30859999999999999</v>
      </c>
      <c r="DT69" s="228">
        <v>300</v>
      </c>
      <c r="DU69" s="228">
        <v>300</v>
      </c>
      <c r="DV69" s="228">
        <v>0.77</v>
      </c>
      <c r="DW69" s="228">
        <v>0.62</v>
      </c>
      <c r="DX69" s="228">
        <v>0.15</v>
      </c>
      <c r="DY69" s="229">
        <v>0.2419</v>
      </c>
      <c r="DZ69" s="229">
        <v>6.7599999999999993E-2</v>
      </c>
      <c r="EA69" s="230">
        <v>7500525</v>
      </c>
      <c r="EB69" s="229">
        <v>4.7000000000000002E-3</v>
      </c>
      <c r="EC69" s="229">
        <v>6.7599999999999993E-2</v>
      </c>
      <c r="ED69" s="228">
        <v>0.75</v>
      </c>
      <c r="EE69" s="229">
        <v>2.5000000000000001E-3</v>
      </c>
      <c r="EF69" s="230">
        <v>97582301</v>
      </c>
      <c r="EG69" s="230">
        <v>30289378</v>
      </c>
      <c r="EH69" s="229">
        <v>2.2216999999999998</v>
      </c>
      <c r="EI69" s="229">
        <v>0.34670000000000001</v>
      </c>
      <c r="EJ69" s="231">
        <v>2628098.59</v>
      </c>
      <c r="EK69" s="231">
        <v>1850332.77</v>
      </c>
      <c r="EL69" s="231">
        <v>590913.31999999995</v>
      </c>
      <c r="EM69" s="228">
        <v>0</v>
      </c>
      <c r="EN69" s="231">
        <v>5069344.68</v>
      </c>
      <c r="EO69" s="231">
        <v>1696320.95</v>
      </c>
      <c r="EP69" s="231">
        <v>3373023.73</v>
      </c>
      <c r="EQ69" s="229">
        <v>1.9883999999999999</v>
      </c>
      <c r="ER69" s="231">
        <v>274864</v>
      </c>
      <c r="ES69" s="231">
        <v>267577</v>
      </c>
      <c r="ET69" s="231">
        <v>559556</v>
      </c>
      <c r="EU69" s="231">
        <v>1814577127</v>
      </c>
      <c r="EV69" s="231">
        <v>1101997</v>
      </c>
      <c r="EW69" s="231">
        <v>762410</v>
      </c>
      <c r="EX69" s="231">
        <v>339587</v>
      </c>
      <c r="EY69" s="229">
        <v>0.44540000000000002</v>
      </c>
      <c r="EZ69" s="229">
        <v>0.2077</v>
      </c>
      <c r="FA69" s="227" t="s">
        <v>555</v>
      </c>
      <c r="FB69" s="161">
        <f t="shared" si="1"/>
        <v>13424800</v>
      </c>
    </row>
    <row r="70" spans="1:158" ht="17.25" thickBot="1" x14ac:dyDescent="0.3">
      <c r="A70" s="226">
        <v>45860</v>
      </c>
      <c r="B70" s="227" t="s">
        <v>162</v>
      </c>
      <c r="C70" s="227" t="s">
        <v>211</v>
      </c>
      <c r="D70" s="228">
        <v>1800</v>
      </c>
      <c r="E70" s="228">
        <v>395.3</v>
      </c>
      <c r="F70" s="228">
        <v>390.45</v>
      </c>
      <c r="G70" s="228">
        <v>4.8499999999999996</v>
      </c>
      <c r="H70" s="229">
        <v>1.24E-2</v>
      </c>
      <c r="I70" s="228">
        <v>394.25</v>
      </c>
      <c r="J70" s="228">
        <v>389.1</v>
      </c>
      <c r="K70" s="228">
        <v>5.15</v>
      </c>
      <c r="L70" s="229">
        <v>1.32E-2</v>
      </c>
      <c r="M70" s="228">
        <v>395.3</v>
      </c>
      <c r="N70" s="228">
        <v>390.45</v>
      </c>
      <c r="O70" s="228">
        <v>4.8499999999999996</v>
      </c>
      <c r="P70" s="229">
        <v>1.24E-2</v>
      </c>
      <c r="Q70" s="228">
        <v>397.4</v>
      </c>
      <c r="R70" s="228">
        <v>392.3</v>
      </c>
      <c r="S70" s="228">
        <v>5.0999999999999996</v>
      </c>
      <c r="T70" s="229">
        <v>1.2999999999999999E-2</v>
      </c>
      <c r="U70" s="228">
        <v>0</v>
      </c>
      <c r="V70" s="228">
        <v>0</v>
      </c>
      <c r="W70" s="228">
        <v>0</v>
      </c>
      <c r="X70" s="229">
        <v>0</v>
      </c>
      <c r="Y70" s="228">
        <v>1.05</v>
      </c>
      <c r="Z70" s="228">
        <v>1.35</v>
      </c>
      <c r="AA70" s="228">
        <v>-0.3</v>
      </c>
      <c r="AB70" s="229">
        <v>2.7000000000000001E-3</v>
      </c>
      <c r="AC70" s="228">
        <v>1.05</v>
      </c>
      <c r="AD70" s="228">
        <v>1.35</v>
      </c>
      <c r="AE70" s="228">
        <v>-0.3</v>
      </c>
      <c r="AF70" s="229">
        <v>2.7000000000000001E-3</v>
      </c>
      <c r="AG70" s="228">
        <v>3.15</v>
      </c>
      <c r="AH70" s="228">
        <v>3.2</v>
      </c>
      <c r="AI70" s="228">
        <v>-0.05</v>
      </c>
      <c r="AJ70" s="229">
        <v>8.0000000000000002E-3</v>
      </c>
      <c r="AK70" s="228">
        <v>0</v>
      </c>
      <c r="AL70" s="228">
        <v>0</v>
      </c>
      <c r="AM70" s="228">
        <v>0</v>
      </c>
      <c r="AN70" s="229">
        <v>0</v>
      </c>
      <c r="AO70" s="228">
        <v>394.27</v>
      </c>
      <c r="AP70" s="228">
        <v>396.63</v>
      </c>
      <c r="AQ70" s="228">
        <v>0</v>
      </c>
      <c r="AR70" s="230">
        <v>8618400</v>
      </c>
      <c r="AS70" s="230">
        <v>6433200</v>
      </c>
      <c r="AT70" s="230">
        <v>2185200</v>
      </c>
      <c r="AU70" s="229">
        <v>0.3397</v>
      </c>
      <c r="AV70" s="230">
        <v>5725800</v>
      </c>
      <c r="AW70" s="230">
        <v>5146200</v>
      </c>
      <c r="AX70" s="230">
        <v>579600</v>
      </c>
      <c r="AY70" s="229">
        <v>0.11260000000000001</v>
      </c>
      <c r="AZ70" s="230">
        <v>2790000</v>
      </c>
      <c r="BA70" s="230">
        <v>1234800</v>
      </c>
      <c r="BB70" s="230">
        <v>1555200</v>
      </c>
      <c r="BC70" s="229">
        <v>1.2595000000000001</v>
      </c>
      <c r="BD70" s="228">
        <v>0</v>
      </c>
      <c r="BE70" s="228">
        <v>0</v>
      </c>
      <c r="BF70" s="228">
        <v>0</v>
      </c>
      <c r="BG70" s="229">
        <v>0</v>
      </c>
      <c r="BH70" s="230">
        <v>33665400</v>
      </c>
      <c r="BI70" s="230">
        <v>29077200</v>
      </c>
      <c r="BJ70" s="230">
        <v>4588200</v>
      </c>
      <c r="BK70" s="229">
        <v>0.1578</v>
      </c>
      <c r="BL70" s="230">
        <v>6442200</v>
      </c>
      <c r="BM70" s="230">
        <v>6885000</v>
      </c>
      <c r="BN70" s="230">
        <v>-442800</v>
      </c>
      <c r="BO70" s="229">
        <v>-6.4299999999999996E-2</v>
      </c>
      <c r="BP70" s="230">
        <v>48726000</v>
      </c>
      <c r="BQ70" s="230">
        <v>42395400</v>
      </c>
      <c r="BR70" s="230">
        <v>6330600</v>
      </c>
      <c r="BS70" s="229">
        <v>0.14929999999999999</v>
      </c>
      <c r="BT70" s="230">
        <v>3264329</v>
      </c>
      <c r="BU70" s="230">
        <v>2596512</v>
      </c>
      <c r="BV70" s="230">
        <v>667817</v>
      </c>
      <c r="BW70" s="229">
        <v>0.25719999999999998</v>
      </c>
      <c r="BX70" s="230">
        <v>24292800</v>
      </c>
      <c r="BY70" s="230">
        <v>23662800</v>
      </c>
      <c r="BZ70" s="230">
        <v>630000</v>
      </c>
      <c r="CA70" s="229">
        <v>2.6599999999999999E-2</v>
      </c>
      <c r="CB70" s="230">
        <v>20318400</v>
      </c>
      <c r="CC70" s="230">
        <v>21171600</v>
      </c>
      <c r="CD70" s="230">
        <v>-853200</v>
      </c>
      <c r="CE70" s="229">
        <v>-4.0300000000000002E-2</v>
      </c>
      <c r="CF70" s="230">
        <v>3751200</v>
      </c>
      <c r="CG70" s="230">
        <v>2309400</v>
      </c>
      <c r="CH70" s="230">
        <v>1441800</v>
      </c>
      <c r="CI70" s="229">
        <v>0.62429999999999997</v>
      </c>
      <c r="CJ70" s="228">
        <v>0</v>
      </c>
      <c r="CK70" s="228">
        <v>0</v>
      </c>
      <c r="CL70" s="228">
        <v>0</v>
      </c>
      <c r="CM70" s="229">
        <v>0</v>
      </c>
      <c r="CN70" s="230">
        <v>13566600</v>
      </c>
      <c r="CO70" s="230">
        <v>12324600</v>
      </c>
      <c r="CP70" s="230">
        <v>1242000</v>
      </c>
      <c r="CQ70" s="229">
        <v>0.1008</v>
      </c>
      <c r="CR70" s="230">
        <v>7707600</v>
      </c>
      <c r="CS70" s="230">
        <v>7398000</v>
      </c>
      <c r="CT70" s="230">
        <v>309600</v>
      </c>
      <c r="CU70" s="229">
        <v>4.1799999999999997E-2</v>
      </c>
      <c r="CV70" s="230">
        <v>45567000</v>
      </c>
      <c r="CW70" s="230">
        <v>43385400</v>
      </c>
      <c r="CX70" s="230">
        <v>2181600</v>
      </c>
      <c r="CY70" s="229">
        <v>5.0299999999999997E-2</v>
      </c>
      <c r="CZ70" s="228">
        <v>27.63</v>
      </c>
      <c r="DA70" s="228">
        <v>27.86</v>
      </c>
      <c r="DB70" s="228">
        <v>-0.23</v>
      </c>
      <c r="DC70" s="228">
        <v>-0.23</v>
      </c>
      <c r="DD70" s="228">
        <v>37.479999999999997</v>
      </c>
      <c r="DE70" s="228">
        <v>37.54</v>
      </c>
      <c r="DF70" s="228">
        <v>-9.85</v>
      </c>
      <c r="DG70" s="228">
        <v>-0.06</v>
      </c>
      <c r="DH70" s="228">
        <v>27.74</v>
      </c>
      <c r="DI70" s="228">
        <v>28.23</v>
      </c>
      <c r="DJ70" s="228">
        <v>-0.49</v>
      </c>
      <c r="DK70" s="228">
        <v>-0.49</v>
      </c>
      <c r="DL70" s="228">
        <v>27.06</v>
      </c>
      <c r="DM70" s="228">
        <v>26.28</v>
      </c>
      <c r="DN70" s="228">
        <v>0.78</v>
      </c>
      <c r="DO70" s="228">
        <v>0.78</v>
      </c>
      <c r="DP70" s="228">
        <v>0.56999999999999995</v>
      </c>
      <c r="DQ70" s="228">
        <v>0.6</v>
      </c>
      <c r="DR70" s="228">
        <v>-0.03</v>
      </c>
      <c r="DS70" s="229">
        <v>-0.05</v>
      </c>
      <c r="DT70" s="228">
        <v>400</v>
      </c>
      <c r="DU70" s="228">
        <v>380</v>
      </c>
      <c r="DV70" s="228">
        <v>0.19</v>
      </c>
      <c r="DW70" s="228">
        <v>0.24</v>
      </c>
      <c r="DX70" s="228">
        <v>-0.05</v>
      </c>
      <c r="DY70" s="229">
        <v>-0.20830000000000001</v>
      </c>
      <c r="DZ70" s="229">
        <v>0.15440000000000001</v>
      </c>
      <c r="EA70" s="230">
        <v>2309400</v>
      </c>
      <c r="EB70" s="229">
        <v>5.3E-3</v>
      </c>
      <c r="EC70" s="229">
        <v>0.15440000000000001</v>
      </c>
      <c r="ED70" s="228">
        <v>2.36</v>
      </c>
      <c r="EE70" s="229">
        <v>6.0000000000000001E-3</v>
      </c>
      <c r="EF70" s="230">
        <v>1158346</v>
      </c>
      <c r="EG70" s="230">
        <v>1056377</v>
      </c>
      <c r="EH70" s="229">
        <v>9.6500000000000002E-2</v>
      </c>
      <c r="EI70" s="229">
        <v>0.3548</v>
      </c>
      <c r="EJ70" s="231">
        <v>137891.17000000001</v>
      </c>
      <c r="EK70" s="231">
        <v>25188.91</v>
      </c>
      <c r="EL70" s="231">
        <v>34050.269999999997</v>
      </c>
      <c r="EM70" s="228">
        <v>0</v>
      </c>
      <c r="EN70" s="231">
        <v>197130.35</v>
      </c>
      <c r="EO70" s="231">
        <v>169702.5</v>
      </c>
      <c r="EP70" s="231">
        <v>27427.85</v>
      </c>
      <c r="EQ70" s="229">
        <v>0.16159999999999999</v>
      </c>
      <c r="ER70" s="231">
        <v>54911</v>
      </c>
      <c r="ES70" s="231">
        <v>29544</v>
      </c>
      <c r="ET70" s="231">
        <v>96118</v>
      </c>
      <c r="EU70" s="231">
        <v>91809066</v>
      </c>
      <c r="EV70" s="231">
        <v>180573</v>
      </c>
      <c r="EW70" s="231">
        <v>170361</v>
      </c>
      <c r="EX70" s="231">
        <v>10212</v>
      </c>
      <c r="EY70" s="229">
        <v>5.9900000000000002E-2</v>
      </c>
      <c r="EZ70" s="229">
        <v>0.49630000000000002</v>
      </c>
      <c r="FA70" s="227" t="s">
        <v>555</v>
      </c>
      <c r="FB70" s="161">
        <f t="shared" si="1"/>
        <v>3974400</v>
      </c>
    </row>
    <row r="71" spans="1:158" ht="17.25" thickBot="1" x14ac:dyDescent="0.3">
      <c r="A71" s="226">
        <v>45860</v>
      </c>
      <c r="B71" s="227" t="s">
        <v>172</v>
      </c>
      <c r="C71" s="227" t="s">
        <v>212</v>
      </c>
      <c r="D71" s="228">
        <v>5000</v>
      </c>
      <c r="E71" s="228">
        <v>212.39</v>
      </c>
      <c r="F71" s="228">
        <v>212.67</v>
      </c>
      <c r="G71" s="228">
        <v>-0.28000000000000003</v>
      </c>
      <c r="H71" s="229">
        <v>-1.2999999999999999E-3</v>
      </c>
      <c r="I71" s="228">
        <v>212.4</v>
      </c>
      <c r="J71" s="228">
        <v>212.78</v>
      </c>
      <c r="K71" s="228">
        <v>-0.38</v>
      </c>
      <c r="L71" s="229">
        <v>-1.8E-3</v>
      </c>
      <c r="M71" s="228">
        <v>212.39</v>
      </c>
      <c r="N71" s="228">
        <v>212.67</v>
      </c>
      <c r="O71" s="228">
        <v>-0.28000000000000003</v>
      </c>
      <c r="P71" s="229">
        <v>-1.2999999999999999E-3</v>
      </c>
      <c r="Q71" s="228">
        <v>212.8</v>
      </c>
      <c r="R71" s="228">
        <v>212.98</v>
      </c>
      <c r="S71" s="228">
        <v>-0.18</v>
      </c>
      <c r="T71" s="229">
        <v>-8.0000000000000004E-4</v>
      </c>
      <c r="U71" s="228">
        <v>0</v>
      </c>
      <c r="V71" s="228">
        <v>0</v>
      </c>
      <c r="W71" s="228">
        <v>0</v>
      </c>
      <c r="X71" s="229">
        <v>0</v>
      </c>
      <c r="Y71" s="228">
        <v>-0.01</v>
      </c>
      <c r="Z71" s="228">
        <v>-0.11</v>
      </c>
      <c r="AA71" s="228">
        <v>0.1</v>
      </c>
      <c r="AB71" s="229">
        <v>0</v>
      </c>
      <c r="AC71" s="228">
        <v>-0.01</v>
      </c>
      <c r="AD71" s="228">
        <v>-0.11</v>
      </c>
      <c r="AE71" s="228">
        <v>0.1</v>
      </c>
      <c r="AF71" s="229">
        <v>0</v>
      </c>
      <c r="AG71" s="228">
        <v>0.4</v>
      </c>
      <c r="AH71" s="228">
        <v>0.2</v>
      </c>
      <c r="AI71" s="228">
        <v>0.2</v>
      </c>
      <c r="AJ71" s="229">
        <v>1.9E-3</v>
      </c>
      <c r="AK71" s="228">
        <v>0</v>
      </c>
      <c r="AL71" s="228">
        <v>0</v>
      </c>
      <c r="AM71" s="228">
        <v>0</v>
      </c>
      <c r="AN71" s="229">
        <v>0</v>
      </c>
      <c r="AO71" s="228">
        <v>212.65</v>
      </c>
      <c r="AP71" s="228">
        <v>212.95</v>
      </c>
      <c r="AQ71" s="228">
        <v>0</v>
      </c>
      <c r="AR71" s="230">
        <v>12445000</v>
      </c>
      <c r="AS71" s="230">
        <v>21985000</v>
      </c>
      <c r="AT71" s="230">
        <v>-9540000</v>
      </c>
      <c r="AU71" s="229">
        <v>-0.43390000000000001</v>
      </c>
      <c r="AV71" s="230">
        <v>10010000</v>
      </c>
      <c r="AW71" s="230">
        <v>17800000</v>
      </c>
      <c r="AX71" s="230">
        <v>-7790000</v>
      </c>
      <c r="AY71" s="229">
        <v>-0.43759999999999999</v>
      </c>
      <c r="AZ71" s="230">
        <v>2370000</v>
      </c>
      <c r="BA71" s="230">
        <v>3830000</v>
      </c>
      <c r="BB71" s="230">
        <v>-1460000</v>
      </c>
      <c r="BC71" s="229">
        <v>-0.38119999999999998</v>
      </c>
      <c r="BD71" s="228">
        <v>0</v>
      </c>
      <c r="BE71" s="228">
        <v>0</v>
      </c>
      <c r="BF71" s="228">
        <v>0</v>
      </c>
      <c r="BG71" s="229">
        <v>0</v>
      </c>
      <c r="BH71" s="230">
        <v>28770000</v>
      </c>
      <c r="BI71" s="230">
        <v>63140000</v>
      </c>
      <c r="BJ71" s="230">
        <v>-34370000</v>
      </c>
      <c r="BK71" s="229">
        <v>-0.54430000000000001</v>
      </c>
      <c r="BL71" s="230">
        <v>19180000</v>
      </c>
      <c r="BM71" s="230">
        <v>39150000</v>
      </c>
      <c r="BN71" s="230">
        <v>-19970000</v>
      </c>
      <c r="BO71" s="229">
        <v>-0.5101</v>
      </c>
      <c r="BP71" s="230">
        <v>60395000</v>
      </c>
      <c r="BQ71" s="230">
        <v>124275000</v>
      </c>
      <c r="BR71" s="230">
        <v>-63880000</v>
      </c>
      <c r="BS71" s="229">
        <v>-0.51400000000000001</v>
      </c>
      <c r="BT71" s="230">
        <v>6332862</v>
      </c>
      <c r="BU71" s="230">
        <v>4774330</v>
      </c>
      <c r="BV71" s="230">
        <v>1558532</v>
      </c>
      <c r="BW71" s="229">
        <v>0.32640000000000002</v>
      </c>
      <c r="BX71" s="230">
        <v>82670000</v>
      </c>
      <c r="BY71" s="230">
        <v>83215000</v>
      </c>
      <c r="BZ71" s="230">
        <v>-545000</v>
      </c>
      <c r="CA71" s="229">
        <v>-6.4999999999999997E-3</v>
      </c>
      <c r="CB71" s="230">
        <v>68885000</v>
      </c>
      <c r="CC71" s="230">
        <v>70270000</v>
      </c>
      <c r="CD71" s="230">
        <v>-1385000</v>
      </c>
      <c r="CE71" s="229">
        <v>-1.9699999999999999E-2</v>
      </c>
      <c r="CF71" s="230">
        <v>13145000</v>
      </c>
      <c r="CG71" s="230">
        <v>12285000</v>
      </c>
      <c r="CH71" s="230">
        <v>860000</v>
      </c>
      <c r="CI71" s="229">
        <v>7.0000000000000007E-2</v>
      </c>
      <c r="CJ71" s="228">
        <v>0</v>
      </c>
      <c r="CK71" s="228">
        <v>0</v>
      </c>
      <c r="CL71" s="228">
        <v>0</v>
      </c>
      <c r="CM71" s="229">
        <v>0</v>
      </c>
      <c r="CN71" s="230">
        <v>48720000</v>
      </c>
      <c r="CO71" s="230">
        <v>47765000</v>
      </c>
      <c r="CP71" s="230">
        <v>955000</v>
      </c>
      <c r="CQ71" s="229">
        <v>0.02</v>
      </c>
      <c r="CR71" s="230">
        <v>31470000</v>
      </c>
      <c r="CS71" s="230">
        <v>31425000</v>
      </c>
      <c r="CT71" s="230">
        <v>45000</v>
      </c>
      <c r="CU71" s="229">
        <v>1.4E-3</v>
      </c>
      <c r="CV71" s="230">
        <v>162860000</v>
      </c>
      <c r="CW71" s="230">
        <v>162405000</v>
      </c>
      <c r="CX71" s="230">
        <v>455000</v>
      </c>
      <c r="CY71" s="229">
        <v>2.8E-3</v>
      </c>
      <c r="CZ71" s="228">
        <v>23.98</v>
      </c>
      <c r="DA71" s="228">
        <v>24.23</v>
      </c>
      <c r="DB71" s="228">
        <v>-0.25</v>
      </c>
      <c r="DC71" s="228">
        <v>-0.25</v>
      </c>
      <c r="DD71" s="228">
        <v>30.75</v>
      </c>
      <c r="DE71" s="228">
        <v>30.83</v>
      </c>
      <c r="DF71" s="228">
        <v>-6.77</v>
      </c>
      <c r="DG71" s="228">
        <v>-0.08</v>
      </c>
      <c r="DH71" s="228">
        <v>24.16</v>
      </c>
      <c r="DI71" s="228">
        <v>24.28</v>
      </c>
      <c r="DJ71" s="228">
        <v>-0.12</v>
      </c>
      <c r="DK71" s="228">
        <v>-0.12</v>
      </c>
      <c r="DL71" s="228">
        <v>23.72</v>
      </c>
      <c r="DM71" s="228">
        <v>24.14</v>
      </c>
      <c r="DN71" s="228">
        <v>-0.42</v>
      </c>
      <c r="DO71" s="228">
        <v>-0.42</v>
      </c>
      <c r="DP71" s="228">
        <v>0.65</v>
      </c>
      <c r="DQ71" s="228">
        <v>0.66</v>
      </c>
      <c r="DR71" s="228">
        <v>-0.01</v>
      </c>
      <c r="DS71" s="229">
        <v>-1.52E-2</v>
      </c>
      <c r="DT71" s="228">
        <v>220</v>
      </c>
      <c r="DU71" s="228">
        <v>210</v>
      </c>
      <c r="DV71" s="228">
        <v>0.67</v>
      </c>
      <c r="DW71" s="228">
        <v>0.62</v>
      </c>
      <c r="DX71" s="228">
        <v>0.05</v>
      </c>
      <c r="DY71" s="229">
        <v>8.0600000000000005E-2</v>
      </c>
      <c r="DZ71" s="229">
        <v>0.159</v>
      </c>
      <c r="EA71" s="230">
        <v>12285000</v>
      </c>
      <c r="EB71" s="229">
        <v>1.9E-3</v>
      </c>
      <c r="EC71" s="229">
        <v>0.159</v>
      </c>
      <c r="ED71" s="228">
        <v>0.3</v>
      </c>
      <c r="EE71" s="229">
        <v>1.4E-3</v>
      </c>
      <c r="EF71" s="230">
        <v>3781215</v>
      </c>
      <c r="EG71" s="230">
        <v>2222557</v>
      </c>
      <c r="EH71" s="229">
        <v>0.70130000000000003</v>
      </c>
      <c r="EI71" s="229">
        <v>0.59709999999999996</v>
      </c>
      <c r="EJ71" s="231">
        <v>62977.39</v>
      </c>
      <c r="EK71" s="231">
        <v>40645</v>
      </c>
      <c r="EL71" s="231">
        <v>26471.79</v>
      </c>
      <c r="EM71" s="228">
        <v>0</v>
      </c>
      <c r="EN71" s="231">
        <v>130094.18</v>
      </c>
      <c r="EO71" s="231">
        <v>267872.75</v>
      </c>
      <c r="EP71" s="231">
        <v>-137778.57</v>
      </c>
      <c r="EQ71" s="229">
        <v>-0.51429999999999998</v>
      </c>
      <c r="ER71" s="231">
        <v>108299</v>
      </c>
      <c r="ES71" s="231">
        <v>64781</v>
      </c>
      <c r="ET71" s="231">
        <v>175644</v>
      </c>
      <c r="EU71" s="231">
        <v>486316409</v>
      </c>
      <c r="EV71" s="231">
        <v>348724</v>
      </c>
      <c r="EW71" s="231">
        <v>347917</v>
      </c>
      <c r="EX71" s="228">
        <v>807</v>
      </c>
      <c r="EY71" s="229">
        <v>2.3E-3</v>
      </c>
      <c r="EZ71" s="229">
        <v>0.33489999999999998</v>
      </c>
      <c r="FA71" s="227" t="s">
        <v>568</v>
      </c>
      <c r="FB71" s="161">
        <f t="shared" si="1"/>
        <v>13785000</v>
      </c>
    </row>
    <row r="72" spans="1:158" ht="17.25" thickBot="1" x14ac:dyDescent="0.3">
      <c r="A72" s="226">
        <v>45860</v>
      </c>
      <c r="B72" s="227" t="s">
        <v>181</v>
      </c>
      <c r="C72" s="227" t="s">
        <v>480</v>
      </c>
      <c r="D72" s="228">
        <v>65</v>
      </c>
      <c r="E72" s="231">
        <v>27004.7</v>
      </c>
      <c r="F72" s="231">
        <v>27012.1</v>
      </c>
      <c r="G72" s="228">
        <v>-7.4</v>
      </c>
      <c r="H72" s="229">
        <v>-2.9999999999999997E-4</v>
      </c>
      <c r="I72" s="231">
        <v>26990.45</v>
      </c>
      <c r="J72" s="231">
        <v>26986.95</v>
      </c>
      <c r="K72" s="228">
        <v>3.5</v>
      </c>
      <c r="L72" s="229">
        <v>1E-4</v>
      </c>
      <c r="M72" s="231">
        <v>27004.7</v>
      </c>
      <c r="N72" s="231">
        <v>27012.1</v>
      </c>
      <c r="O72" s="228">
        <v>-7.4</v>
      </c>
      <c r="P72" s="229">
        <v>-2.9999999999999997E-4</v>
      </c>
      <c r="Q72" s="231">
        <v>27074</v>
      </c>
      <c r="R72" s="231">
        <v>27071.1</v>
      </c>
      <c r="S72" s="228">
        <v>2.9</v>
      </c>
      <c r="T72" s="229">
        <v>1E-4</v>
      </c>
      <c r="U72" s="228">
        <v>0</v>
      </c>
      <c r="V72" s="228">
        <v>0</v>
      </c>
      <c r="W72" s="228">
        <v>0</v>
      </c>
      <c r="X72" s="229">
        <v>0</v>
      </c>
      <c r="Y72" s="228">
        <v>14.25</v>
      </c>
      <c r="Z72" s="228">
        <v>25.15</v>
      </c>
      <c r="AA72" s="228">
        <v>-10.9</v>
      </c>
      <c r="AB72" s="229">
        <v>5.0000000000000001E-4</v>
      </c>
      <c r="AC72" s="228">
        <v>14.25</v>
      </c>
      <c r="AD72" s="228">
        <v>25.15</v>
      </c>
      <c r="AE72" s="228">
        <v>-10.9</v>
      </c>
      <c r="AF72" s="229">
        <v>5.0000000000000001E-4</v>
      </c>
      <c r="AG72" s="228">
        <v>83.55</v>
      </c>
      <c r="AH72" s="228">
        <v>84.15</v>
      </c>
      <c r="AI72" s="228">
        <v>-0.6</v>
      </c>
      <c r="AJ72" s="229">
        <v>3.0999999999999999E-3</v>
      </c>
      <c r="AK72" s="228">
        <v>0</v>
      </c>
      <c r="AL72" s="228">
        <v>0</v>
      </c>
      <c r="AM72" s="228">
        <v>0</v>
      </c>
      <c r="AN72" s="229">
        <v>0</v>
      </c>
      <c r="AO72" s="231">
        <v>27065.15</v>
      </c>
      <c r="AP72" s="231">
        <v>27120.94</v>
      </c>
      <c r="AQ72" s="228">
        <v>0</v>
      </c>
      <c r="AR72" s="230">
        <v>17550</v>
      </c>
      <c r="AS72" s="230">
        <v>46540</v>
      </c>
      <c r="AT72" s="230">
        <v>-28990</v>
      </c>
      <c r="AU72" s="229">
        <v>-0.62290000000000001</v>
      </c>
      <c r="AV72" s="230">
        <v>15210</v>
      </c>
      <c r="AW72" s="230">
        <v>37440</v>
      </c>
      <c r="AX72" s="230">
        <v>-22230</v>
      </c>
      <c r="AY72" s="229">
        <v>-0.59379999999999999</v>
      </c>
      <c r="AZ72" s="230">
        <v>2340</v>
      </c>
      <c r="BA72" s="230">
        <v>9100</v>
      </c>
      <c r="BB72" s="230">
        <v>-6760</v>
      </c>
      <c r="BC72" s="229">
        <v>-0.7429</v>
      </c>
      <c r="BD72" s="228">
        <v>0</v>
      </c>
      <c r="BE72" s="228">
        <v>0</v>
      </c>
      <c r="BF72" s="228">
        <v>0</v>
      </c>
      <c r="BG72" s="229">
        <v>0</v>
      </c>
      <c r="BH72" s="230">
        <v>3455530</v>
      </c>
      <c r="BI72" s="230">
        <v>5023590</v>
      </c>
      <c r="BJ72" s="230">
        <v>-1568060</v>
      </c>
      <c r="BK72" s="229">
        <v>-0.31209999999999999</v>
      </c>
      <c r="BL72" s="230">
        <v>3123120</v>
      </c>
      <c r="BM72" s="230">
        <v>4423185</v>
      </c>
      <c r="BN72" s="230">
        <v>-1300065</v>
      </c>
      <c r="BO72" s="229">
        <v>-0.29389999999999999</v>
      </c>
      <c r="BP72" s="230">
        <v>6596200</v>
      </c>
      <c r="BQ72" s="230">
        <v>9493315</v>
      </c>
      <c r="BR72" s="230">
        <v>-2897115</v>
      </c>
      <c r="BS72" s="229">
        <v>-0.30520000000000003</v>
      </c>
      <c r="BT72" s="228">
        <v>0</v>
      </c>
      <c r="BU72" s="228">
        <v>0</v>
      </c>
      <c r="BV72" s="228">
        <v>0</v>
      </c>
      <c r="BW72" s="229">
        <v>0</v>
      </c>
      <c r="BX72" s="230">
        <v>82290</v>
      </c>
      <c r="BY72" s="230">
        <v>80275</v>
      </c>
      <c r="BZ72" s="230">
        <v>2015</v>
      </c>
      <c r="CA72" s="229">
        <v>2.5100000000000001E-2</v>
      </c>
      <c r="CB72" s="230">
        <v>74230</v>
      </c>
      <c r="CC72" s="230">
        <v>72670</v>
      </c>
      <c r="CD72" s="230">
        <v>1560</v>
      </c>
      <c r="CE72" s="229">
        <v>2.1499999999999998E-2</v>
      </c>
      <c r="CF72" s="230">
        <v>8060</v>
      </c>
      <c r="CG72" s="230">
        <v>7605</v>
      </c>
      <c r="CH72" s="228">
        <v>455</v>
      </c>
      <c r="CI72" s="229">
        <v>5.9799999999999999E-2</v>
      </c>
      <c r="CJ72" s="228">
        <v>0</v>
      </c>
      <c r="CK72" s="228">
        <v>0</v>
      </c>
      <c r="CL72" s="228">
        <v>0</v>
      </c>
      <c r="CM72" s="229">
        <v>0</v>
      </c>
      <c r="CN72" s="230">
        <v>1562730</v>
      </c>
      <c r="CO72" s="230">
        <v>1491685</v>
      </c>
      <c r="CP72" s="230">
        <v>71045</v>
      </c>
      <c r="CQ72" s="229">
        <v>4.7600000000000003E-2</v>
      </c>
      <c r="CR72" s="230">
        <v>1352715</v>
      </c>
      <c r="CS72" s="230">
        <v>1281475</v>
      </c>
      <c r="CT72" s="230">
        <v>71240</v>
      </c>
      <c r="CU72" s="229">
        <v>5.5599999999999997E-2</v>
      </c>
      <c r="CV72" s="230">
        <v>2997735</v>
      </c>
      <c r="CW72" s="230">
        <v>2853435</v>
      </c>
      <c r="CX72" s="230">
        <v>144300</v>
      </c>
      <c r="CY72" s="229">
        <v>5.0599999999999999E-2</v>
      </c>
      <c r="CZ72" s="228">
        <v>12.13</v>
      </c>
      <c r="DA72" s="228">
        <v>12.63</v>
      </c>
      <c r="DB72" s="228">
        <v>-0.5</v>
      </c>
      <c r="DC72" s="228">
        <v>-0.5</v>
      </c>
      <c r="DD72" s="228">
        <v>19.309999999999999</v>
      </c>
      <c r="DE72" s="228">
        <v>19.36</v>
      </c>
      <c r="DF72" s="228">
        <v>-7.18</v>
      </c>
      <c r="DG72" s="228">
        <v>-0.05</v>
      </c>
      <c r="DH72" s="228">
        <v>11.88</v>
      </c>
      <c r="DI72" s="228">
        <v>12.02</v>
      </c>
      <c r="DJ72" s="228">
        <v>-0.14000000000000001</v>
      </c>
      <c r="DK72" s="228">
        <v>-0.14000000000000001</v>
      </c>
      <c r="DL72" s="228">
        <v>12.41</v>
      </c>
      <c r="DM72" s="228">
        <v>13.31</v>
      </c>
      <c r="DN72" s="228">
        <v>-0.9</v>
      </c>
      <c r="DO72" s="228">
        <v>-0.9</v>
      </c>
      <c r="DP72" s="228">
        <v>0.87</v>
      </c>
      <c r="DQ72" s="228">
        <v>0.86</v>
      </c>
      <c r="DR72" s="228">
        <v>0.01</v>
      </c>
      <c r="DS72" s="229">
        <v>1.1599999999999999E-2</v>
      </c>
      <c r="DT72" s="231">
        <v>28000</v>
      </c>
      <c r="DU72" s="231">
        <v>27000</v>
      </c>
      <c r="DV72" s="228">
        <v>0.9</v>
      </c>
      <c r="DW72" s="228">
        <v>0.88</v>
      </c>
      <c r="DX72" s="228">
        <v>0.02</v>
      </c>
      <c r="DY72" s="229">
        <v>2.2700000000000001E-2</v>
      </c>
      <c r="DZ72" s="229">
        <v>9.7900000000000001E-2</v>
      </c>
      <c r="EA72" s="230">
        <v>7605</v>
      </c>
      <c r="EB72" s="229">
        <v>2.5999999999999999E-3</v>
      </c>
      <c r="EC72" s="229">
        <v>9.7900000000000001E-2</v>
      </c>
      <c r="ED72" s="228">
        <v>55.79</v>
      </c>
      <c r="EE72" s="229">
        <v>2.0999999999999999E-3</v>
      </c>
      <c r="EF72" s="228">
        <v>0</v>
      </c>
      <c r="EG72" s="228">
        <v>0</v>
      </c>
      <c r="EH72" s="229">
        <v>0</v>
      </c>
      <c r="EI72" s="229">
        <v>0</v>
      </c>
      <c r="EJ72" s="231">
        <v>949515.41</v>
      </c>
      <c r="EK72" s="231">
        <v>833273.01</v>
      </c>
      <c r="EL72" s="231">
        <v>4751.24</v>
      </c>
      <c r="EM72" s="228">
        <v>0</v>
      </c>
      <c r="EN72" s="231">
        <v>1787539.66</v>
      </c>
      <c r="EO72" s="231">
        <v>2562659.1800000002</v>
      </c>
      <c r="EP72" s="231">
        <v>-775119.52</v>
      </c>
      <c r="EQ72" s="229">
        <v>-0.30249999999999999</v>
      </c>
      <c r="ER72" s="231">
        <v>433051</v>
      </c>
      <c r="ES72" s="231">
        <v>349927</v>
      </c>
      <c r="ET72" s="231">
        <v>22228</v>
      </c>
      <c r="EU72" s="228">
        <v>0</v>
      </c>
      <c r="EV72" s="231">
        <v>805206</v>
      </c>
      <c r="EW72" s="231">
        <v>766232</v>
      </c>
      <c r="EX72" s="231">
        <v>38974</v>
      </c>
      <c r="EY72" s="229">
        <v>5.0900000000000001E-2</v>
      </c>
      <c r="EZ72" s="229">
        <v>0</v>
      </c>
      <c r="FA72" s="227" t="s">
        <v>567</v>
      </c>
      <c r="FB72" s="161">
        <f t="shared" si="1"/>
        <v>8060</v>
      </c>
    </row>
    <row r="73" spans="1:158" ht="17.25" thickBot="1" x14ac:dyDescent="0.3">
      <c r="A73" s="226">
        <v>45860</v>
      </c>
      <c r="B73" s="227" t="s">
        <v>170</v>
      </c>
      <c r="C73" s="227" t="s">
        <v>679</v>
      </c>
      <c r="D73" s="228">
        <v>775</v>
      </c>
      <c r="E73" s="228">
        <v>810.25</v>
      </c>
      <c r="F73" s="228">
        <v>804.2</v>
      </c>
      <c r="G73" s="228">
        <v>6.05</v>
      </c>
      <c r="H73" s="229">
        <v>7.4999999999999997E-3</v>
      </c>
      <c r="I73" s="228">
        <v>809.1</v>
      </c>
      <c r="J73" s="228">
        <v>802.25</v>
      </c>
      <c r="K73" s="228">
        <v>6.85</v>
      </c>
      <c r="L73" s="229">
        <v>8.5000000000000006E-3</v>
      </c>
      <c r="M73" s="228">
        <v>810.25</v>
      </c>
      <c r="N73" s="228">
        <v>804.2</v>
      </c>
      <c r="O73" s="228">
        <v>6.05</v>
      </c>
      <c r="P73" s="229">
        <v>7.4999999999999997E-3</v>
      </c>
      <c r="Q73" s="228">
        <v>814.7</v>
      </c>
      <c r="R73" s="228">
        <v>807.9</v>
      </c>
      <c r="S73" s="228">
        <v>6.8</v>
      </c>
      <c r="T73" s="229">
        <v>8.3999999999999995E-3</v>
      </c>
      <c r="U73" s="228">
        <v>0</v>
      </c>
      <c r="V73" s="228">
        <v>0</v>
      </c>
      <c r="W73" s="228">
        <v>0</v>
      </c>
      <c r="X73" s="229">
        <v>0</v>
      </c>
      <c r="Y73" s="228">
        <v>1.1499999999999999</v>
      </c>
      <c r="Z73" s="228">
        <v>1.95</v>
      </c>
      <c r="AA73" s="228">
        <v>-0.8</v>
      </c>
      <c r="AB73" s="229">
        <v>1.4E-3</v>
      </c>
      <c r="AC73" s="228">
        <v>1.1499999999999999</v>
      </c>
      <c r="AD73" s="228">
        <v>1.95</v>
      </c>
      <c r="AE73" s="228">
        <v>-0.8</v>
      </c>
      <c r="AF73" s="229">
        <v>1.4E-3</v>
      </c>
      <c r="AG73" s="228">
        <v>5.6</v>
      </c>
      <c r="AH73" s="228">
        <v>5.65</v>
      </c>
      <c r="AI73" s="228">
        <v>-0.05</v>
      </c>
      <c r="AJ73" s="229">
        <v>6.8999999999999999E-3</v>
      </c>
      <c r="AK73" s="228">
        <v>0</v>
      </c>
      <c r="AL73" s="228">
        <v>0</v>
      </c>
      <c r="AM73" s="228">
        <v>0</v>
      </c>
      <c r="AN73" s="229">
        <v>0</v>
      </c>
      <c r="AO73" s="228">
        <v>810.3</v>
      </c>
      <c r="AP73" s="228">
        <v>813.96</v>
      </c>
      <c r="AQ73" s="228">
        <v>0</v>
      </c>
      <c r="AR73" s="230">
        <v>2899275</v>
      </c>
      <c r="AS73" s="230">
        <v>2500925</v>
      </c>
      <c r="AT73" s="230">
        <v>398350</v>
      </c>
      <c r="AU73" s="229">
        <v>0.1593</v>
      </c>
      <c r="AV73" s="230">
        <v>2238975</v>
      </c>
      <c r="AW73" s="230">
        <v>2052975</v>
      </c>
      <c r="AX73" s="230">
        <v>186000</v>
      </c>
      <c r="AY73" s="229">
        <v>9.06E-2</v>
      </c>
      <c r="AZ73" s="230">
        <v>651775</v>
      </c>
      <c r="BA73" s="230">
        <v>445625</v>
      </c>
      <c r="BB73" s="230">
        <v>206150</v>
      </c>
      <c r="BC73" s="229">
        <v>0.46260000000000001</v>
      </c>
      <c r="BD73" s="228">
        <v>0</v>
      </c>
      <c r="BE73" s="228">
        <v>0</v>
      </c>
      <c r="BF73" s="228">
        <v>0</v>
      </c>
      <c r="BG73" s="229">
        <v>0</v>
      </c>
      <c r="BH73" s="230">
        <v>4666275</v>
      </c>
      <c r="BI73" s="230">
        <v>2914775</v>
      </c>
      <c r="BJ73" s="230">
        <v>1751500</v>
      </c>
      <c r="BK73" s="229">
        <v>0.60089999999999999</v>
      </c>
      <c r="BL73" s="230">
        <v>1684850</v>
      </c>
      <c r="BM73" s="230">
        <v>2297100</v>
      </c>
      <c r="BN73" s="230">
        <v>-612250</v>
      </c>
      <c r="BO73" s="229">
        <v>-0.26650000000000001</v>
      </c>
      <c r="BP73" s="230">
        <v>9250400</v>
      </c>
      <c r="BQ73" s="230">
        <v>7712800</v>
      </c>
      <c r="BR73" s="230">
        <v>1537600</v>
      </c>
      <c r="BS73" s="229">
        <v>0.19939999999999999</v>
      </c>
      <c r="BT73" s="230">
        <v>1619711</v>
      </c>
      <c r="BU73" s="230">
        <v>1298010</v>
      </c>
      <c r="BV73" s="230">
        <v>321701</v>
      </c>
      <c r="BW73" s="229">
        <v>0.24779999999999999</v>
      </c>
      <c r="BX73" s="230">
        <v>9241100</v>
      </c>
      <c r="BY73" s="230">
        <v>8624975</v>
      </c>
      <c r="BZ73" s="230">
        <v>616125</v>
      </c>
      <c r="CA73" s="229">
        <v>7.1400000000000005E-2</v>
      </c>
      <c r="CB73" s="230">
        <v>8478500</v>
      </c>
      <c r="CC73" s="230">
        <v>8221975</v>
      </c>
      <c r="CD73" s="230">
        <v>256525</v>
      </c>
      <c r="CE73" s="229">
        <v>3.1199999999999999E-2</v>
      </c>
      <c r="CF73" s="230">
        <v>735475</v>
      </c>
      <c r="CG73" s="230">
        <v>379750</v>
      </c>
      <c r="CH73" s="230">
        <v>355725</v>
      </c>
      <c r="CI73" s="229">
        <v>0.93669999999999998</v>
      </c>
      <c r="CJ73" s="228">
        <v>0</v>
      </c>
      <c r="CK73" s="228">
        <v>0</v>
      </c>
      <c r="CL73" s="228">
        <v>0</v>
      </c>
      <c r="CM73" s="229">
        <v>0</v>
      </c>
      <c r="CN73" s="230">
        <v>2769850</v>
      </c>
      <c r="CO73" s="230">
        <v>2575325</v>
      </c>
      <c r="CP73" s="230">
        <v>194525</v>
      </c>
      <c r="CQ73" s="229">
        <v>7.5499999999999998E-2</v>
      </c>
      <c r="CR73" s="230">
        <v>1895650</v>
      </c>
      <c r="CS73" s="230">
        <v>1898750</v>
      </c>
      <c r="CT73" s="230">
        <v>-3100</v>
      </c>
      <c r="CU73" s="229">
        <v>-1.6000000000000001E-3</v>
      </c>
      <c r="CV73" s="230">
        <v>13906600</v>
      </c>
      <c r="CW73" s="230">
        <v>13099050</v>
      </c>
      <c r="CX73" s="230">
        <v>807550</v>
      </c>
      <c r="CY73" s="229">
        <v>6.1600000000000002E-2</v>
      </c>
      <c r="CZ73" s="228">
        <v>30.47</v>
      </c>
      <c r="DA73" s="228">
        <v>31.8</v>
      </c>
      <c r="DB73" s="228">
        <v>-1.33</v>
      </c>
      <c r="DC73" s="228">
        <v>-1.33</v>
      </c>
      <c r="DD73" s="228">
        <v>38.049999999999997</v>
      </c>
      <c r="DE73" s="228">
        <v>38.119999999999997</v>
      </c>
      <c r="DF73" s="228">
        <v>-7.58</v>
      </c>
      <c r="DG73" s="228">
        <v>-7.0000000000000007E-2</v>
      </c>
      <c r="DH73" s="228">
        <v>30.06</v>
      </c>
      <c r="DI73" s="228">
        <v>31.56</v>
      </c>
      <c r="DJ73" s="228">
        <v>-1.5</v>
      </c>
      <c r="DK73" s="228">
        <v>-1.5</v>
      </c>
      <c r="DL73" s="228">
        <v>31.61</v>
      </c>
      <c r="DM73" s="228">
        <v>32.119999999999997</v>
      </c>
      <c r="DN73" s="228">
        <v>-0.51</v>
      </c>
      <c r="DO73" s="228">
        <v>-0.51</v>
      </c>
      <c r="DP73" s="228">
        <v>0.68</v>
      </c>
      <c r="DQ73" s="228">
        <v>0.74</v>
      </c>
      <c r="DR73" s="228">
        <v>-0.06</v>
      </c>
      <c r="DS73" s="229">
        <v>-8.1100000000000005E-2</v>
      </c>
      <c r="DT73" s="228">
        <v>900</v>
      </c>
      <c r="DU73" s="228">
        <v>800</v>
      </c>
      <c r="DV73" s="228">
        <v>0.36</v>
      </c>
      <c r="DW73" s="228">
        <v>0.79</v>
      </c>
      <c r="DX73" s="228">
        <v>-0.43</v>
      </c>
      <c r="DY73" s="229">
        <v>-0.54430000000000001</v>
      </c>
      <c r="DZ73" s="229">
        <v>7.9600000000000004E-2</v>
      </c>
      <c r="EA73" s="230">
        <v>379750</v>
      </c>
      <c r="EB73" s="229">
        <v>5.4999999999999997E-3</v>
      </c>
      <c r="EC73" s="229">
        <v>7.9600000000000004E-2</v>
      </c>
      <c r="ED73" s="228">
        <v>3.66</v>
      </c>
      <c r="EE73" s="229">
        <v>4.4999999999999997E-3</v>
      </c>
      <c r="EF73" s="230">
        <v>826166</v>
      </c>
      <c r="EG73" s="230">
        <v>734212</v>
      </c>
      <c r="EH73" s="229">
        <v>0.12520000000000001</v>
      </c>
      <c r="EI73" s="229">
        <v>0.5101</v>
      </c>
      <c r="EJ73" s="231">
        <v>39085.93</v>
      </c>
      <c r="EK73" s="231">
        <v>13203.84</v>
      </c>
      <c r="EL73" s="231">
        <v>23517.01</v>
      </c>
      <c r="EM73" s="228">
        <v>0</v>
      </c>
      <c r="EN73" s="231">
        <v>75806.78</v>
      </c>
      <c r="EO73" s="231">
        <v>62272.13</v>
      </c>
      <c r="EP73" s="231">
        <v>13534.65</v>
      </c>
      <c r="EQ73" s="229">
        <v>0.21729999999999999</v>
      </c>
      <c r="ER73" s="231">
        <v>23177</v>
      </c>
      <c r="ES73" s="231">
        <v>14408</v>
      </c>
      <c r="ET73" s="231">
        <v>74911</v>
      </c>
      <c r="EU73" s="231">
        <v>103932806</v>
      </c>
      <c r="EV73" s="231">
        <v>112495</v>
      </c>
      <c r="EW73" s="231">
        <v>105349</v>
      </c>
      <c r="EX73" s="231">
        <v>7146</v>
      </c>
      <c r="EY73" s="229">
        <v>6.7799999999999999E-2</v>
      </c>
      <c r="EZ73" s="229">
        <v>0.1338</v>
      </c>
      <c r="FA73" s="227" t="s">
        <v>555</v>
      </c>
      <c r="FB73" s="161">
        <f t="shared" si="1"/>
        <v>762600</v>
      </c>
    </row>
    <row r="74" spans="1:158" ht="17.25" thickBot="1" x14ac:dyDescent="0.3">
      <c r="A74" s="226">
        <v>45860</v>
      </c>
      <c r="B74" s="227" t="s">
        <v>193</v>
      </c>
      <c r="C74" s="227" t="s">
        <v>213</v>
      </c>
      <c r="D74" s="228">
        <v>3150</v>
      </c>
      <c r="E74" s="228">
        <v>183.99</v>
      </c>
      <c r="F74" s="228">
        <v>184.11</v>
      </c>
      <c r="G74" s="228">
        <v>-0.12</v>
      </c>
      <c r="H74" s="229">
        <v>-6.9999999999999999E-4</v>
      </c>
      <c r="I74" s="228">
        <v>184.03</v>
      </c>
      <c r="J74" s="228">
        <v>184.12</v>
      </c>
      <c r="K74" s="228">
        <v>-0.09</v>
      </c>
      <c r="L74" s="229">
        <v>-5.0000000000000001E-4</v>
      </c>
      <c r="M74" s="228">
        <v>183.99</v>
      </c>
      <c r="N74" s="228">
        <v>184.11</v>
      </c>
      <c r="O74" s="228">
        <v>-0.12</v>
      </c>
      <c r="P74" s="229">
        <v>-6.9999999999999999E-4</v>
      </c>
      <c r="Q74" s="228">
        <v>183.88</v>
      </c>
      <c r="R74" s="228">
        <v>184.5</v>
      </c>
      <c r="S74" s="228">
        <v>-0.62</v>
      </c>
      <c r="T74" s="229">
        <v>-3.3999999999999998E-3</v>
      </c>
      <c r="U74" s="228">
        <v>0</v>
      </c>
      <c r="V74" s="228">
        <v>0</v>
      </c>
      <c r="W74" s="228">
        <v>0</v>
      </c>
      <c r="X74" s="229">
        <v>0</v>
      </c>
      <c r="Y74" s="228">
        <v>-0.04</v>
      </c>
      <c r="Z74" s="228">
        <v>-0.01</v>
      </c>
      <c r="AA74" s="228">
        <v>-0.03</v>
      </c>
      <c r="AB74" s="229">
        <v>-2.0000000000000001E-4</v>
      </c>
      <c r="AC74" s="228">
        <v>-0.04</v>
      </c>
      <c r="AD74" s="228">
        <v>-0.01</v>
      </c>
      <c r="AE74" s="228">
        <v>-0.03</v>
      </c>
      <c r="AF74" s="229">
        <v>-2.0000000000000001E-4</v>
      </c>
      <c r="AG74" s="228">
        <v>-0.15</v>
      </c>
      <c r="AH74" s="228">
        <v>0.38</v>
      </c>
      <c r="AI74" s="228">
        <v>-0.53</v>
      </c>
      <c r="AJ74" s="229">
        <v>-8.0000000000000004E-4</v>
      </c>
      <c r="AK74" s="228">
        <v>0</v>
      </c>
      <c r="AL74" s="228">
        <v>0</v>
      </c>
      <c r="AM74" s="228">
        <v>0</v>
      </c>
      <c r="AN74" s="229">
        <v>0</v>
      </c>
      <c r="AO74" s="228">
        <v>183.97</v>
      </c>
      <c r="AP74" s="228">
        <v>184.09</v>
      </c>
      <c r="AQ74" s="228">
        <v>0</v>
      </c>
      <c r="AR74" s="230">
        <v>13645800</v>
      </c>
      <c r="AS74" s="230">
        <v>10114650</v>
      </c>
      <c r="AT74" s="230">
        <v>3531150</v>
      </c>
      <c r="AU74" s="229">
        <v>0.34910000000000002</v>
      </c>
      <c r="AV74" s="230">
        <v>10388700</v>
      </c>
      <c r="AW74" s="230">
        <v>8942850</v>
      </c>
      <c r="AX74" s="230">
        <v>1445850</v>
      </c>
      <c r="AY74" s="229">
        <v>0.16170000000000001</v>
      </c>
      <c r="AZ74" s="230">
        <v>3064950</v>
      </c>
      <c r="BA74" s="230">
        <v>1130850</v>
      </c>
      <c r="BB74" s="230">
        <v>1934100</v>
      </c>
      <c r="BC74" s="229">
        <v>1.7102999999999999</v>
      </c>
      <c r="BD74" s="228">
        <v>0</v>
      </c>
      <c r="BE74" s="228">
        <v>0</v>
      </c>
      <c r="BF74" s="228">
        <v>0</v>
      </c>
      <c r="BG74" s="229">
        <v>0</v>
      </c>
      <c r="BH74" s="230">
        <v>23987250</v>
      </c>
      <c r="BI74" s="230">
        <v>16502850</v>
      </c>
      <c r="BJ74" s="230">
        <v>7484400</v>
      </c>
      <c r="BK74" s="229">
        <v>0.45350000000000001</v>
      </c>
      <c r="BL74" s="230">
        <v>13340250</v>
      </c>
      <c r="BM74" s="230">
        <v>5997600</v>
      </c>
      <c r="BN74" s="230">
        <v>7342650</v>
      </c>
      <c r="BO74" s="229">
        <v>1.2242999999999999</v>
      </c>
      <c r="BP74" s="230">
        <v>50973300</v>
      </c>
      <c r="BQ74" s="230">
        <v>32615100</v>
      </c>
      <c r="BR74" s="230">
        <v>18358200</v>
      </c>
      <c r="BS74" s="229">
        <v>0.56289999999999996</v>
      </c>
      <c r="BT74" s="230">
        <v>7740302</v>
      </c>
      <c r="BU74" s="230">
        <v>6634860</v>
      </c>
      <c r="BV74" s="230">
        <v>1105442</v>
      </c>
      <c r="BW74" s="229">
        <v>0.1666</v>
      </c>
      <c r="BX74" s="230">
        <v>108939600</v>
      </c>
      <c r="BY74" s="230">
        <v>109424700</v>
      </c>
      <c r="BZ74" s="230">
        <v>-485100</v>
      </c>
      <c r="CA74" s="229">
        <v>-4.4000000000000003E-3</v>
      </c>
      <c r="CB74" s="230">
        <v>80233650</v>
      </c>
      <c r="CC74" s="230">
        <v>82082700</v>
      </c>
      <c r="CD74" s="230">
        <v>-1849050</v>
      </c>
      <c r="CE74" s="229">
        <v>-2.2499999999999999E-2</v>
      </c>
      <c r="CF74" s="230">
        <v>27464850</v>
      </c>
      <c r="CG74" s="230">
        <v>26176500</v>
      </c>
      <c r="CH74" s="230">
        <v>1288350</v>
      </c>
      <c r="CI74" s="229">
        <v>4.9200000000000001E-2</v>
      </c>
      <c r="CJ74" s="228">
        <v>0</v>
      </c>
      <c r="CK74" s="228">
        <v>0</v>
      </c>
      <c r="CL74" s="228">
        <v>0</v>
      </c>
      <c r="CM74" s="229">
        <v>0</v>
      </c>
      <c r="CN74" s="230">
        <v>49117950</v>
      </c>
      <c r="CO74" s="230">
        <v>49801500</v>
      </c>
      <c r="CP74" s="230">
        <v>-683550</v>
      </c>
      <c r="CQ74" s="229">
        <v>-1.37E-2</v>
      </c>
      <c r="CR74" s="230">
        <v>29581650</v>
      </c>
      <c r="CS74" s="230">
        <v>29323350</v>
      </c>
      <c r="CT74" s="230">
        <v>258300</v>
      </c>
      <c r="CU74" s="229">
        <v>8.8000000000000005E-3</v>
      </c>
      <c r="CV74" s="230">
        <v>187639200</v>
      </c>
      <c r="CW74" s="230">
        <v>188549550</v>
      </c>
      <c r="CX74" s="230">
        <v>-910350</v>
      </c>
      <c r="CY74" s="229">
        <v>-4.7999999999999996E-3</v>
      </c>
      <c r="CZ74" s="228">
        <v>32.06</v>
      </c>
      <c r="DA74" s="228">
        <v>29.4</v>
      </c>
      <c r="DB74" s="228">
        <v>2.66</v>
      </c>
      <c r="DC74" s="228">
        <v>2.66</v>
      </c>
      <c r="DD74" s="228">
        <v>39.770000000000003</v>
      </c>
      <c r="DE74" s="228">
        <v>39.869999999999997</v>
      </c>
      <c r="DF74" s="228">
        <v>-7.71</v>
      </c>
      <c r="DG74" s="228">
        <v>-0.1</v>
      </c>
      <c r="DH74" s="228">
        <v>32.61</v>
      </c>
      <c r="DI74" s="228">
        <v>29.9</v>
      </c>
      <c r="DJ74" s="228">
        <v>2.71</v>
      </c>
      <c r="DK74" s="228">
        <v>2.71</v>
      </c>
      <c r="DL74" s="228">
        <v>31.09</v>
      </c>
      <c r="DM74" s="228">
        <v>28.01</v>
      </c>
      <c r="DN74" s="228">
        <v>3.08</v>
      </c>
      <c r="DO74" s="228">
        <v>3.08</v>
      </c>
      <c r="DP74" s="228">
        <v>0.6</v>
      </c>
      <c r="DQ74" s="228">
        <v>0.59</v>
      </c>
      <c r="DR74" s="228">
        <v>0.01</v>
      </c>
      <c r="DS74" s="229">
        <v>1.6899999999999998E-2</v>
      </c>
      <c r="DT74" s="228">
        <v>190</v>
      </c>
      <c r="DU74" s="228">
        <v>185</v>
      </c>
      <c r="DV74" s="228">
        <v>0.56000000000000005</v>
      </c>
      <c r="DW74" s="228">
        <v>0.36</v>
      </c>
      <c r="DX74" s="228">
        <v>0.2</v>
      </c>
      <c r="DY74" s="229">
        <v>0.55559999999999998</v>
      </c>
      <c r="DZ74" s="229">
        <v>0.25209999999999999</v>
      </c>
      <c r="EA74" s="230">
        <v>26176500</v>
      </c>
      <c r="EB74" s="229">
        <v>-5.9999999999999995E-4</v>
      </c>
      <c r="EC74" s="229">
        <v>0.25209999999999999</v>
      </c>
      <c r="ED74" s="228">
        <v>0.12</v>
      </c>
      <c r="EE74" s="229">
        <v>6.9999999999999999E-4</v>
      </c>
      <c r="EF74" s="230">
        <v>4728383</v>
      </c>
      <c r="EG74" s="230">
        <v>4203802</v>
      </c>
      <c r="EH74" s="229">
        <v>0.12479999999999999</v>
      </c>
      <c r="EI74" s="229">
        <v>0.6109</v>
      </c>
      <c r="EJ74" s="231">
        <v>46348.69</v>
      </c>
      <c r="EK74" s="231">
        <v>24802.68</v>
      </c>
      <c r="EL74" s="231">
        <v>25110.92</v>
      </c>
      <c r="EM74" s="228">
        <v>0</v>
      </c>
      <c r="EN74" s="231">
        <v>96262.29</v>
      </c>
      <c r="EO74" s="231">
        <v>61724.41</v>
      </c>
      <c r="EP74" s="231">
        <v>34537.879999999997</v>
      </c>
      <c r="EQ74" s="229">
        <v>0.5595</v>
      </c>
      <c r="ER74" s="231">
        <v>95881</v>
      </c>
      <c r="ES74" s="231">
        <v>54981</v>
      </c>
      <c r="ET74" s="231">
        <v>200420</v>
      </c>
      <c r="EU74" s="231">
        <v>628365076</v>
      </c>
      <c r="EV74" s="231">
        <v>351282</v>
      </c>
      <c r="EW74" s="231">
        <v>353412</v>
      </c>
      <c r="EX74" s="231">
        <v>-2130</v>
      </c>
      <c r="EY74" s="229">
        <v>-6.0000000000000001E-3</v>
      </c>
      <c r="EZ74" s="229">
        <v>0.29859999999999998</v>
      </c>
      <c r="FA74" s="227" t="s">
        <v>568</v>
      </c>
      <c r="FB74" s="161">
        <f t="shared" si="1"/>
        <v>28705950</v>
      </c>
    </row>
    <row r="75" spans="1:158" ht="17.25" thickBot="1" x14ac:dyDescent="0.3">
      <c r="A75" s="226">
        <v>45860</v>
      </c>
      <c r="B75" s="227" t="s">
        <v>170</v>
      </c>
      <c r="C75" s="227" t="s">
        <v>214</v>
      </c>
      <c r="D75" s="228">
        <v>375</v>
      </c>
      <c r="E75" s="231">
        <v>2161.5</v>
      </c>
      <c r="F75" s="231">
        <v>2193</v>
      </c>
      <c r="G75" s="228">
        <v>-31.5</v>
      </c>
      <c r="H75" s="229">
        <v>-1.44E-2</v>
      </c>
      <c r="I75" s="231">
        <v>2157.9</v>
      </c>
      <c r="J75" s="231">
        <v>2184.8000000000002</v>
      </c>
      <c r="K75" s="228">
        <v>-26.9</v>
      </c>
      <c r="L75" s="229">
        <v>-1.23E-2</v>
      </c>
      <c r="M75" s="231">
        <v>2161.5</v>
      </c>
      <c r="N75" s="231">
        <v>2193</v>
      </c>
      <c r="O75" s="228">
        <v>-31.5</v>
      </c>
      <c r="P75" s="229">
        <v>-1.44E-2</v>
      </c>
      <c r="Q75" s="231">
        <v>2171.3000000000002</v>
      </c>
      <c r="R75" s="231">
        <v>2202.6</v>
      </c>
      <c r="S75" s="228">
        <v>-31.3</v>
      </c>
      <c r="T75" s="229">
        <v>-1.4200000000000001E-2</v>
      </c>
      <c r="U75" s="228">
        <v>0</v>
      </c>
      <c r="V75" s="228">
        <v>0</v>
      </c>
      <c r="W75" s="228">
        <v>0</v>
      </c>
      <c r="X75" s="229">
        <v>0</v>
      </c>
      <c r="Y75" s="228">
        <v>3.6</v>
      </c>
      <c r="Z75" s="228">
        <v>8.1999999999999993</v>
      </c>
      <c r="AA75" s="228">
        <v>-4.5999999999999996</v>
      </c>
      <c r="AB75" s="229">
        <v>1.6999999999999999E-3</v>
      </c>
      <c r="AC75" s="228">
        <v>3.6</v>
      </c>
      <c r="AD75" s="228">
        <v>8.1999999999999993</v>
      </c>
      <c r="AE75" s="228">
        <v>-4.5999999999999996</v>
      </c>
      <c r="AF75" s="229">
        <v>1.6999999999999999E-3</v>
      </c>
      <c r="AG75" s="228">
        <v>13.4</v>
      </c>
      <c r="AH75" s="228">
        <v>17.8</v>
      </c>
      <c r="AI75" s="228">
        <v>-4.4000000000000004</v>
      </c>
      <c r="AJ75" s="229">
        <v>6.1999999999999998E-3</v>
      </c>
      <c r="AK75" s="228">
        <v>0</v>
      </c>
      <c r="AL75" s="228">
        <v>0</v>
      </c>
      <c r="AM75" s="228">
        <v>0</v>
      </c>
      <c r="AN75" s="229">
        <v>0</v>
      </c>
      <c r="AO75" s="231">
        <v>2168.16</v>
      </c>
      <c r="AP75" s="231">
        <v>2177.0100000000002</v>
      </c>
      <c r="AQ75" s="228">
        <v>0</v>
      </c>
      <c r="AR75" s="230">
        <v>1792875</v>
      </c>
      <c r="AS75" s="230">
        <v>1684125</v>
      </c>
      <c r="AT75" s="230">
        <v>108750</v>
      </c>
      <c r="AU75" s="229">
        <v>6.4600000000000005E-2</v>
      </c>
      <c r="AV75" s="230">
        <v>1549125</v>
      </c>
      <c r="AW75" s="230">
        <v>1505625</v>
      </c>
      <c r="AX75" s="230">
        <v>43500</v>
      </c>
      <c r="AY75" s="229">
        <v>2.8899999999999999E-2</v>
      </c>
      <c r="AZ75" s="230">
        <v>237375</v>
      </c>
      <c r="BA75" s="230">
        <v>172125</v>
      </c>
      <c r="BB75" s="230">
        <v>65250</v>
      </c>
      <c r="BC75" s="229">
        <v>0.37909999999999999</v>
      </c>
      <c r="BD75" s="228">
        <v>0</v>
      </c>
      <c r="BE75" s="228">
        <v>0</v>
      </c>
      <c r="BF75" s="228">
        <v>0</v>
      </c>
      <c r="BG75" s="229">
        <v>0</v>
      </c>
      <c r="BH75" s="230">
        <v>4688250</v>
      </c>
      <c r="BI75" s="230">
        <v>4023375</v>
      </c>
      <c r="BJ75" s="230">
        <v>664875</v>
      </c>
      <c r="BK75" s="229">
        <v>0.1653</v>
      </c>
      <c r="BL75" s="230">
        <v>4371000</v>
      </c>
      <c r="BM75" s="230">
        <v>4081875</v>
      </c>
      <c r="BN75" s="230">
        <v>289125</v>
      </c>
      <c r="BO75" s="229">
        <v>7.0800000000000002E-2</v>
      </c>
      <c r="BP75" s="230">
        <v>10852125</v>
      </c>
      <c r="BQ75" s="230">
        <v>9789375</v>
      </c>
      <c r="BR75" s="230">
        <v>1062750</v>
      </c>
      <c r="BS75" s="229">
        <v>0.1086</v>
      </c>
      <c r="BT75" s="230">
        <v>1559612</v>
      </c>
      <c r="BU75" s="230">
        <v>1677668</v>
      </c>
      <c r="BV75" s="230">
        <v>-118056</v>
      </c>
      <c r="BW75" s="229">
        <v>-7.0400000000000004E-2</v>
      </c>
      <c r="BX75" s="230">
        <v>8859750</v>
      </c>
      <c r="BY75" s="230">
        <v>9151125</v>
      </c>
      <c r="BZ75" s="230">
        <v>-291375</v>
      </c>
      <c r="CA75" s="229">
        <v>-3.1800000000000002E-2</v>
      </c>
      <c r="CB75" s="230">
        <v>7645875</v>
      </c>
      <c r="CC75" s="230">
        <v>7882500</v>
      </c>
      <c r="CD75" s="230">
        <v>-236625</v>
      </c>
      <c r="CE75" s="229">
        <v>-0.03</v>
      </c>
      <c r="CF75" s="230">
        <v>1116375</v>
      </c>
      <c r="CG75" s="230">
        <v>1168875</v>
      </c>
      <c r="CH75" s="230">
        <v>-52500</v>
      </c>
      <c r="CI75" s="229">
        <v>-4.4900000000000002E-2</v>
      </c>
      <c r="CJ75" s="228">
        <v>0</v>
      </c>
      <c r="CK75" s="228">
        <v>0</v>
      </c>
      <c r="CL75" s="228">
        <v>0</v>
      </c>
      <c r="CM75" s="229">
        <v>0</v>
      </c>
      <c r="CN75" s="230">
        <v>7445625</v>
      </c>
      <c r="CO75" s="230">
        <v>7632750</v>
      </c>
      <c r="CP75" s="230">
        <v>-187125</v>
      </c>
      <c r="CQ75" s="229">
        <v>-2.4500000000000001E-2</v>
      </c>
      <c r="CR75" s="230">
        <v>6916125</v>
      </c>
      <c r="CS75" s="230">
        <v>7335750</v>
      </c>
      <c r="CT75" s="230">
        <v>-419625</v>
      </c>
      <c r="CU75" s="229">
        <v>-5.7200000000000001E-2</v>
      </c>
      <c r="CV75" s="230">
        <v>23221500</v>
      </c>
      <c r="CW75" s="230">
        <v>24119625</v>
      </c>
      <c r="CX75" s="230">
        <v>-898125</v>
      </c>
      <c r="CY75" s="229">
        <v>-3.7199999999999997E-2</v>
      </c>
      <c r="CZ75" s="228">
        <v>32.44</v>
      </c>
      <c r="DA75" s="228">
        <v>35.46</v>
      </c>
      <c r="DB75" s="228">
        <v>-3.02</v>
      </c>
      <c r="DC75" s="228">
        <v>-3.02</v>
      </c>
      <c r="DD75" s="228">
        <v>40.99</v>
      </c>
      <c r="DE75" s="228">
        <v>41.06</v>
      </c>
      <c r="DF75" s="228">
        <v>-8.5500000000000007</v>
      </c>
      <c r="DG75" s="228">
        <v>-7.0000000000000007E-2</v>
      </c>
      <c r="DH75" s="228">
        <v>31.86</v>
      </c>
      <c r="DI75" s="228">
        <v>34.049999999999997</v>
      </c>
      <c r="DJ75" s="228">
        <v>-2.19</v>
      </c>
      <c r="DK75" s="228">
        <v>-2.19</v>
      </c>
      <c r="DL75" s="228">
        <v>33.06</v>
      </c>
      <c r="DM75" s="228">
        <v>36.840000000000003</v>
      </c>
      <c r="DN75" s="228">
        <v>-3.78</v>
      </c>
      <c r="DO75" s="228">
        <v>-3.78</v>
      </c>
      <c r="DP75" s="228">
        <v>0.93</v>
      </c>
      <c r="DQ75" s="228">
        <v>0.96</v>
      </c>
      <c r="DR75" s="228">
        <v>-0.03</v>
      </c>
      <c r="DS75" s="229">
        <v>-3.1199999999999999E-2</v>
      </c>
      <c r="DT75" s="231">
        <v>2200</v>
      </c>
      <c r="DU75" s="231">
        <v>1900</v>
      </c>
      <c r="DV75" s="228">
        <v>0.93</v>
      </c>
      <c r="DW75" s="228">
        <v>1.01</v>
      </c>
      <c r="DX75" s="228">
        <v>-0.08</v>
      </c>
      <c r="DY75" s="229">
        <v>-7.9200000000000007E-2</v>
      </c>
      <c r="DZ75" s="229">
        <v>0.126</v>
      </c>
      <c r="EA75" s="230">
        <v>1168875</v>
      </c>
      <c r="EB75" s="229">
        <v>4.4999999999999997E-3</v>
      </c>
      <c r="EC75" s="229">
        <v>0.126</v>
      </c>
      <c r="ED75" s="228">
        <v>8.85</v>
      </c>
      <c r="EE75" s="229">
        <v>4.1000000000000003E-3</v>
      </c>
      <c r="EF75" s="230">
        <v>991051</v>
      </c>
      <c r="EG75" s="230">
        <v>1082300</v>
      </c>
      <c r="EH75" s="229">
        <v>-8.43E-2</v>
      </c>
      <c r="EI75" s="229">
        <v>0.63539999999999996</v>
      </c>
      <c r="EJ75" s="231">
        <v>106959.44</v>
      </c>
      <c r="EK75" s="231">
        <v>92701.31</v>
      </c>
      <c r="EL75" s="231">
        <v>38894.620000000003</v>
      </c>
      <c r="EM75" s="228">
        <v>0</v>
      </c>
      <c r="EN75" s="231">
        <v>238555.37</v>
      </c>
      <c r="EO75" s="231">
        <v>216541.24</v>
      </c>
      <c r="EP75" s="231">
        <v>22014.13</v>
      </c>
      <c r="EQ75" s="229">
        <v>0.1017</v>
      </c>
      <c r="ER75" s="231">
        <v>155926</v>
      </c>
      <c r="ES75" s="231">
        <v>133954</v>
      </c>
      <c r="ET75" s="231">
        <v>191633</v>
      </c>
      <c r="EU75" s="231">
        <v>30111043</v>
      </c>
      <c r="EV75" s="231">
        <v>481513</v>
      </c>
      <c r="EW75" s="231">
        <v>503793</v>
      </c>
      <c r="EX75" s="231">
        <v>-22280</v>
      </c>
      <c r="EY75" s="229">
        <v>-4.4200000000000003E-2</v>
      </c>
      <c r="EZ75" s="229">
        <v>0.7712</v>
      </c>
      <c r="FA75" s="227" t="s">
        <v>568</v>
      </c>
      <c r="FB75" s="161">
        <f t="shared" si="1"/>
        <v>1213875</v>
      </c>
    </row>
    <row r="76" spans="1:158" ht="17.25" thickBot="1" x14ac:dyDescent="0.3">
      <c r="A76" s="226">
        <v>45860</v>
      </c>
      <c r="B76" s="227" t="s">
        <v>215</v>
      </c>
      <c r="C76" s="227" t="s">
        <v>632</v>
      </c>
      <c r="D76" s="228">
        <v>6975</v>
      </c>
      <c r="E76" s="228">
        <v>91.99</v>
      </c>
      <c r="F76" s="228">
        <v>93.77</v>
      </c>
      <c r="G76" s="228">
        <v>-1.78</v>
      </c>
      <c r="H76" s="229">
        <v>-1.9E-2</v>
      </c>
      <c r="I76" s="228">
        <v>91.92</v>
      </c>
      <c r="J76" s="228">
        <v>93.44</v>
      </c>
      <c r="K76" s="228">
        <v>-1.52</v>
      </c>
      <c r="L76" s="229">
        <v>-1.6299999999999999E-2</v>
      </c>
      <c r="M76" s="228">
        <v>91.99</v>
      </c>
      <c r="N76" s="228">
        <v>93.77</v>
      </c>
      <c r="O76" s="228">
        <v>-1.78</v>
      </c>
      <c r="P76" s="229">
        <v>-1.9E-2</v>
      </c>
      <c r="Q76" s="228">
        <v>92.5</v>
      </c>
      <c r="R76" s="228">
        <v>94.2</v>
      </c>
      <c r="S76" s="228">
        <v>-1.7</v>
      </c>
      <c r="T76" s="229">
        <v>-1.7999999999999999E-2</v>
      </c>
      <c r="U76" s="228">
        <v>0</v>
      </c>
      <c r="V76" s="228">
        <v>0</v>
      </c>
      <c r="W76" s="228">
        <v>0</v>
      </c>
      <c r="X76" s="229">
        <v>0</v>
      </c>
      <c r="Y76" s="228">
        <v>7.0000000000000007E-2</v>
      </c>
      <c r="Z76" s="228">
        <v>0.33</v>
      </c>
      <c r="AA76" s="228">
        <v>-0.26</v>
      </c>
      <c r="AB76" s="229">
        <v>8.0000000000000004E-4</v>
      </c>
      <c r="AC76" s="228">
        <v>7.0000000000000007E-2</v>
      </c>
      <c r="AD76" s="228">
        <v>0.33</v>
      </c>
      <c r="AE76" s="228">
        <v>-0.26</v>
      </c>
      <c r="AF76" s="229">
        <v>8.0000000000000004E-4</v>
      </c>
      <c r="AG76" s="228">
        <v>0.57999999999999996</v>
      </c>
      <c r="AH76" s="228">
        <v>0.76</v>
      </c>
      <c r="AI76" s="228">
        <v>-0.18</v>
      </c>
      <c r="AJ76" s="229">
        <v>6.3E-3</v>
      </c>
      <c r="AK76" s="228">
        <v>0</v>
      </c>
      <c r="AL76" s="228">
        <v>0</v>
      </c>
      <c r="AM76" s="228">
        <v>0</v>
      </c>
      <c r="AN76" s="229">
        <v>0</v>
      </c>
      <c r="AO76" s="228">
        <v>92.58</v>
      </c>
      <c r="AP76" s="228">
        <v>93.21</v>
      </c>
      <c r="AQ76" s="228">
        <v>0</v>
      </c>
      <c r="AR76" s="230">
        <v>16914375</v>
      </c>
      <c r="AS76" s="230">
        <v>13664025</v>
      </c>
      <c r="AT76" s="230">
        <v>3250350</v>
      </c>
      <c r="AU76" s="229">
        <v>0.2379</v>
      </c>
      <c r="AV76" s="230">
        <v>12122550</v>
      </c>
      <c r="AW76" s="230">
        <v>10267200</v>
      </c>
      <c r="AX76" s="230">
        <v>1855350</v>
      </c>
      <c r="AY76" s="229">
        <v>0.1807</v>
      </c>
      <c r="AZ76" s="230">
        <v>4673250</v>
      </c>
      <c r="BA76" s="230">
        <v>3320100</v>
      </c>
      <c r="BB76" s="230">
        <v>1353150</v>
      </c>
      <c r="BC76" s="229">
        <v>0.40760000000000002</v>
      </c>
      <c r="BD76" s="228">
        <v>0</v>
      </c>
      <c r="BE76" s="228">
        <v>0</v>
      </c>
      <c r="BF76" s="228">
        <v>0</v>
      </c>
      <c r="BG76" s="229">
        <v>0</v>
      </c>
      <c r="BH76" s="230">
        <v>58952700</v>
      </c>
      <c r="BI76" s="230">
        <v>40329450</v>
      </c>
      <c r="BJ76" s="230">
        <v>18623250</v>
      </c>
      <c r="BK76" s="229">
        <v>0.46179999999999999</v>
      </c>
      <c r="BL76" s="230">
        <v>21762000</v>
      </c>
      <c r="BM76" s="230">
        <v>21371400</v>
      </c>
      <c r="BN76" s="230">
        <v>390600</v>
      </c>
      <c r="BO76" s="229">
        <v>1.83E-2</v>
      </c>
      <c r="BP76" s="230">
        <v>97629075</v>
      </c>
      <c r="BQ76" s="230">
        <v>75364875</v>
      </c>
      <c r="BR76" s="230">
        <v>22264200</v>
      </c>
      <c r="BS76" s="229">
        <v>0.2954</v>
      </c>
      <c r="BT76" s="230">
        <v>7543460</v>
      </c>
      <c r="BU76" s="230">
        <v>4922563</v>
      </c>
      <c r="BV76" s="230">
        <v>2620897</v>
      </c>
      <c r="BW76" s="229">
        <v>0.53239999999999998</v>
      </c>
      <c r="BX76" s="230">
        <v>184921200</v>
      </c>
      <c r="BY76" s="230">
        <v>187320600</v>
      </c>
      <c r="BZ76" s="230">
        <v>-2399400</v>
      </c>
      <c r="CA76" s="229">
        <v>-1.2800000000000001E-2</v>
      </c>
      <c r="CB76" s="230">
        <v>170741025</v>
      </c>
      <c r="CC76" s="230">
        <v>173837925</v>
      </c>
      <c r="CD76" s="230">
        <v>-3096900</v>
      </c>
      <c r="CE76" s="229">
        <v>-1.78E-2</v>
      </c>
      <c r="CF76" s="230">
        <v>12561975</v>
      </c>
      <c r="CG76" s="230">
        <v>11934225</v>
      </c>
      <c r="CH76" s="230">
        <v>627750</v>
      </c>
      <c r="CI76" s="229">
        <v>5.2600000000000001E-2</v>
      </c>
      <c r="CJ76" s="228">
        <v>0</v>
      </c>
      <c r="CK76" s="228">
        <v>0</v>
      </c>
      <c r="CL76" s="228">
        <v>0</v>
      </c>
      <c r="CM76" s="229">
        <v>0</v>
      </c>
      <c r="CN76" s="230">
        <v>90640125</v>
      </c>
      <c r="CO76" s="230">
        <v>88833600</v>
      </c>
      <c r="CP76" s="230">
        <v>1806525</v>
      </c>
      <c r="CQ76" s="229">
        <v>2.0299999999999999E-2</v>
      </c>
      <c r="CR76" s="230">
        <v>45672300</v>
      </c>
      <c r="CS76" s="230">
        <v>45846675</v>
      </c>
      <c r="CT76" s="230">
        <v>-174375</v>
      </c>
      <c r="CU76" s="229">
        <v>-3.8E-3</v>
      </c>
      <c r="CV76" s="230">
        <v>321233625</v>
      </c>
      <c r="CW76" s="230">
        <v>322000875</v>
      </c>
      <c r="CX76" s="230">
        <v>-767250</v>
      </c>
      <c r="CY76" s="229">
        <v>-2.3999999999999998E-3</v>
      </c>
      <c r="CZ76" s="228">
        <v>25.65</v>
      </c>
      <c r="DA76" s="228">
        <v>27.94</v>
      </c>
      <c r="DB76" s="228">
        <v>-2.29</v>
      </c>
      <c r="DC76" s="228">
        <v>-2.29</v>
      </c>
      <c r="DD76" s="228">
        <v>40.61</v>
      </c>
      <c r="DE76" s="228">
        <v>40.630000000000003</v>
      </c>
      <c r="DF76" s="228">
        <v>-14.96</v>
      </c>
      <c r="DG76" s="228">
        <v>-0.02</v>
      </c>
      <c r="DH76" s="228">
        <v>26.25</v>
      </c>
      <c r="DI76" s="228">
        <v>27.71</v>
      </c>
      <c r="DJ76" s="228">
        <v>-1.46</v>
      </c>
      <c r="DK76" s="228">
        <v>-1.46</v>
      </c>
      <c r="DL76" s="228">
        <v>24.04</v>
      </c>
      <c r="DM76" s="228">
        <v>28.38</v>
      </c>
      <c r="DN76" s="228">
        <v>-4.34</v>
      </c>
      <c r="DO76" s="228">
        <v>-4.34</v>
      </c>
      <c r="DP76" s="228">
        <v>0.5</v>
      </c>
      <c r="DQ76" s="228">
        <v>0.52</v>
      </c>
      <c r="DR76" s="228">
        <v>-0.02</v>
      </c>
      <c r="DS76" s="229">
        <v>-3.85E-2</v>
      </c>
      <c r="DT76" s="228">
        <v>100</v>
      </c>
      <c r="DU76" s="228">
        <v>90</v>
      </c>
      <c r="DV76" s="228">
        <v>0.37</v>
      </c>
      <c r="DW76" s="228">
        <v>0.53</v>
      </c>
      <c r="DX76" s="228">
        <v>-0.16</v>
      </c>
      <c r="DY76" s="229">
        <v>-0.3019</v>
      </c>
      <c r="DZ76" s="229">
        <v>6.7900000000000002E-2</v>
      </c>
      <c r="EA76" s="230">
        <v>11934225</v>
      </c>
      <c r="EB76" s="229">
        <v>5.4999999999999997E-3</v>
      </c>
      <c r="EC76" s="229">
        <v>6.7900000000000002E-2</v>
      </c>
      <c r="ED76" s="228">
        <v>0.63</v>
      </c>
      <c r="EE76" s="229">
        <v>6.7999999999999996E-3</v>
      </c>
      <c r="EF76" s="230">
        <v>4953771</v>
      </c>
      <c r="EG76" s="230">
        <v>2818915</v>
      </c>
      <c r="EH76" s="229">
        <v>0.75729999999999997</v>
      </c>
      <c r="EI76" s="229">
        <v>0.65669999999999995</v>
      </c>
      <c r="EJ76" s="231">
        <v>57016.79</v>
      </c>
      <c r="EK76" s="231">
        <v>20340.79</v>
      </c>
      <c r="EL76" s="231">
        <v>15690.14</v>
      </c>
      <c r="EM76" s="228">
        <v>0</v>
      </c>
      <c r="EN76" s="231">
        <v>93047.72</v>
      </c>
      <c r="EO76" s="231">
        <v>72063.06</v>
      </c>
      <c r="EP76" s="231">
        <v>20984.66</v>
      </c>
      <c r="EQ76" s="229">
        <v>0.29120000000000001</v>
      </c>
      <c r="ER76" s="231">
        <v>86579</v>
      </c>
      <c r="ES76" s="231">
        <v>40700</v>
      </c>
      <c r="ET76" s="231">
        <v>170189</v>
      </c>
      <c r="EU76" s="231">
        <v>712939229</v>
      </c>
      <c r="EV76" s="231">
        <v>297468</v>
      </c>
      <c r="EW76" s="231">
        <v>301448</v>
      </c>
      <c r="EX76" s="231">
        <v>-3980</v>
      </c>
      <c r="EY76" s="229">
        <v>-1.32E-2</v>
      </c>
      <c r="EZ76" s="229">
        <v>0.4506</v>
      </c>
      <c r="FA76" s="227" t="s">
        <v>568</v>
      </c>
      <c r="FB76" s="161">
        <f t="shared" si="1"/>
        <v>14180175</v>
      </c>
    </row>
    <row r="77" spans="1:158" ht="17.25" thickBot="1" x14ac:dyDescent="0.3">
      <c r="A77" s="226">
        <v>45860</v>
      </c>
      <c r="B77" s="227" t="s">
        <v>168</v>
      </c>
      <c r="C77" s="227" t="s">
        <v>217</v>
      </c>
      <c r="D77" s="228">
        <v>500</v>
      </c>
      <c r="E77" s="231">
        <v>1248.2</v>
      </c>
      <c r="F77" s="231">
        <v>1242.5</v>
      </c>
      <c r="G77" s="228">
        <v>5.7</v>
      </c>
      <c r="H77" s="229">
        <v>4.5999999999999999E-3</v>
      </c>
      <c r="I77" s="231">
        <v>1242.4000000000001</v>
      </c>
      <c r="J77" s="231">
        <v>1238.7</v>
      </c>
      <c r="K77" s="228">
        <v>3.7</v>
      </c>
      <c r="L77" s="229">
        <v>3.0000000000000001E-3</v>
      </c>
      <c r="M77" s="231">
        <v>1248.2</v>
      </c>
      <c r="N77" s="231">
        <v>1242.5</v>
      </c>
      <c r="O77" s="228">
        <v>5.7</v>
      </c>
      <c r="P77" s="229">
        <v>4.5999999999999999E-3</v>
      </c>
      <c r="Q77" s="231">
        <v>1251.5999999999999</v>
      </c>
      <c r="R77" s="231">
        <v>1246.4000000000001</v>
      </c>
      <c r="S77" s="228">
        <v>5.2</v>
      </c>
      <c r="T77" s="229">
        <v>4.1999999999999997E-3</v>
      </c>
      <c r="U77" s="228">
        <v>0</v>
      </c>
      <c r="V77" s="228">
        <v>0</v>
      </c>
      <c r="W77" s="228">
        <v>0</v>
      </c>
      <c r="X77" s="229">
        <v>0</v>
      </c>
      <c r="Y77" s="228">
        <v>5.8</v>
      </c>
      <c r="Z77" s="228">
        <v>3.8</v>
      </c>
      <c r="AA77" s="228">
        <v>2</v>
      </c>
      <c r="AB77" s="229">
        <v>4.7000000000000002E-3</v>
      </c>
      <c r="AC77" s="228">
        <v>5.8</v>
      </c>
      <c r="AD77" s="228">
        <v>3.8</v>
      </c>
      <c r="AE77" s="228">
        <v>2</v>
      </c>
      <c r="AF77" s="229">
        <v>4.7000000000000002E-3</v>
      </c>
      <c r="AG77" s="228">
        <v>9.1999999999999993</v>
      </c>
      <c r="AH77" s="228">
        <v>7.7</v>
      </c>
      <c r="AI77" s="228">
        <v>1.5</v>
      </c>
      <c r="AJ77" s="229">
        <v>7.4000000000000003E-3</v>
      </c>
      <c r="AK77" s="228">
        <v>0</v>
      </c>
      <c r="AL77" s="228">
        <v>0</v>
      </c>
      <c r="AM77" s="228">
        <v>0</v>
      </c>
      <c r="AN77" s="229">
        <v>0</v>
      </c>
      <c r="AO77" s="231">
        <v>1244.47</v>
      </c>
      <c r="AP77" s="231">
        <v>1247.45</v>
      </c>
      <c r="AQ77" s="228">
        <v>0</v>
      </c>
      <c r="AR77" s="230">
        <v>756000</v>
      </c>
      <c r="AS77" s="230">
        <v>841000</v>
      </c>
      <c r="AT77" s="230">
        <v>-85000</v>
      </c>
      <c r="AU77" s="229">
        <v>-0.1011</v>
      </c>
      <c r="AV77" s="230">
        <v>702000</v>
      </c>
      <c r="AW77" s="230">
        <v>772500</v>
      </c>
      <c r="AX77" s="230">
        <v>-70500</v>
      </c>
      <c r="AY77" s="229">
        <v>-9.1300000000000006E-2</v>
      </c>
      <c r="AZ77" s="230">
        <v>53000</v>
      </c>
      <c r="BA77" s="230">
        <v>67500</v>
      </c>
      <c r="BB77" s="230">
        <v>-14500</v>
      </c>
      <c r="BC77" s="229">
        <v>-0.21479999999999999</v>
      </c>
      <c r="BD77" s="228">
        <v>0</v>
      </c>
      <c r="BE77" s="228">
        <v>0</v>
      </c>
      <c r="BF77" s="228">
        <v>0</v>
      </c>
      <c r="BG77" s="229">
        <v>0</v>
      </c>
      <c r="BH77" s="230">
        <v>1569000</v>
      </c>
      <c r="BI77" s="230">
        <v>1536500</v>
      </c>
      <c r="BJ77" s="230">
        <v>32500</v>
      </c>
      <c r="BK77" s="229">
        <v>2.12E-2</v>
      </c>
      <c r="BL77" s="230">
        <v>681000</v>
      </c>
      <c r="BM77" s="230">
        <v>758000</v>
      </c>
      <c r="BN77" s="230">
        <v>-77000</v>
      </c>
      <c r="BO77" s="229">
        <v>-0.1016</v>
      </c>
      <c r="BP77" s="230">
        <v>3006000</v>
      </c>
      <c r="BQ77" s="230">
        <v>3135500</v>
      </c>
      <c r="BR77" s="230">
        <v>-129500</v>
      </c>
      <c r="BS77" s="229">
        <v>-4.1300000000000003E-2</v>
      </c>
      <c r="BT77" s="230">
        <v>926885</v>
      </c>
      <c r="BU77" s="230">
        <v>635229</v>
      </c>
      <c r="BV77" s="230">
        <v>291656</v>
      </c>
      <c r="BW77" s="229">
        <v>0.45910000000000001</v>
      </c>
      <c r="BX77" s="230">
        <v>10644000</v>
      </c>
      <c r="BY77" s="230">
        <v>10564500</v>
      </c>
      <c r="BZ77" s="230">
        <v>79500</v>
      </c>
      <c r="CA77" s="229">
        <v>7.4999999999999997E-3</v>
      </c>
      <c r="CB77" s="230">
        <v>10018000</v>
      </c>
      <c r="CC77" s="230">
        <v>9947000</v>
      </c>
      <c r="CD77" s="230">
        <v>71000</v>
      </c>
      <c r="CE77" s="229">
        <v>7.1000000000000004E-3</v>
      </c>
      <c r="CF77" s="230">
        <v>620500</v>
      </c>
      <c r="CG77" s="230">
        <v>612500</v>
      </c>
      <c r="CH77" s="230">
        <v>8000</v>
      </c>
      <c r="CI77" s="229">
        <v>1.3100000000000001E-2</v>
      </c>
      <c r="CJ77" s="228">
        <v>0</v>
      </c>
      <c r="CK77" s="228">
        <v>0</v>
      </c>
      <c r="CL77" s="228">
        <v>0</v>
      </c>
      <c r="CM77" s="229">
        <v>0</v>
      </c>
      <c r="CN77" s="230">
        <v>2919500</v>
      </c>
      <c r="CO77" s="230">
        <v>2981000</v>
      </c>
      <c r="CP77" s="230">
        <v>-61500</v>
      </c>
      <c r="CQ77" s="229">
        <v>-2.06E-2</v>
      </c>
      <c r="CR77" s="230">
        <v>1805500</v>
      </c>
      <c r="CS77" s="230">
        <v>1739000</v>
      </c>
      <c r="CT77" s="230">
        <v>66500</v>
      </c>
      <c r="CU77" s="229">
        <v>3.8199999999999998E-2</v>
      </c>
      <c r="CV77" s="230">
        <v>15369000</v>
      </c>
      <c r="CW77" s="230">
        <v>15284500</v>
      </c>
      <c r="CX77" s="230">
        <v>84500</v>
      </c>
      <c r="CY77" s="229">
        <v>5.4999999999999997E-3</v>
      </c>
      <c r="CZ77" s="228">
        <v>23.75</v>
      </c>
      <c r="DA77" s="228">
        <v>24.32</v>
      </c>
      <c r="DB77" s="228">
        <v>-0.56999999999999995</v>
      </c>
      <c r="DC77" s="228">
        <v>-0.56999999999999995</v>
      </c>
      <c r="DD77" s="228">
        <v>31.4</v>
      </c>
      <c r="DE77" s="228">
        <v>31.48</v>
      </c>
      <c r="DF77" s="228">
        <v>-7.65</v>
      </c>
      <c r="DG77" s="228">
        <v>-0.08</v>
      </c>
      <c r="DH77" s="228">
        <v>23.81</v>
      </c>
      <c r="DI77" s="228">
        <v>24.99</v>
      </c>
      <c r="DJ77" s="228">
        <v>-1.18</v>
      </c>
      <c r="DK77" s="228">
        <v>-1.18</v>
      </c>
      <c r="DL77" s="228">
        <v>23.6</v>
      </c>
      <c r="DM77" s="228">
        <v>22.96</v>
      </c>
      <c r="DN77" s="228">
        <v>0.64</v>
      </c>
      <c r="DO77" s="228">
        <v>0.64</v>
      </c>
      <c r="DP77" s="228">
        <v>0.62</v>
      </c>
      <c r="DQ77" s="228">
        <v>0.57999999999999996</v>
      </c>
      <c r="DR77" s="228">
        <v>0.04</v>
      </c>
      <c r="DS77" s="229">
        <v>6.9000000000000006E-2</v>
      </c>
      <c r="DT77" s="231">
        <v>1280</v>
      </c>
      <c r="DU77" s="231">
        <v>1200</v>
      </c>
      <c r="DV77" s="228">
        <v>0.43</v>
      </c>
      <c r="DW77" s="228">
        <v>0.49</v>
      </c>
      <c r="DX77" s="228">
        <v>-0.06</v>
      </c>
      <c r="DY77" s="229">
        <v>-0.12239999999999999</v>
      </c>
      <c r="DZ77" s="229">
        <v>5.8299999999999998E-2</v>
      </c>
      <c r="EA77" s="230">
        <v>612500</v>
      </c>
      <c r="EB77" s="229">
        <v>2.7000000000000001E-3</v>
      </c>
      <c r="EC77" s="229">
        <v>5.8299999999999998E-2</v>
      </c>
      <c r="ED77" s="228">
        <v>2.98</v>
      </c>
      <c r="EE77" s="229">
        <v>2.3999999999999998E-3</v>
      </c>
      <c r="EF77" s="230">
        <v>670120</v>
      </c>
      <c r="EG77" s="230">
        <v>435534</v>
      </c>
      <c r="EH77" s="229">
        <v>0.53859999999999997</v>
      </c>
      <c r="EI77" s="229">
        <v>0.72299999999999998</v>
      </c>
      <c r="EJ77" s="231">
        <v>20148.95</v>
      </c>
      <c r="EK77" s="231">
        <v>8374.98</v>
      </c>
      <c r="EL77" s="231">
        <v>9409.84</v>
      </c>
      <c r="EM77" s="228">
        <v>0</v>
      </c>
      <c r="EN77" s="231">
        <v>37933.769999999997</v>
      </c>
      <c r="EO77" s="231">
        <v>39775.29</v>
      </c>
      <c r="EP77" s="231">
        <v>-1841.52</v>
      </c>
      <c r="EQ77" s="229">
        <v>-4.6300000000000001E-2</v>
      </c>
      <c r="ER77" s="231">
        <v>37789</v>
      </c>
      <c r="ES77" s="231">
        <v>21819</v>
      </c>
      <c r="ET77" s="231">
        <v>132879</v>
      </c>
      <c r="EU77" s="231">
        <v>96028079</v>
      </c>
      <c r="EV77" s="231">
        <v>192487</v>
      </c>
      <c r="EW77" s="231">
        <v>190964</v>
      </c>
      <c r="EX77" s="231">
        <v>1523</v>
      </c>
      <c r="EY77" s="229">
        <v>8.0000000000000002E-3</v>
      </c>
      <c r="EZ77" s="229">
        <v>0.16</v>
      </c>
      <c r="FA77" s="227" t="s">
        <v>555</v>
      </c>
      <c r="FB77" s="161">
        <f t="shared" si="1"/>
        <v>626000</v>
      </c>
    </row>
    <row r="78" spans="1:158" ht="17.25" thickBot="1" x14ac:dyDescent="0.3">
      <c r="A78" s="226">
        <v>45860</v>
      </c>
      <c r="B78" s="227" t="s">
        <v>206</v>
      </c>
      <c r="C78" s="227" t="s">
        <v>218</v>
      </c>
      <c r="D78" s="228">
        <v>275</v>
      </c>
      <c r="E78" s="231">
        <v>2363.9</v>
      </c>
      <c r="F78" s="231">
        <v>2406.3000000000002</v>
      </c>
      <c r="G78" s="228">
        <v>-42.4</v>
      </c>
      <c r="H78" s="229">
        <v>-1.7600000000000001E-2</v>
      </c>
      <c r="I78" s="231">
        <v>2363.5</v>
      </c>
      <c r="J78" s="231">
        <v>2403.9</v>
      </c>
      <c r="K78" s="228">
        <v>-40.4</v>
      </c>
      <c r="L78" s="229">
        <v>-1.6799999999999999E-2</v>
      </c>
      <c r="M78" s="231">
        <v>2363.9</v>
      </c>
      <c r="N78" s="231">
        <v>2406.3000000000002</v>
      </c>
      <c r="O78" s="228">
        <v>-42.4</v>
      </c>
      <c r="P78" s="229">
        <v>-1.7600000000000001E-2</v>
      </c>
      <c r="Q78" s="231">
        <v>2376.4</v>
      </c>
      <c r="R78" s="231">
        <v>2418.1</v>
      </c>
      <c r="S78" s="228">
        <v>-41.7</v>
      </c>
      <c r="T78" s="229">
        <v>-1.72E-2</v>
      </c>
      <c r="U78" s="228">
        <v>0</v>
      </c>
      <c r="V78" s="228">
        <v>0</v>
      </c>
      <c r="W78" s="228">
        <v>0</v>
      </c>
      <c r="X78" s="229">
        <v>0</v>
      </c>
      <c r="Y78" s="228">
        <v>0.4</v>
      </c>
      <c r="Z78" s="228">
        <v>2.4</v>
      </c>
      <c r="AA78" s="228">
        <v>-2</v>
      </c>
      <c r="AB78" s="229">
        <v>2.0000000000000001E-4</v>
      </c>
      <c r="AC78" s="228">
        <v>0.4</v>
      </c>
      <c r="AD78" s="228">
        <v>2.4</v>
      </c>
      <c r="AE78" s="228">
        <v>-2</v>
      </c>
      <c r="AF78" s="229">
        <v>2.0000000000000001E-4</v>
      </c>
      <c r="AG78" s="228">
        <v>12.9</v>
      </c>
      <c r="AH78" s="228">
        <v>14.2</v>
      </c>
      <c r="AI78" s="228">
        <v>-1.3</v>
      </c>
      <c r="AJ78" s="229">
        <v>5.4999999999999997E-3</v>
      </c>
      <c r="AK78" s="228">
        <v>0</v>
      </c>
      <c r="AL78" s="228">
        <v>0</v>
      </c>
      <c r="AM78" s="228">
        <v>0</v>
      </c>
      <c r="AN78" s="229">
        <v>0</v>
      </c>
      <c r="AO78" s="231">
        <v>2369.35</v>
      </c>
      <c r="AP78" s="231">
        <v>2382.42</v>
      </c>
      <c r="AQ78" s="228">
        <v>0</v>
      </c>
      <c r="AR78" s="230">
        <v>881375</v>
      </c>
      <c r="AS78" s="230">
        <v>1020800</v>
      </c>
      <c r="AT78" s="230">
        <v>-139425</v>
      </c>
      <c r="AU78" s="229">
        <v>-0.1366</v>
      </c>
      <c r="AV78" s="230">
        <v>736175</v>
      </c>
      <c r="AW78" s="230">
        <v>871750</v>
      </c>
      <c r="AX78" s="230">
        <v>-135575</v>
      </c>
      <c r="AY78" s="229">
        <v>-0.1555</v>
      </c>
      <c r="AZ78" s="230">
        <v>135575</v>
      </c>
      <c r="BA78" s="230">
        <v>140250</v>
      </c>
      <c r="BB78" s="230">
        <v>-4675</v>
      </c>
      <c r="BC78" s="229">
        <v>-3.3300000000000003E-2</v>
      </c>
      <c r="BD78" s="228">
        <v>0</v>
      </c>
      <c r="BE78" s="228">
        <v>0</v>
      </c>
      <c r="BF78" s="228">
        <v>0</v>
      </c>
      <c r="BG78" s="229">
        <v>0</v>
      </c>
      <c r="BH78" s="230">
        <v>2041875</v>
      </c>
      <c r="BI78" s="230">
        <v>3240875</v>
      </c>
      <c r="BJ78" s="230">
        <v>-1199000</v>
      </c>
      <c r="BK78" s="229">
        <v>-0.37</v>
      </c>
      <c r="BL78" s="230">
        <v>1470700</v>
      </c>
      <c r="BM78" s="230">
        <v>2067725</v>
      </c>
      <c r="BN78" s="230">
        <v>-597025</v>
      </c>
      <c r="BO78" s="229">
        <v>-0.28870000000000001</v>
      </c>
      <c r="BP78" s="230">
        <v>4393950</v>
      </c>
      <c r="BQ78" s="230">
        <v>6329400</v>
      </c>
      <c r="BR78" s="230">
        <v>-1935450</v>
      </c>
      <c r="BS78" s="229">
        <v>-0.30580000000000002</v>
      </c>
      <c r="BT78" s="230">
        <v>545682</v>
      </c>
      <c r="BU78" s="230">
        <v>735317</v>
      </c>
      <c r="BV78" s="230">
        <v>-189635</v>
      </c>
      <c r="BW78" s="229">
        <v>-0.25790000000000002</v>
      </c>
      <c r="BX78" s="230">
        <v>6507600</v>
      </c>
      <c r="BY78" s="230">
        <v>6535100</v>
      </c>
      <c r="BZ78" s="230">
        <v>-27500</v>
      </c>
      <c r="CA78" s="229">
        <v>-4.1999999999999997E-3</v>
      </c>
      <c r="CB78" s="230">
        <v>6149275</v>
      </c>
      <c r="CC78" s="230">
        <v>6211150</v>
      </c>
      <c r="CD78" s="230">
        <v>-61875</v>
      </c>
      <c r="CE78" s="229">
        <v>-0.01</v>
      </c>
      <c r="CF78" s="230">
        <v>337425</v>
      </c>
      <c r="CG78" s="230">
        <v>306625</v>
      </c>
      <c r="CH78" s="230">
        <v>30800</v>
      </c>
      <c r="CI78" s="229">
        <v>0.1004</v>
      </c>
      <c r="CJ78" s="228">
        <v>0</v>
      </c>
      <c r="CK78" s="228">
        <v>0</v>
      </c>
      <c r="CL78" s="228">
        <v>0</v>
      </c>
      <c r="CM78" s="229">
        <v>0</v>
      </c>
      <c r="CN78" s="230">
        <v>2632025</v>
      </c>
      <c r="CO78" s="230">
        <v>2575100</v>
      </c>
      <c r="CP78" s="230">
        <v>56925</v>
      </c>
      <c r="CQ78" s="229">
        <v>2.2100000000000002E-2</v>
      </c>
      <c r="CR78" s="230">
        <v>1690975</v>
      </c>
      <c r="CS78" s="230">
        <v>1828200</v>
      </c>
      <c r="CT78" s="230">
        <v>-137225</v>
      </c>
      <c r="CU78" s="229">
        <v>-7.51E-2</v>
      </c>
      <c r="CV78" s="230">
        <v>10830600</v>
      </c>
      <c r="CW78" s="230">
        <v>10938400</v>
      </c>
      <c r="CX78" s="230">
        <v>-107800</v>
      </c>
      <c r="CY78" s="229">
        <v>-9.9000000000000008E-3</v>
      </c>
      <c r="CZ78" s="228">
        <v>30.4</v>
      </c>
      <c r="DA78" s="228">
        <v>30.25</v>
      </c>
      <c r="DB78" s="228">
        <v>0.15</v>
      </c>
      <c r="DC78" s="228">
        <v>0.15</v>
      </c>
      <c r="DD78" s="228">
        <v>46.4</v>
      </c>
      <c r="DE78" s="228">
        <v>46.45</v>
      </c>
      <c r="DF78" s="228">
        <v>-16</v>
      </c>
      <c r="DG78" s="228">
        <v>-0.05</v>
      </c>
      <c r="DH78" s="228">
        <v>30.18</v>
      </c>
      <c r="DI78" s="228">
        <v>29.24</v>
      </c>
      <c r="DJ78" s="228">
        <v>0.94</v>
      </c>
      <c r="DK78" s="228">
        <v>0.94</v>
      </c>
      <c r="DL78" s="228">
        <v>30.71</v>
      </c>
      <c r="DM78" s="228">
        <v>31.84</v>
      </c>
      <c r="DN78" s="228">
        <v>-1.1299999999999999</v>
      </c>
      <c r="DO78" s="228">
        <v>-1.1299999999999999</v>
      </c>
      <c r="DP78" s="228">
        <v>0.64</v>
      </c>
      <c r="DQ78" s="228">
        <v>0.71</v>
      </c>
      <c r="DR78" s="228">
        <v>-7.0000000000000007E-2</v>
      </c>
      <c r="DS78" s="229">
        <v>-9.8599999999999993E-2</v>
      </c>
      <c r="DT78" s="231">
        <v>2400</v>
      </c>
      <c r="DU78" s="231">
        <v>2400</v>
      </c>
      <c r="DV78" s="228">
        <v>0.72</v>
      </c>
      <c r="DW78" s="228">
        <v>0.64</v>
      </c>
      <c r="DX78" s="228">
        <v>0.08</v>
      </c>
      <c r="DY78" s="229">
        <v>0.125</v>
      </c>
      <c r="DZ78" s="229">
        <v>5.1900000000000002E-2</v>
      </c>
      <c r="EA78" s="230">
        <v>306625</v>
      </c>
      <c r="EB78" s="229">
        <v>5.3E-3</v>
      </c>
      <c r="EC78" s="229">
        <v>5.1900000000000002E-2</v>
      </c>
      <c r="ED78" s="228">
        <v>13.07</v>
      </c>
      <c r="EE78" s="229">
        <v>5.4999999999999997E-3</v>
      </c>
      <c r="EF78" s="230">
        <v>311950</v>
      </c>
      <c r="EG78" s="230">
        <v>389241</v>
      </c>
      <c r="EH78" s="229">
        <v>-0.1986</v>
      </c>
      <c r="EI78" s="229">
        <v>0.57169999999999999</v>
      </c>
      <c r="EJ78" s="231">
        <v>50359.26</v>
      </c>
      <c r="EK78" s="231">
        <v>34234.720000000001</v>
      </c>
      <c r="EL78" s="231">
        <v>20903.7</v>
      </c>
      <c r="EM78" s="228">
        <v>0</v>
      </c>
      <c r="EN78" s="231">
        <v>105497.68</v>
      </c>
      <c r="EO78" s="231">
        <v>152029.76999999999</v>
      </c>
      <c r="EP78" s="231">
        <v>-46532.09</v>
      </c>
      <c r="EQ78" s="229">
        <v>-0.30609999999999998</v>
      </c>
      <c r="ER78" s="231">
        <v>64770</v>
      </c>
      <c r="ES78" s="231">
        <v>38134</v>
      </c>
      <c r="ET78" s="231">
        <v>153880</v>
      </c>
      <c r="EU78" s="231">
        <v>32126257</v>
      </c>
      <c r="EV78" s="231">
        <v>256785</v>
      </c>
      <c r="EW78" s="231">
        <v>262040</v>
      </c>
      <c r="EX78" s="231">
        <v>-5255</v>
      </c>
      <c r="EY78" s="229">
        <v>-2.01E-2</v>
      </c>
      <c r="EZ78" s="229">
        <v>0.33710000000000001</v>
      </c>
      <c r="FA78" s="227" t="s">
        <v>568</v>
      </c>
      <c r="FB78" s="161">
        <f t="shared" si="1"/>
        <v>358325</v>
      </c>
    </row>
    <row r="79" spans="1:158" ht="17.25" thickBot="1" x14ac:dyDescent="0.3">
      <c r="A79" s="226">
        <v>45860</v>
      </c>
      <c r="B79" s="227" t="s">
        <v>170</v>
      </c>
      <c r="C79" s="227" t="s">
        <v>492</v>
      </c>
      <c r="D79" s="228">
        <v>1075</v>
      </c>
      <c r="E79" s="228">
        <v>476.65</v>
      </c>
      <c r="F79" s="228">
        <v>494.1</v>
      </c>
      <c r="G79" s="228">
        <v>-17.45</v>
      </c>
      <c r="H79" s="229">
        <v>-3.5299999999999998E-2</v>
      </c>
      <c r="I79" s="228">
        <v>477.1</v>
      </c>
      <c r="J79" s="228">
        <v>494.5</v>
      </c>
      <c r="K79" s="228">
        <v>-17.399999999999999</v>
      </c>
      <c r="L79" s="229">
        <v>-3.5200000000000002E-2</v>
      </c>
      <c r="M79" s="228">
        <v>476.65</v>
      </c>
      <c r="N79" s="228">
        <v>494.1</v>
      </c>
      <c r="O79" s="228">
        <v>-17.45</v>
      </c>
      <c r="P79" s="229">
        <v>-3.5299999999999998E-2</v>
      </c>
      <c r="Q79" s="228">
        <v>479.3</v>
      </c>
      <c r="R79" s="228">
        <v>496.7</v>
      </c>
      <c r="S79" s="228">
        <v>-17.399999999999999</v>
      </c>
      <c r="T79" s="229">
        <v>-3.5000000000000003E-2</v>
      </c>
      <c r="U79" s="228">
        <v>0</v>
      </c>
      <c r="V79" s="228">
        <v>0</v>
      </c>
      <c r="W79" s="228">
        <v>0</v>
      </c>
      <c r="X79" s="229">
        <v>0</v>
      </c>
      <c r="Y79" s="228">
        <v>-0.45</v>
      </c>
      <c r="Z79" s="228">
        <v>-0.4</v>
      </c>
      <c r="AA79" s="228">
        <v>-0.05</v>
      </c>
      <c r="AB79" s="229">
        <v>-8.9999999999999998E-4</v>
      </c>
      <c r="AC79" s="228">
        <v>-0.45</v>
      </c>
      <c r="AD79" s="228">
        <v>-0.4</v>
      </c>
      <c r="AE79" s="228">
        <v>-0.05</v>
      </c>
      <c r="AF79" s="229">
        <v>-8.9999999999999998E-4</v>
      </c>
      <c r="AG79" s="228">
        <v>2.2000000000000002</v>
      </c>
      <c r="AH79" s="228">
        <v>2.2000000000000002</v>
      </c>
      <c r="AI79" s="228">
        <v>0</v>
      </c>
      <c r="AJ79" s="229">
        <v>4.5999999999999999E-3</v>
      </c>
      <c r="AK79" s="228">
        <v>0</v>
      </c>
      <c r="AL79" s="228">
        <v>0</v>
      </c>
      <c r="AM79" s="228">
        <v>0</v>
      </c>
      <c r="AN79" s="229">
        <v>0</v>
      </c>
      <c r="AO79" s="228">
        <v>482.28</v>
      </c>
      <c r="AP79" s="228">
        <v>484.55</v>
      </c>
      <c r="AQ79" s="228">
        <v>0</v>
      </c>
      <c r="AR79" s="230">
        <v>2094100</v>
      </c>
      <c r="AS79" s="230">
        <v>977175</v>
      </c>
      <c r="AT79" s="230">
        <v>1116925</v>
      </c>
      <c r="AU79" s="229">
        <v>1.143</v>
      </c>
      <c r="AV79" s="230">
        <v>1743650</v>
      </c>
      <c r="AW79" s="230">
        <v>875050</v>
      </c>
      <c r="AX79" s="230">
        <v>868600</v>
      </c>
      <c r="AY79" s="229">
        <v>0.99260000000000004</v>
      </c>
      <c r="AZ79" s="230">
        <v>350450</v>
      </c>
      <c r="BA79" s="230">
        <v>102125</v>
      </c>
      <c r="BB79" s="230">
        <v>248325</v>
      </c>
      <c r="BC79" s="229">
        <v>2.4316</v>
      </c>
      <c r="BD79" s="228">
        <v>0</v>
      </c>
      <c r="BE79" s="228">
        <v>0</v>
      </c>
      <c r="BF79" s="228">
        <v>0</v>
      </c>
      <c r="BG79" s="229">
        <v>0</v>
      </c>
      <c r="BH79" s="230">
        <v>3782925</v>
      </c>
      <c r="BI79" s="230">
        <v>1856525</v>
      </c>
      <c r="BJ79" s="230">
        <v>1926400</v>
      </c>
      <c r="BK79" s="229">
        <v>1.0376000000000001</v>
      </c>
      <c r="BL79" s="230">
        <v>2254275</v>
      </c>
      <c r="BM79" s="230">
        <v>668650</v>
      </c>
      <c r="BN79" s="230">
        <v>1585625</v>
      </c>
      <c r="BO79" s="229">
        <v>2.3714</v>
      </c>
      <c r="BP79" s="230">
        <v>8131300</v>
      </c>
      <c r="BQ79" s="230">
        <v>3502350</v>
      </c>
      <c r="BR79" s="230">
        <v>4628950</v>
      </c>
      <c r="BS79" s="229">
        <v>1.3217000000000001</v>
      </c>
      <c r="BT79" s="230">
        <v>909761</v>
      </c>
      <c r="BU79" s="230">
        <v>451019</v>
      </c>
      <c r="BV79" s="230">
        <v>458742</v>
      </c>
      <c r="BW79" s="229">
        <v>1.0170999999999999</v>
      </c>
      <c r="BX79" s="230">
        <v>12786050</v>
      </c>
      <c r="BY79" s="230">
        <v>12654900</v>
      </c>
      <c r="BZ79" s="230">
        <v>131150</v>
      </c>
      <c r="CA79" s="229">
        <v>1.04E-2</v>
      </c>
      <c r="CB79" s="230">
        <v>12320575</v>
      </c>
      <c r="CC79" s="230">
        <v>12296925</v>
      </c>
      <c r="CD79" s="230">
        <v>23650</v>
      </c>
      <c r="CE79" s="229">
        <v>1.9E-3</v>
      </c>
      <c r="CF79" s="230">
        <v>465475</v>
      </c>
      <c r="CG79" s="230">
        <v>357975</v>
      </c>
      <c r="CH79" s="230">
        <v>107500</v>
      </c>
      <c r="CI79" s="229">
        <v>0.30030000000000001</v>
      </c>
      <c r="CJ79" s="228">
        <v>0</v>
      </c>
      <c r="CK79" s="228">
        <v>0</v>
      </c>
      <c r="CL79" s="228">
        <v>0</v>
      </c>
      <c r="CM79" s="229">
        <v>0</v>
      </c>
      <c r="CN79" s="230">
        <v>4931025</v>
      </c>
      <c r="CO79" s="230">
        <v>4680550</v>
      </c>
      <c r="CP79" s="230">
        <v>250475</v>
      </c>
      <c r="CQ79" s="229">
        <v>5.3499999999999999E-2</v>
      </c>
      <c r="CR79" s="230">
        <v>2516575</v>
      </c>
      <c r="CS79" s="230">
        <v>2491850</v>
      </c>
      <c r="CT79" s="230">
        <v>24725</v>
      </c>
      <c r="CU79" s="229">
        <v>9.9000000000000008E-3</v>
      </c>
      <c r="CV79" s="230">
        <v>20233650</v>
      </c>
      <c r="CW79" s="230">
        <v>19827300</v>
      </c>
      <c r="CX79" s="230">
        <v>406350</v>
      </c>
      <c r="CY79" s="229">
        <v>2.0500000000000001E-2</v>
      </c>
      <c r="CZ79" s="228">
        <v>36.9</v>
      </c>
      <c r="DA79" s="228">
        <v>35.25</v>
      </c>
      <c r="DB79" s="228">
        <v>1.65</v>
      </c>
      <c r="DC79" s="228">
        <v>1.65</v>
      </c>
      <c r="DD79" s="228">
        <v>45.66</v>
      </c>
      <c r="DE79" s="228">
        <v>45.52</v>
      </c>
      <c r="DF79" s="228">
        <v>-8.76</v>
      </c>
      <c r="DG79" s="228">
        <v>0.14000000000000001</v>
      </c>
      <c r="DH79" s="228">
        <v>37.909999999999997</v>
      </c>
      <c r="DI79" s="228">
        <v>35.31</v>
      </c>
      <c r="DJ79" s="228">
        <v>2.6</v>
      </c>
      <c r="DK79" s="228">
        <v>2.6</v>
      </c>
      <c r="DL79" s="228">
        <v>35.21</v>
      </c>
      <c r="DM79" s="228">
        <v>35.08</v>
      </c>
      <c r="DN79" s="228">
        <v>0.13</v>
      </c>
      <c r="DO79" s="228">
        <v>0.13</v>
      </c>
      <c r="DP79" s="228">
        <v>0.51</v>
      </c>
      <c r="DQ79" s="228">
        <v>0.53</v>
      </c>
      <c r="DR79" s="228">
        <v>-0.02</v>
      </c>
      <c r="DS79" s="229">
        <v>-3.7699999999999997E-2</v>
      </c>
      <c r="DT79" s="228">
        <v>500</v>
      </c>
      <c r="DU79" s="228">
        <v>500</v>
      </c>
      <c r="DV79" s="228">
        <v>0.6</v>
      </c>
      <c r="DW79" s="228">
        <v>0.36</v>
      </c>
      <c r="DX79" s="228">
        <v>0.24</v>
      </c>
      <c r="DY79" s="229">
        <v>0.66669999999999996</v>
      </c>
      <c r="DZ79" s="229">
        <v>3.6400000000000002E-2</v>
      </c>
      <c r="EA79" s="230">
        <v>357975</v>
      </c>
      <c r="EB79" s="229">
        <v>5.5999999999999999E-3</v>
      </c>
      <c r="EC79" s="229">
        <v>3.6400000000000002E-2</v>
      </c>
      <c r="ED79" s="228">
        <v>2.27</v>
      </c>
      <c r="EE79" s="229">
        <v>4.7000000000000002E-3</v>
      </c>
      <c r="EF79" s="230">
        <v>350015</v>
      </c>
      <c r="EG79" s="230">
        <v>171432</v>
      </c>
      <c r="EH79" s="229">
        <v>1.0417000000000001</v>
      </c>
      <c r="EI79" s="229">
        <v>0.38469999999999999</v>
      </c>
      <c r="EJ79" s="231">
        <v>19245.2</v>
      </c>
      <c r="EK79" s="231">
        <v>11024.27</v>
      </c>
      <c r="EL79" s="231">
        <v>10107.39</v>
      </c>
      <c r="EM79" s="228">
        <v>0</v>
      </c>
      <c r="EN79" s="231">
        <v>40376.86</v>
      </c>
      <c r="EO79" s="231">
        <v>17770.82</v>
      </c>
      <c r="EP79" s="231">
        <v>22606.04</v>
      </c>
      <c r="EQ79" s="229">
        <v>1.2721</v>
      </c>
      <c r="ER79" s="231">
        <v>25264</v>
      </c>
      <c r="ES79" s="231">
        <v>12396</v>
      </c>
      <c r="ET79" s="231">
        <v>60957</v>
      </c>
      <c r="EU79" s="231">
        <v>29668038</v>
      </c>
      <c r="EV79" s="231">
        <v>98617</v>
      </c>
      <c r="EW79" s="231">
        <v>98901</v>
      </c>
      <c r="EX79" s="228">
        <v>-284</v>
      </c>
      <c r="EY79" s="229">
        <v>-2.8999999999999998E-3</v>
      </c>
      <c r="EZ79" s="229">
        <v>0.68200000000000005</v>
      </c>
      <c r="FA79" s="227" t="s">
        <v>567</v>
      </c>
      <c r="FB79" s="161">
        <f t="shared" si="1"/>
        <v>465475</v>
      </c>
    </row>
    <row r="80" spans="1:158" ht="17.25" thickBot="1" x14ac:dyDescent="0.3">
      <c r="A80" s="226">
        <v>45860</v>
      </c>
      <c r="B80" s="227" t="s">
        <v>157</v>
      </c>
      <c r="C80" s="227" t="s">
        <v>219</v>
      </c>
      <c r="D80" s="228">
        <v>250</v>
      </c>
      <c r="E80" s="231">
        <v>2730</v>
      </c>
      <c r="F80" s="231">
        <v>2750.2</v>
      </c>
      <c r="G80" s="228">
        <v>-20.2</v>
      </c>
      <c r="H80" s="229">
        <v>-7.3000000000000001E-3</v>
      </c>
      <c r="I80" s="231">
        <v>2722.7</v>
      </c>
      <c r="J80" s="231">
        <v>2741.9</v>
      </c>
      <c r="K80" s="228">
        <v>-19.2</v>
      </c>
      <c r="L80" s="229">
        <v>-7.0000000000000001E-3</v>
      </c>
      <c r="M80" s="231">
        <v>2730</v>
      </c>
      <c r="N80" s="231">
        <v>2750.2</v>
      </c>
      <c r="O80" s="228">
        <v>-20.2</v>
      </c>
      <c r="P80" s="229">
        <v>-7.3000000000000001E-3</v>
      </c>
      <c r="Q80" s="231">
        <v>2733.3</v>
      </c>
      <c r="R80" s="231">
        <v>2751.5</v>
      </c>
      <c r="S80" s="228">
        <v>-18.2</v>
      </c>
      <c r="T80" s="229">
        <v>-6.6E-3</v>
      </c>
      <c r="U80" s="228">
        <v>0</v>
      </c>
      <c r="V80" s="228">
        <v>0</v>
      </c>
      <c r="W80" s="228">
        <v>0</v>
      </c>
      <c r="X80" s="229">
        <v>0</v>
      </c>
      <c r="Y80" s="228">
        <v>7.3</v>
      </c>
      <c r="Z80" s="228">
        <v>8.3000000000000007</v>
      </c>
      <c r="AA80" s="228">
        <v>-1</v>
      </c>
      <c r="AB80" s="229">
        <v>2.7000000000000001E-3</v>
      </c>
      <c r="AC80" s="228">
        <v>7.3</v>
      </c>
      <c r="AD80" s="228">
        <v>8.3000000000000007</v>
      </c>
      <c r="AE80" s="228">
        <v>-1</v>
      </c>
      <c r="AF80" s="229">
        <v>2.7000000000000001E-3</v>
      </c>
      <c r="AG80" s="228">
        <v>10.6</v>
      </c>
      <c r="AH80" s="228">
        <v>9.6</v>
      </c>
      <c r="AI80" s="228">
        <v>1</v>
      </c>
      <c r="AJ80" s="229">
        <v>3.8999999999999998E-3</v>
      </c>
      <c r="AK80" s="228">
        <v>0</v>
      </c>
      <c r="AL80" s="228">
        <v>0</v>
      </c>
      <c r="AM80" s="228">
        <v>0</v>
      </c>
      <c r="AN80" s="229">
        <v>0</v>
      </c>
      <c r="AO80" s="231">
        <v>2738.38</v>
      </c>
      <c r="AP80" s="231">
        <v>2741.66</v>
      </c>
      <c r="AQ80" s="228">
        <v>0</v>
      </c>
      <c r="AR80" s="230">
        <v>840500</v>
      </c>
      <c r="AS80" s="230">
        <v>600750</v>
      </c>
      <c r="AT80" s="230">
        <v>239750</v>
      </c>
      <c r="AU80" s="229">
        <v>0.39910000000000001</v>
      </c>
      <c r="AV80" s="230">
        <v>722250</v>
      </c>
      <c r="AW80" s="230">
        <v>493500</v>
      </c>
      <c r="AX80" s="230">
        <v>228750</v>
      </c>
      <c r="AY80" s="229">
        <v>0.46350000000000002</v>
      </c>
      <c r="AZ80" s="230">
        <v>112500</v>
      </c>
      <c r="BA80" s="230">
        <v>103250</v>
      </c>
      <c r="BB80" s="230">
        <v>9250</v>
      </c>
      <c r="BC80" s="229">
        <v>8.9599999999999999E-2</v>
      </c>
      <c r="BD80" s="228">
        <v>0</v>
      </c>
      <c r="BE80" s="228">
        <v>0</v>
      </c>
      <c r="BF80" s="228">
        <v>0</v>
      </c>
      <c r="BG80" s="229">
        <v>0</v>
      </c>
      <c r="BH80" s="230">
        <v>1662000</v>
      </c>
      <c r="BI80" s="230">
        <v>2166000</v>
      </c>
      <c r="BJ80" s="230">
        <v>-504000</v>
      </c>
      <c r="BK80" s="229">
        <v>-0.23269999999999999</v>
      </c>
      <c r="BL80" s="230">
        <v>632000</v>
      </c>
      <c r="BM80" s="230">
        <v>604750</v>
      </c>
      <c r="BN80" s="230">
        <v>27250</v>
      </c>
      <c r="BO80" s="229">
        <v>4.5100000000000001E-2</v>
      </c>
      <c r="BP80" s="230">
        <v>3134500</v>
      </c>
      <c r="BQ80" s="230">
        <v>3371500</v>
      </c>
      <c r="BR80" s="230">
        <v>-237000</v>
      </c>
      <c r="BS80" s="229">
        <v>-7.0300000000000001E-2</v>
      </c>
      <c r="BT80" s="230">
        <v>675994</v>
      </c>
      <c r="BU80" s="230">
        <v>695565</v>
      </c>
      <c r="BV80" s="230">
        <v>-19571</v>
      </c>
      <c r="BW80" s="229">
        <v>-2.81E-2</v>
      </c>
      <c r="BX80" s="230">
        <v>12675500</v>
      </c>
      <c r="BY80" s="230">
        <v>12519750</v>
      </c>
      <c r="BZ80" s="230">
        <v>155750</v>
      </c>
      <c r="CA80" s="229">
        <v>1.24E-2</v>
      </c>
      <c r="CB80" s="230">
        <v>11963500</v>
      </c>
      <c r="CC80" s="230">
        <v>11850250</v>
      </c>
      <c r="CD80" s="230">
        <v>113250</v>
      </c>
      <c r="CE80" s="229">
        <v>9.5999999999999992E-3</v>
      </c>
      <c r="CF80" s="230">
        <v>697000</v>
      </c>
      <c r="CG80" s="230">
        <v>658500</v>
      </c>
      <c r="CH80" s="230">
        <v>38500</v>
      </c>
      <c r="CI80" s="229">
        <v>5.8500000000000003E-2</v>
      </c>
      <c r="CJ80" s="228">
        <v>0</v>
      </c>
      <c r="CK80" s="228">
        <v>0</v>
      </c>
      <c r="CL80" s="228">
        <v>0</v>
      </c>
      <c r="CM80" s="229">
        <v>0</v>
      </c>
      <c r="CN80" s="230">
        <v>2389000</v>
      </c>
      <c r="CO80" s="230">
        <v>2317750</v>
      </c>
      <c r="CP80" s="230">
        <v>71250</v>
      </c>
      <c r="CQ80" s="229">
        <v>3.0700000000000002E-2</v>
      </c>
      <c r="CR80" s="230">
        <v>1101750</v>
      </c>
      <c r="CS80" s="230">
        <v>1111500</v>
      </c>
      <c r="CT80" s="230">
        <v>-9750</v>
      </c>
      <c r="CU80" s="229">
        <v>-8.8000000000000005E-3</v>
      </c>
      <c r="CV80" s="230">
        <v>16166250</v>
      </c>
      <c r="CW80" s="230">
        <v>15949000</v>
      </c>
      <c r="CX80" s="230">
        <v>217250</v>
      </c>
      <c r="CY80" s="229">
        <v>1.3599999999999999E-2</v>
      </c>
      <c r="CZ80" s="228">
        <v>22.94</v>
      </c>
      <c r="DA80" s="228">
        <v>22.48</v>
      </c>
      <c r="DB80" s="228">
        <v>0.46</v>
      </c>
      <c r="DC80" s="228">
        <v>0.46</v>
      </c>
      <c r="DD80" s="228">
        <v>27.4</v>
      </c>
      <c r="DE80" s="228">
        <v>27.46</v>
      </c>
      <c r="DF80" s="228">
        <v>-4.46</v>
      </c>
      <c r="DG80" s="228">
        <v>-0.06</v>
      </c>
      <c r="DH80" s="228">
        <v>23.76</v>
      </c>
      <c r="DI80" s="228">
        <v>22.78</v>
      </c>
      <c r="DJ80" s="228">
        <v>0.98</v>
      </c>
      <c r="DK80" s="228">
        <v>0.98</v>
      </c>
      <c r="DL80" s="228">
        <v>20.79</v>
      </c>
      <c r="DM80" s="228">
        <v>21.43</v>
      </c>
      <c r="DN80" s="228">
        <v>-0.64</v>
      </c>
      <c r="DO80" s="228">
        <v>-0.64</v>
      </c>
      <c r="DP80" s="228">
        <v>0.46</v>
      </c>
      <c r="DQ80" s="228">
        <v>0.48</v>
      </c>
      <c r="DR80" s="228">
        <v>-0.02</v>
      </c>
      <c r="DS80" s="229">
        <v>-4.1700000000000001E-2</v>
      </c>
      <c r="DT80" s="231">
        <v>2800</v>
      </c>
      <c r="DU80" s="231">
        <v>2600</v>
      </c>
      <c r="DV80" s="228">
        <v>0.38</v>
      </c>
      <c r="DW80" s="228">
        <v>0.28000000000000003</v>
      </c>
      <c r="DX80" s="228">
        <v>0.1</v>
      </c>
      <c r="DY80" s="229">
        <v>0.35709999999999997</v>
      </c>
      <c r="DZ80" s="229">
        <v>5.5E-2</v>
      </c>
      <c r="EA80" s="230">
        <v>658500</v>
      </c>
      <c r="EB80" s="229">
        <v>1.1999999999999999E-3</v>
      </c>
      <c r="EC80" s="229">
        <v>5.5E-2</v>
      </c>
      <c r="ED80" s="228">
        <v>3.28</v>
      </c>
      <c r="EE80" s="229">
        <v>1.1999999999999999E-3</v>
      </c>
      <c r="EF80" s="230">
        <v>449016</v>
      </c>
      <c r="EG80" s="230">
        <v>476372</v>
      </c>
      <c r="EH80" s="229">
        <v>-5.74E-2</v>
      </c>
      <c r="EI80" s="229">
        <v>0.66420000000000001</v>
      </c>
      <c r="EJ80" s="231">
        <v>47170.85</v>
      </c>
      <c r="EK80" s="231">
        <v>17291.61</v>
      </c>
      <c r="EL80" s="231">
        <v>23021.1</v>
      </c>
      <c r="EM80" s="228">
        <v>0</v>
      </c>
      <c r="EN80" s="231">
        <v>87483.56</v>
      </c>
      <c r="EO80" s="231">
        <v>94479.58</v>
      </c>
      <c r="EP80" s="231">
        <v>-6996.02</v>
      </c>
      <c r="EQ80" s="229">
        <v>-7.3999999999999996E-2</v>
      </c>
      <c r="ER80" s="231">
        <v>69883</v>
      </c>
      <c r="ES80" s="231">
        <v>29825</v>
      </c>
      <c r="ET80" s="231">
        <v>346067</v>
      </c>
      <c r="EU80" s="231">
        <v>77020742</v>
      </c>
      <c r="EV80" s="231">
        <v>445775</v>
      </c>
      <c r="EW80" s="231">
        <v>442388</v>
      </c>
      <c r="EX80" s="231">
        <v>3387</v>
      </c>
      <c r="EY80" s="229">
        <v>7.7000000000000002E-3</v>
      </c>
      <c r="EZ80" s="229">
        <v>0.2099</v>
      </c>
      <c r="FA80" s="227" t="s">
        <v>567</v>
      </c>
      <c r="FB80" s="161">
        <f t="shared" si="1"/>
        <v>712000</v>
      </c>
    </row>
    <row r="81" spans="1:158" ht="17.25" thickBot="1" x14ac:dyDescent="0.3">
      <c r="A81" s="226">
        <v>45860</v>
      </c>
      <c r="B81" s="227" t="s">
        <v>184</v>
      </c>
      <c r="C81" s="227" t="s">
        <v>513</v>
      </c>
      <c r="D81" s="228">
        <v>150</v>
      </c>
      <c r="E81" s="231">
        <v>4768.7</v>
      </c>
      <c r="F81" s="231">
        <v>4758.3</v>
      </c>
      <c r="G81" s="228">
        <v>10.4</v>
      </c>
      <c r="H81" s="229">
        <v>2.2000000000000001E-3</v>
      </c>
      <c r="I81" s="231">
        <v>4758.2</v>
      </c>
      <c r="J81" s="231">
        <v>4751</v>
      </c>
      <c r="K81" s="228">
        <v>7.2</v>
      </c>
      <c r="L81" s="229">
        <v>1.5E-3</v>
      </c>
      <c r="M81" s="231">
        <v>4768.7</v>
      </c>
      <c r="N81" s="231">
        <v>4758.3</v>
      </c>
      <c r="O81" s="228">
        <v>10.4</v>
      </c>
      <c r="P81" s="229">
        <v>2.2000000000000001E-3</v>
      </c>
      <c r="Q81" s="231">
        <v>4779.8</v>
      </c>
      <c r="R81" s="231">
        <v>4767.6000000000004</v>
      </c>
      <c r="S81" s="228">
        <v>12.2</v>
      </c>
      <c r="T81" s="229">
        <v>2.5999999999999999E-3</v>
      </c>
      <c r="U81" s="228">
        <v>0</v>
      </c>
      <c r="V81" s="228">
        <v>0</v>
      </c>
      <c r="W81" s="228">
        <v>0</v>
      </c>
      <c r="X81" s="229">
        <v>0</v>
      </c>
      <c r="Y81" s="228">
        <v>10.5</v>
      </c>
      <c r="Z81" s="228">
        <v>7.3</v>
      </c>
      <c r="AA81" s="228">
        <v>3.2</v>
      </c>
      <c r="AB81" s="229">
        <v>2.2000000000000001E-3</v>
      </c>
      <c r="AC81" s="228">
        <v>10.5</v>
      </c>
      <c r="AD81" s="228">
        <v>7.3</v>
      </c>
      <c r="AE81" s="228">
        <v>3.2</v>
      </c>
      <c r="AF81" s="229">
        <v>2.2000000000000001E-3</v>
      </c>
      <c r="AG81" s="228">
        <v>21.6</v>
      </c>
      <c r="AH81" s="228">
        <v>16.600000000000001</v>
      </c>
      <c r="AI81" s="228">
        <v>5</v>
      </c>
      <c r="AJ81" s="229">
        <v>4.4999999999999997E-3</v>
      </c>
      <c r="AK81" s="228">
        <v>0</v>
      </c>
      <c r="AL81" s="228">
        <v>0</v>
      </c>
      <c r="AM81" s="228">
        <v>0</v>
      </c>
      <c r="AN81" s="229">
        <v>0</v>
      </c>
      <c r="AO81" s="231">
        <v>4791.17</v>
      </c>
      <c r="AP81" s="231">
        <v>4800.16</v>
      </c>
      <c r="AQ81" s="228">
        <v>0</v>
      </c>
      <c r="AR81" s="230">
        <v>1538850</v>
      </c>
      <c r="AS81" s="230">
        <v>2086050</v>
      </c>
      <c r="AT81" s="230">
        <v>-547200</v>
      </c>
      <c r="AU81" s="229">
        <v>-0.26229999999999998</v>
      </c>
      <c r="AV81" s="230">
        <v>1073100</v>
      </c>
      <c r="AW81" s="230">
        <v>1598400</v>
      </c>
      <c r="AX81" s="230">
        <v>-525300</v>
      </c>
      <c r="AY81" s="229">
        <v>-0.3286</v>
      </c>
      <c r="AZ81" s="230">
        <v>444600</v>
      </c>
      <c r="BA81" s="230">
        <v>447300</v>
      </c>
      <c r="BB81" s="230">
        <v>-2700</v>
      </c>
      <c r="BC81" s="229">
        <v>-6.0000000000000001E-3</v>
      </c>
      <c r="BD81" s="228">
        <v>0</v>
      </c>
      <c r="BE81" s="228">
        <v>0</v>
      </c>
      <c r="BF81" s="228">
        <v>0</v>
      </c>
      <c r="BG81" s="229">
        <v>0</v>
      </c>
      <c r="BH81" s="230">
        <v>8581800</v>
      </c>
      <c r="BI81" s="230">
        <v>11910000</v>
      </c>
      <c r="BJ81" s="230">
        <v>-3328200</v>
      </c>
      <c r="BK81" s="229">
        <v>-0.27939999999999998</v>
      </c>
      <c r="BL81" s="230">
        <v>3079350</v>
      </c>
      <c r="BM81" s="230">
        <v>4749000</v>
      </c>
      <c r="BN81" s="230">
        <v>-1669650</v>
      </c>
      <c r="BO81" s="229">
        <v>-0.35160000000000002</v>
      </c>
      <c r="BP81" s="230">
        <v>13200000</v>
      </c>
      <c r="BQ81" s="230">
        <v>18745050</v>
      </c>
      <c r="BR81" s="230">
        <v>-5545050</v>
      </c>
      <c r="BS81" s="229">
        <v>-0.29580000000000001</v>
      </c>
      <c r="BT81" s="230">
        <v>950549</v>
      </c>
      <c r="BU81" s="230">
        <v>1230661</v>
      </c>
      <c r="BV81" s="230">
        <v>-280112</v>
      </c>
      <c r="BW81" s="229">
        <v>-0.2276</v>
      </c>
      <c r="BX81" s="230">
        <v>9372600</v>
      </c>
      <c r="BY81" s="230">
        <v>9416700</v>
      </c>
      <c r="BZ81" s="230">
        <v>-44100</v>
      </c>
      <c r="CA81" s="229">
        <v>-4.7000000000000002E-3</v>
      </c>
      <c r="CB81" s="230">
        <v>7405650</v>
      </c>
      <c r="CC81" s="230">
        <v>7620450</v>
      </c>
      <c r="CD81" s="230">
        <v>-214800</v>
      </c>
      <c r="CE81" s="229">
        <v>-2.8199999999999999E-2</v>
      </c>
      <c r="CF81" s="230">
        <v>1840050</v>
      </c>
      <c r="CG81" s="230">
        <v>1670850</v>
      </c>
      <c r="CH81" s="230">
        <v>169200</v>
      </c>
      <c r="CI81" s="229">
        <v>0.1013</v>
      </c>
      <c r="CJ81" s="228">
        <v>0</v>
      </c>
      <c r="CK81" s="228">
        <v>0</v>
      </c>
      <c r="CL81" s="228">
        <v>0</v>
      </c>
      <c r="CM81" s="229">
        <v>0</v>
      </c>
      <c r="CN81" s="230">
        <v>7079700</v>
      </c>
      <c r="CO81" s="230">
        <v>7187250</v>
      </c>
      <c r="CP81" s="230">
        <v>-107550</v>
      </c>
      <c r="CQ81" s="229">
        <v>-1.4999999999999999E-2</v>
      </c>
      <c r="CR81" s="230">
        <v>3652350</v>
      </c>
      <c r="CS81" s="230">
        <v>3601650</v>
      </c>
      <c r="CT81" s="230">
        <v>50700</v>
      </c>
      <c r="CU81" s="229">
        <v>1.41E-2</v>
      </c>
      <c r="CV81" s="230">
        <v>20104650</v>
      </c>
      <c r="CW81" s="230">
        <v>20205600</v>
      </c>
      <c r="CX81" s="230">
        <v>-100950</v>
      </c>
      <c r="CY81" s="229">
        <v>-5.0000000000000001E-3</v>
      </c>
      <c r="CZ81" s="228">
        <v>29.68</v>
      </c>
      <c r="DA81" s="228">
        <v>30.01</v>
      </c>
      <c r="DB81" s="228">
        <v>-0.33</v>
      </c>
      <c r="DC81" s="228">
        <v>-0.33</v>
      </c>
      <c r="DD81" s="228">
        <v>43.96</v>
      </c>
      <c r="DE81" s="228">
        <v>44.07</v>
      </c>
      <c r="DF81" s="228">
        <v>-14.28</v>
      </c>
      <c r="DG81" s="228">
        <v>-0.11</v>
      </c>
      <c r="DH81" s="228">
        <v>30.26</v>
      </c>
      <c r="DI81" s="228">
        <v>30.17</v>
      </c>
      <c r="DJ81" s="228">
        <v>0.09</v>
      </c>
      <c r="DK81" s="228">
        <v>0.09</v>
      </c>
      <c r="DL81" s="228">
        <v>28.07</v>
      </c>
      <c r="DM81" s="228">
        <v>29.6</v>
      </c>
      <c r="DN81" s="228">
        <v>-1.53</v>
      </c>
      <c r="DO81" s="228">
        <v>-1.53</v>
      </c>
      <c r="DP81" s="228">
        <v>0.52</v>
      </c>
      <c r="DQ81" s="228">
        <v>0.5</v>
      </c>
      <c r="DR81" s="228">
        <v>0.02</v>
      </c>
      <c r="DS81" s="229">
        <v>0.04</v>
      </c>
      <c r="DT81" s="231">
        <v>5000</v>
      </c>
      <c r="DU81" s="231">
        <v>5000</v>
      </c>
      <c r="DV81" s="228">
        <v>0.36</v>
      </c>
      <c r="DW81" s="228">
        <v>0.4</v>
      </c>
      <c r="DX81" s="228">
        <v>-0.04</v>
      </c>
      <c r="DY81" s="229">
        <v>-0.1</v>
      </c>
      <c r="DZ81" s="229">
        <v>0.1963</v>
      </c>
      <c r="EA81" s="230">
        <v>1670850</v>
      </c>
      <c r="EB81" s="229">
        <v>2.3E-3</v>
      </c>
      <c r="EC81" s="229">
        <v>0.1963</v>
      </c>
      <c r="ED81" s="228">
        <v>8.99</v>
      </c>
      <c r="EE81" s="229">
        <v>1.9E-3</v>
      </c>
      <c r="EF81" s="230">
        <v>431869</v>
      </c>
      <c r="EG81" s="230">
        <v>404877</v>
      </c>
      <c r="EH81" s="229">
        <v>6.6699999999999995E-2</v>
      </c>
      <c r="EI81" s="229">
        <v>0.45429999999999998</v>
      </c>
      <c r="EJ81" s="231">
        <v>430180.94</v>
      </c>
      <c r="EK81" s="231">
        <v>144314.78</v>
      </c>
      <c r="EL81" s="231">
        <v>73777.23</v>
      </c>
      <c r="EM81" s="228">
        <v>0</v>
      </c>
      <c r="EN81" s="231">
        <v>648272.94999999995</v>
      </c>
      <c r="EO81" s="231">
        <v>911338.34</v>
      </c>
      <c r="EP81" s="231">
        <v>-263065.39</v>
      </c>
      <c r="EQ81" s="229">
        <v>-0.28870000000000001</v>
      </c>
      <c r="ER81" s="231">
        <v>362303</v>
      </c>
      <c r="ES81" s="231">
        <v>173827</v>
      </c>
      <c r="ET81" s="231">
        <v>447197</v>
      </c>
      <c r="EU81" s="231">
        <v>37934515</v>
      </c>
      <c r="EV81" s="231">
        <v>983327</v>
      </c>
      <c r="EW81" s="231">
        <v>987357</v>
      </c>
      <c r="EX81" s="231">
        <v>-4030</v>
      </c>
      <c r="EY81" s="229">
        <v>-4.1000000000000003E-3</v>
      </c>
      <c r="EZ81" s="229">
        <v>0.53</v>
      </c>
      <c r="FA81" s="227" t="s">
        <v>556</v>
      </c>
      <c r="FB81" s="161">
        <f t="shared" si="1"/>
        <v>1966950</v>
      </c>
    </row>
    <row r="82" spans="1:158" ht="17.25" thickBot="1" x14ac:dyDescent="0.3">
      <c r="A82" s="226">
        <v>45860</v>
      </c>
      <c r="B82" s="227" t="s">
        <v>184</v>
      </c>
      <c r="C82" s="227" t="s">
        <v>220</v>
      </c>
      <c r="D82" s="228">
        <v>500</v>
      </c>
      <c r="E82" s="231">
        <v>1581.2</v>
      </c>
      <c r="F82" s="231">
        <v>1533.2</v>
      </c>
      <c r="G82" s="228">
        <v>48</v>
      </c>
      <c r="H82" s="229">
        <v>3.1300000000000001E-2</v>
      </c>
      <c r="I82" s="231">
        <v>1578.6</v>
      </c>
      <c r="J82" s="231">
        <v>1531.6</v>
      </c>
      <c r="K82" s="228">
        <v>47</v>
      </c>
      <c r="L82" s="229">
        <v>3.0700000000000002E-2</v>
      </c>
      <c r="M82" s="231">
        <v>1581.2</v>
      </c>
      <c r="N82" s="231">
        <v>1533.2</v>
      </c>
      <c r="O82" s="228">
        <v>48</v>
      </c>
      <c r="P82" s="229">
        <v>3.1300000000000001E-2</v>
      </c>
      <c r="Q82" s="231">
        <v>1579.4</v>
      </c>
      <c r="R82" s="231">
        <v>1530.3</v>
      </c>
      <c r="S82" s="228">
        <v>49.1</v>
      </c>
      <c r="T82" s="229">
        <v>3.2099999999999997E-2</v>
      </c>
      <c r="U82" s="228">
        <v>0</v>
      </c>
      <c r="V82" s="228">
        <v>0</v>
      </c>
      <c r="W82" s="228">
        <v>0</v>
      </c>
      <c r="X82" s="229">
        <v>0</v>
      </c>
      <c r="Y82" s="228">
        <v>2.6</v>
      </c>
      <c r="Z82" s="228">
        <v>1.6</v>
      </c>
      <c r="AA82" s="228">
        <v>1</v>
      </c>
      <c r="AB82" s="229">
        <v>1.6000000000000001E-3</v>
      </c>
      <c r="AC82" s="228">
        <v>2.6</v>
      </c>
      <c r="AD82" s="228">
        <v>1.6</v>
      </c>
      <c r="AE82" s="228">
        <v>1</v>
      </c>
      <c r="AF82" s="229">
        <v>1.6000000000000001E-3</v>
      </c>
      <c r="AG82" s="228">
        <v>0.8</v>
      </c>
      <c r="AH82" s="228">
        <v>-1.3</v>
      </c>
      <c r="AI82" s="228">
        <v>2.1</v>
      </c>
      <c r="AJ82" s="229">
        <v>5.0000000000000001E-4</v>
      </c>
      <c r="AK82" s="228">
        <v>0</v>
      </c>
      <c r="AL82" s="228">
        <v>0</v>
      </c>
      <c r="AM82" s="228">
        <v>0</v>
      </c>
      <c r="AN82" s="229">
        <v>0</v>
      </c>
      <c r="AO82" s="231">
        <v>1550.33</v>
      </c>
      <c r="AP82" s="231">
        <v>1551.13</v>
      </c>
      <c r="AQ82" s="228">
        <v>0</v>
      </c>
      <c r="AR82" s="230">
        <v>12096500</v>
      </c>
      <c r="AS82" s="230">
        <v>3828000</v>
      </c>
      <c r="AT82" s="230">
        <v>8268500</v>
      </c>
      <c r="AU82" s="229">
        <v>2.16</v>
      </c>
      <c r="AV82" s="230">
        <v>10175500</v>
      </c>
      <c r="AW82" s="230">
        <v>3415000</v>
      </c>
      <c r="AX82" s="230">
        <v>6760500</v>
      </c>
      <c r="AY82" s="229">
        <v>1.9796</v>
      </c>
      <c r="AZ82" s="230">
        <v>1860500</v>
      </c>
      <c r="BA82" s="230">
        <v>400500</v>
      </c>
      <c r="BB82" s="230">
        <v>1460000</v>
      </c>
      <c r="BC82" s="229">
        <v>3.6454</v>
      </c>
      <c r="BD82" s="228">
        <v>0</v>
      </c>
      <c r="BE82" s="228">
        <v>0</v>
      </c>
      <c r="BF82" s="228">
        <v>0</v>
      </c>
      <c r="BG82" s="229">
        <v>0</v>
      </c>
      <c r="BH82" s="230">
        <v>37501000</v>
      </c>
      <c r="BI82" s="230">
        <v>8582500</v>
      </c>
      <c r="BJ82" s="230">
        <v>28918500</v>
      </c>
      <c r="BK82" s="229">
        <v>3.3694999999999999</v>
      </c>
      <c r="BL82" s="230">
        <v>21842500</v>
      </c>
      <c r="BM82" s="230">
        <v>6220500</v>
      </c>
      <c r="BN82" s="230">
        <v>15622000</v>
      </c>
      <c r="BO82" s="229">
        <v>2.5114000000000001</v>
      </c>
      <c r="BP82" s="230">
        <v>71440000</v>
      </c>
      <c r="BQ82" s="230">
        <v>18631000</v>
      </c>
      <c r="BR82" s="230">
        <v>52809000</v>
      </c>
      <c r="BS82" s="229">
        <v>2.8344999999999998</v>
      </c>
      <c r="BT82" s="230">
        <v>5325014</v>
      </c>
      <c r="BU82" s="230">
        <v>868868</v>
      </c>
      <c r="BV82" s="230">
        <v>4456146</v>
      </c>
      <c r="BW82" s="229">
        <v>5.1287000000000003</v>
      </c>
      <c r="BX82" s="230">
        <v>9090000</v>
      </c>
      <c r="BY82" s="230">
        <v>10535500</v>
      </c>
      <c r="BZ82" s="230">
        <v>-1445500</v>
      </c>
      <c r="CA82" s="229">
        <v>-0.13719999999999999</v>
      </c>
      <c r="CB82" s="230">
        <v>8329000</v>
      </c>
      <c r="CC82" s="230">
        <v>9771500</v>
      </c>
      <c r="CD82" s="230">
        <v>-1442500</v>
      </c>
      <c r="CE82" s="229">
        <v>-0.14760000000000001</v>
      </c>
      <c r="CF82" s="230">
        <v>718000</v>
      </c>
      <c r="CG82" s="230">
        <v>710000</v>
      </c>
      <c r="CH82" s="230">
        <v>8000</v>
      </c>
      <c r="CI82" s="229">
        <v>1.1299999999999999E-2</v>
      </c>
      <c r="CJ82" s="228">
        <v>0</v>
      </c>
      <c r="CK82" s="228">
        <v>0</v>
      </c>
      <c r="CL82" s="228">
        <v>0</v>
      </c>
      <c r="CM82" s="229">
        <v>0</v>
      </c>
      <c r="CN82" s="230">
        <v>3740000</v>
      </c>
      <c r="CO82" s="230">
        <v>4371000</v>
      </c>
      <c r="CP82" s="230">
        <v>-631000</v>
      </c>
      <c r="CQ82" s="229">
        <v>-0.1444</v>
      </c>
      <c r="CR82" s="230">
        <v>3853000</v>
      </c>
      <c r="CS82" s="230">
        <v>3894500</v>
      </c>
      <c r="CT82" s="230">
        <v>-41500</v>
      </c>
      <c r="CU82" s="229">
        <v>-1.0699999999999999E-2</v>
      </c>
      <c r="CV82" s="230">
        <v>16683000</v>
      </c>
      <c r="CW82" s="230">
        <v>18801000</v>
      </c>
      <c r="CX82" s="230">
        <v>-2118000</v>
      </c>
      <c r="CY82" s="229">
        <v>-0.11269999999999999</v>
      </c>
      <c r="CZ82" s="228">
        <v>25.69</v>
      </c>
      <c r="DA82" s="228">
        <v>33.61</v>
      </c>
      <c r="DB82" s="228">
        <v>-7.92</v>
      </c>
      <c r="DC82" s="228">
        <v>-7.92</v>
      </c>
      <c r="DD82" s="228">
        <v>30.15</v>
      </c>
      <c r="DE82" s="228">
        <v>29.94</v>
      </c>
      <c r="DF82" s="228">
        <v>-4.46</v>
      </c>
      <c r="DG82" s="228">
        <v>0.21</v>
      </c>
      <c r="DH82" s="228">
        <v>24.46</v>
      </c>
      <c r="DI82" s="228">
        <v>33.22</v>
      </c>
      <c r="DJ82" s="228">
        <v>-8.76</v>
      </c>
      <c r="DK82" s="228">
        <v>-8.76</v>
      </c>
      <c r="DL82" s="228">
        <v>27.8</v>
      </c>
      <c r="DM82" s="228">
        <v>34.159999999999997</v>
      </c>
      <c r="DN82" s="228">
        <v>-6.36</v>
      </c>
      <c r="DO82" s="228">
        <v>-6.36</v>
      </c>
      <c r="DP82" s="228">
        <v>1.03</v>
      </c>
      <c r="DQ82" s="228">
        <v>0.89</v>
      </c>
      <c r="DR82" s="228">
        <v>0.14000000000000001</v>
      </c>
      <c r="DS82" s="229">
        <v>0.1573</v>
      </c>
      <c r="DT82" s="231">
        <v>1600</v>
      </c>
      <c r="DU82" s="231">
        <v>1500</v>
      </c>
      <c r="DV82" s="228">
        <v>0.57999999999999996</v>
      </c>
      <c r="DW82" s="228">
        <v>0.72</v>
      </c>
      <c r="DX82" s="228">
        <v>-0.14000000000000001</v>
      </c>
      <c r="DY82" s="229">
        <v>-0.19439999999999999</v>
      </c>
      <c r="DZ82" s="229">
        <v>7.9000000000000001E-2</v>
      </c>
      <c r="EA82" s="230">
        <v>710000</v>
      </c>
      <c r="EB82" s="229">
        <v>-1.1000000000000001E-3</v>
      </c>
      <c r="EC82" s="229">
        <v>7.9000000000000001E-2</v>
      </c>
      <c r="ED82" s="228">
        <v>0.8</v>
      </c>
      <c r="EE82" s="229">
        <v>5.0000000000000001E-4</v>
      </c>
      <c r="EF82" s="230">
        <v>2270089</v>
      </c>
      <c r="EG82" s="230">
        <v>459466</v>
      </c>
      <c r="EH82" s="229">
        <v>3.9407000000000001</v>
      </c>
      <c r="EI82" s="229">
        <v>0.42630000000000001</v>
      </c>
      <c r="EJ82" s="231">
        <v>600424.81000000006</v>
      </c>
      <c r="EK82" s="231">
        <v>333519.35999999999</v>
      </c>
      <c r="EL82" s="231">
        <v>187556</v>
      </c>
      <c r="EM82" s="228">
        <v>0</v>
      </c>
      <c r="EN82" s="231">
        <v>1121500.17</v>
      </c>
      <c r="EO82" s="231">
        <v>289172.81</v>
      </c>
      <c r="EP82" s="231">
        <v>832327.36</v>
      </c>
      <c r="EQ82" s="229">
        <v>2.8782999999999999</v>
      </c>
      <c r="ER82" s="231">
        <v>60257</v>
      </c>
      <c r="ES82" s="231">
        <v>57594</v>
      </c>
      <c r="ET82" s="231">
        <v>143719</v>
      </c>
      <c r="EU82" s="231">
        <v>50833981</v>
      </c>
      <c r="EV82" s="231">
        <v>261570</v>
      </c>
      <c r="EW82" s="231">
        <v>288978</v>
      </c>
      <c r="EX82" s="231">
        <v>-27408</v>
      </c>
      <c r="EY82" s="229">
        <v>-9.4799999999999995E-2</v>
      </c>
      <c r="EZ82" s="229">
        <v>0.32819999999999999</v>
      </c>
      <c r="FA82" s="227" t="s">
        <v>556</v>
      </c>
      <c r="FB82" s="161">
        <f t="shared" si="1"/>
        <v>761000</v>
      </c>
    </row>
    <row r="83" spans="1:158" ht="17.25" thickBot="1" x14ac:dyDescent="0.3">
      <c r="A83" s="226">
        <v>45860</v>
      </c>
      <c r="B83" s="227" t="s">
        <v>221</v>
      </c>
      <c r="C83" s="227" t="s">
        <v>222</v>
      </c>
      <c r="D83" s="228">
        <v>350</v>
      </c>
      <c r="E83" s="231">
        <v>1524.9</v>
      </c>
      <c r="F83" s="231">
        <v>1535.6</v>
      </c>
      <c r="G83" s="228">
        <v>-10.7</v>
      </c>
      <c r="H83" s="229">
        <v>-7.0000000000000001E-3</v>
      </c>
      <c r="I83" s="231">
        <v>1520.1</v>
      </c>
      <c r="J83" s="231">
        <v>1530.4</v>
      </c>
      <c r="K83" s="228">
        <v>-10.3</v>
      </c>
      <c r="L83" s="229">
        <v>-6.7000000000000002E-3</v>
      </c>
      <c r="M83" s="231">
        <v>1524.9</v>
      </c>
      <c r="N83" s="231">
        <v>1535.6</v>
      </c>
      <c r="O83" s="228">
        <v>-10.7</v>
      </c>
      <c r="P83" s="229">
        <v>-7.0000000000000001E-3</v>
      </c>
      <c r="Q83" s="231">
        <v>1532.1</v>
      </c>
      <c r="R83" s="231">
        <v>1543.1</v>
      </c>
      <c r="S83" s="228">
        <v>-11</v>
      </c>
      <c r="T83" s="229">
        <v>-7.1000000000000004E-3</v>
      </c>
      <c r="U83" s="228">
        <v>0</v>
      </c>
      <c r="V83" s="228">
        <v>0</v>
      </c>
      <c r="W83" s="228">
        <v>0</v>
      </c>
      <c r="X83" s="229">
        <v>0</v>
      </c>
      <c r="Y83" s="228">
        <v>4.8</v>
      </c>
      <c r="Z83" s="228">
        <v>5.2</v>
      </c>
      <c r="AA83" s="228">
        <v>-0.4</v>
      </c>
      <c r="AB83" s="229">
        <v>3.2000000000000002E-3</v>
      </c>
      <c r="AC83" s="228">
        <v>4.8</v>
      </c>
      <c r="AD83" s="228">
        <v>5.2</v>
      </c>
      <c r="AE83" s="228">
        <v>-0.4</v>
      </c>
      <c r="AF83" s="229">
        <v>3.2000000000000002E-3</v>
      </c>
      <c r="AG83" s="228">
        <v>12</v>
      </c>
      <c r="AH83" s="228">
        <v>12.7</v>
      </c>
      <c r="AI83" s="228">
        <v>-0.7</v>
      </c>
      <c r="AJ83" s="229">
        <v>7.9000000000000008E-3</v>
      </c>
      <c r="AK83" s="228">
        <v>0</v>
      </c>
      <c r="AL83" s="228">
        <v>0</v>
      </c>
      <c r="AM83" s="228">
        <v>0</v>
      </c>
      <c r="AN83" s="229">
        <v>0</v>
      </c>
      <c r="AO83" s="231">
        <v>1531.93</v>
      </c>
      <c r="AP83" s="231">
        <v>1538.36</v>
      </c>
      <c r="AQ83" s="228">
        <v>0</v>
      </c>
      <c r="AR83" s="230">
        <v>2241050</v>
      </c>
      <c r="AS83" s="230">
        <v>3286850</v>
      </c>
      <c r="AT83" s="230">
        <v>-1045800</v>
      </c>
      <c r="AU83" s="229">
        <v>-0.31819999999999998</v>
      </c>
      <c r="AV83" s="230">
        <v>1604750</v>
      </c>
      <c r="AW83" s="230">
        <v>2525600</v>
      </c>
      <c r="AX83" s="230">
        <v>-920850</v>
      </c>
      <c r="AY83" s="229">
        <v>-0.36459999999999998</v>
      </c>
      <c r="AZ83" s="230">
        <v>572250</v>
      </c>
      <c r="BA83" s="230">
        <v>718200</v>
      </c>
      <c r="BB83" s="230">
        <v>-145950</v>
      </c>
      <c r="BC83" s="229">
        <v>-0.20319999999999999</v>
      </c>
      <c r="BD83" s="228">
        <v>0</v>
      </c>
      <c r="BE83" s="228">
        <v>0</v>
      </c>
      <c r="BF83" s="228">
        <v>0</v>
      </c>
      <c r="BG83" s="229">
        <v>0</v>
      </c>
      <c r="BH83" s="230">
        <v>11421550</v>
      </c>
      <c r="BI83" s="230">
        <v>15228150</v>
      </c>
      <c r="BJ83" s="230">
        <v>-3806600</v>
      </c>
      <c r="BK83" s="229">
        <v>-0.25</v>
      </c>
      <c r="BL83" s="230">
        <v>3925950</v>
      </c>
      <c r="BM83" s="230">
        <v>5315450</v>
      </c>
      <c r="BN83" s="230">
        <v>-1389500</v>
      </c>
      <c r="BO83" s="229">
        <v>-0.26140000000000002</v>
      </c>
      <c r="BP83" s="230">
        <v>17588550</v>
      </c>
      <c r="BQ83" s="230">
        <v>23830450</v>
      </c>
      <c r="BR83" s="230">
        <v>-6241900</v>
      </c>
      <c r="BS83" s="229">
        <v>-0.26190000000000002</v>
      </c>
      <c r="BT83" s="230">
        <v>3249748</v>
      </c>
      <c r="BU83" s="230">
        <v>3573971</v>
      </c>
      <c r="BV83" s="230">
        <v>-324223</v>
      </c>
      <c r="BW83" s="229">
        <v>-9.0700000000000003E-2</v>
      </c>
      <c r="BX83" s="230">
        <v>19739300</v>
      </c>
      <c r="BY83" s="230">
        <v>19750150</v>
      </c>
      <c r="BZ83" s="230">
        <v>-10850</v>
      </c>
      <c r="CA83" s="229">
        <v>-5.0000000000000001E-4</v>
      </c>
      <c r="CB83" s="230">
        <v>16002000</v>
      </c>
      <c r="CC83" s="230">
        <v>16308250</v>
      </c>
      <c r="CD83" s="230">
        <v>-306250</v>
      </c>
      <c r="CE83" s="229">
        <v>-1.8800000000000001E-2</v>
      </c>
      <c r="CF83" s="230">
        <v>3126900</v>
      </c>
      <c r="CG83" s="230">
        <v>2852500</v>
      </c>
      <c r="CH83" s="230">
        <v>274400</v>
      </c>
      <c r="CI83" s="229">
        <v>9.6199999999999994E-2</v>
      </c>
      <c r="CJ83" s="228">
        <v>0</v>
      </c>
      <c r="CK83" s="228">
        <v>0</v>
      </c>
      <c r="CL83" s="228">
        <v>0</v>
      </c>
      <c r="CM83" s="229">
        <v>0</v>
      </c>
      <c r="CN83" s="230">
        <v>17356150</v>
      </c>
      <c r="CO83" s="230">
        <v>17345650</v>
      </c>
      <c r="CP83" s="230">
        <v>10500</v>
      </c>
      <c r="CQ83" s="229">
        <v>5.9999999999999995E-4</v>
      </c>
      <c r="CR83" s="230">
        <v>6618500</v>
      </c>
      <c r="CS83" s="230">
        <v>6680800</v>
      </c>
      <c r="CT83" s="230">
        <v>-62300</v>
      </c>
      <c r="CU83" s="229">
        <v>-9.2999999999999992E-3</v>
      </c>
      <c r="CV83" s="230">
        <v>43713950</v>
      </c>
      <c r="CW83" s="230">
        <v>43776600</v>
      </c>
      <c r="CX83" s="230">
        <v>-62650</v>
      </c>
      <c r="CY83" s="229">
        <v>-1.4E-3</v>
      </c>
      <c r="CZ83" s="228">
        <v>24.26</v>
      </c>
      <c r="DA83" s="228">
        <v>24.28</v>
      </c>
      <c r="DB83" s="228">
        <v>-0.02</v>
      </c>
      <c r="DC83" s="228">
        <v>-0.02</v>
      </c>
      <c r="DD83" s="228">
        <v>30.78</v>
      </c>
      <c r="DE83" s="228">
        <v>30.84</v>
      </c>
      <c r="DF83" s="228">
        <v>-6.52</v>
      </c>
      <c r="DG83" s="228">
        <v>-0.06</v>
      </c>
      <c r="DH83" s="228">
        <v>24.99</v>
      </c>
      <c r="DI83" s="228">
        <v>24.89</v>
      </c>
      <c r="DJ83" s="228">
        <v>0.1</v>
      </c>
      <c r="DK83" s="228">
        <v>0.1</v>
      </c>
      <c r="DL83" s="228">
        <v>22.14</v>
      </c>
      <c r="DM83" s="228">
        <v>22.53</v>
      </c>
      <c r="DN83" s="228">
        <v>-0.39</v>
      </c>
      <c r="DO83" s="228">
        <v>-0.39</v>
      </c>
      <c r="DP83" s="228">
        <v>0.38</v>
      </c>
      <c r="DQ83" s="228">
        <v>0.39</v>
      </c>
      <c r="DR83" s="228">
        <v>-0.01</v>
      </c>
      <c r="DS83" s="229">
        <v>-2.5600000000000001E-2</v>
      </c>
      <c r="DT83" s="231">
        <v>1600</v>
      </c>
      <c r="DU83" s="231">
        <v>1600</v>
      </c>
      <c r="DV83" s="228">
        <v>0.34</v>
      </c>
      <c r="DW83" s="228">
        <v>0.35</v>
      </c>
      <c r="DX83" s="228">
        <v>-0.01</v>
      </c>
      <c r="DY83" s="229">
        <v>-2.86E-2</v>
      </c>
      <c r="DZ83" s="229">
        <v>0.15840000000000001</v>
      </c>
      <c r="EA83" s="230">
        <v>2852500</v>
      </c>
      <c r="EB83" s="229">
        <v>4.7000000000000002E-3</v>
      </c>
      <c r="EC83" s="229">
        <v>0.15840000000000001</v>
      </c>
      <c r="ED83" s="228">
        <v>6.43</v>
      </c>
      <c r="EE83" s="229">
        <v>4.1999999999999997E-3</v>
      </c>
      <c r="EF83" s="230">
        <v>2586751</v>
      </c>
      <c r="EG83" s="230">
        <v>2542136</v>
      </c>
      <c r="EH83" s="229">
        <v>1.7600000000000001E-2</v>
      </c>
      <c r="EI83" s="229">
        <v>0.79600000000000004</v>
      </c>
      <c r="EJ83" s="231">
        <v>183203.48</v>
      </c>
      <c r="EK83" s="231">
        <v>60020.5</v>
      </c>
      <c r="EL83" s="231">
        <v>34378.51</v>
      </c>
      <c r="EM83" s="228">
        <v>0</v>
      </c>
      <c r="EN83" s="231">
        <v>277602.49</v>
      </c>
      <c r="EO83" s="231">
        <v>378300.55</v>
      </c>
      <c r="EP83" s="231">
        <v>-100698.06</v>
      </c>
      <c r="EQ83" s="229">
        <v>-0.26619999999999999</v>
      </c>
      <c r="ER83" s="231">
        <v>292855</v>
      </c>
      <c r="ES83" s="231">
        <v>103023</v>
      </c>
      <c r="ET83" s="231">
        <v>301329</v>
      </c>
      <c r="EU83" s="231">
        <v>211721976</v>
      </c>
      <c r="EV83" s="231">
        <v>697208</v>
      </c>
      <c r="EW83" s="231">
        <v>701000</v>
      </c>
      <c r="EX83" s="231">
        <v>-3792</v>
      </c>
      <c r="EY83" s="229">
        <v>-5.4000000000000003E-3</v>
      </c>
      <c r="EZ83" s="229">
        <v>0.20649999999999999</v>
      </c>
      <c r="FA83" s="227" t="s">
        <v>568</v>
      </c>
      <c r="FB83" s="161">
        <f t="shared" si="1"/>
        <v>3737300</v>
      </c>
    </row>
    <row r="84" spans="1:158" ht="17.25" thickBot="1" x14ac:dyDescent="0.3">
      <c r="A84" s="226">
        <v>45860</v>
      </c>
      <c r="B84" s="227" t="s">
        <v>175</v>
      </c>
      <c r="C84" s="227" t="s">
        <v>475</v>
      </c>
      <c r="D84" s="228">
        <v>150</v>
      </c>
      <c r="E84" s="231">
        <v>5593.5</v>
      </c>
      <c r="F84" s="231">
        <v>5626.5</v>
      </c>
      <c r="G84" s="228">
        <v>-33</v>
      </c>
      <c r="H84" s="229">
        <v>-5.8999999999999999E-3</v>
      </c>
      <c r="I84" s="231">
        <v>5592.5</v>
      </c>
      <c r="J84" s="231">
        <v>5622</v>
      </c>
      <c r="K84" s="228">
        <v>-29.5</v>
      </c>
      <c r="L84" s="229">
        <v>-5.1999999999999998E-3</v>
      </c>
      <c r="M84" s="231">
        <v>5593.5</v>
      </c>
      <c r="N84" s="231">
        <v>5626.5</v>
      </c>
      <c r="O84" s="228">
        <v>-33</v>
      </c>
      <c r="P84" s="229">
        <v>-5.8999999999999999E-3</v>
      </c>
      <c r="Q84" s="231">
        <v>5621</v>
      </c>
      <c r="R84" s="231">
        <v>5650</v>
      </c>
      <c r="S84" s="228">
        <v>-29</v>
      </c>
      <c r="T84" s="229">
        <v>-5.1000000000000004E-3</v>
      </c>
      <c r="U84" s="228">
        <v>0</v>
      </c>
      <c r="V84" s="228">
        <v>0</v>
      </c>
      <c r="W84" s="228">
        <v>0</v>
      </c>
      <c r="X84" s="229">
        <v>0</v>
      </c>
      <c r="Y84" s="228">
        <v>1</v>
      </c>
      <c r="Z84" s="228">
        <v>4.5</v>
      </c>
      <c r="AA84" s="228">
        <v>-3.5</v>
      </c>
      <c r="AB84" s="229">
        <v>2.0000000000000001E-4</v>
      </c>
      <c r="AC84" s="228">
        <v>1</v>
      </c>
      <c r="AD84" s="228">
        <v>4.5</v>
      </c>
      <c r="AE84" s="228">
        <v>-3.5</v>
      </c>
      <c r="AF84" s="229">
        <v>2.0000000000000001E-4</v>
      </c>
      <c r="AG84" s="228">
        <v>28.5</v>
      </c>
      <c r="AH84" s="228">
        <v>28</v>
      </c>
      <c r="AI84" s="228">
        <v>0.5</v>
      </c>
      <c r="AJ84" s="229">
        <v>5.1000000000000004E-3</v>
      </c>
      <c r="AK84" s="228">
        <v>0</v>
      </c>
      <c r="AL84" s="228">
        <v>0</v>
      </c>
      <c r="AM84" s="228">
        <v>0</v>
      </c>
      <c r="AN84" s="229">
        <v>0</v>
      </c>
      <c r="AO84" s="231">
        <v>5593.09</v>
      </c>
      <c r="AP84" s="231">
        <v>5620.51</v>
      </c>
      <c r="AQ84" s="228">
        <v>0</v>
      </c>
      <c r="AR84" s="230">
        <v>450900</v>
      </c>
      <c r="AS84" s="230">
        <v>812700</v>
      </c>
      <c r="AT84" s="230">
        <v>-361800</v>
      </c>
      <c r="AU84" s="229">
        <v>-0.44519999999999998</v>
      </c>
      <c r="AV84" s="230">
        <v>403950</v>
      </c>
      <c r="AW84" s="230">
        <v>718050</v>
      </c>
      <c r="AX84" s="230">
        <v>-314100</v>
      </c>
      <c r="AY84" s="229">
        <v>-0.43740000000000001</v>
      </c>
      <c r="AZ84" s="230">
        <v>44700</v>
      </c>
      <c r="BA84" s="230">
        <v>88350</v>
      </c>
      <c r="BB84" s="230">
        <v>-43650</v>
      </c>
      <c r="BC84" s="229">
        <v>-0.49409999999999998</v>
      </c>
      <c r="BD84" s="228">
        <v>0</v>
      </c>
      <c r="BE84" s="228">
        <v>0</v>
      </c>
      <c r="BF84" s="228">
        <v>0</v>
      </c>
      <c r="BG84" s="229">
        <v>0</v>
      </c>
      <c r="BH84" s="230">
        <v>1686600</v>
      </c>
      <c r="BI84" s="230">
        <v>3589050</v>
      </c>
      <c r="BJ84" s="230">
        <v>-1902450</v>
      </c>
      <c r="BK84" s="229">
        <v>-0.53010000000000002</v>
      </c>
      <c r="BL84" s="230">
        <v>1295850</v>
      </c>
      <c r="BM84" s="230">
        <v>2041050</v>
      </c>
      <c r="BN84" s="230">
        <v>-745200</v>
      </c>
      <c r="BO84" s="229">
        <v>-0.36509999999999998</v>
      </c>
      <c r="BP84" s="230">
        <v>3433350</v>
      </c>
      <c r="BQ84" s="230">
        <v>6442800</v>
      </c>
      <c r="BR84" s="230">
        <v>-3009450</v>
      </c>
      <c r="BS84" s="229">
        <v>-0.46710000000000002</v>
      </c>
      <c r="BT84" s="230">
        <v>309602</v>
      </c>
      <c r="BU84" s="230">
        <v>419609</v>
      </c>
      <c r="BV84" s="230">
        <v>-110007</v>
      </c>
      <c r="BW84" s="229">
        <v>-0.26219999999999999</v>
      </c>
      <c r="BX84" s="230">
        <v>2777250</v>
      </c>
      <c r="BY84" s="230">
        <v>2818200</v>
      </c>
      <c r="BZ84" s="230">
        <v>-40950</v>
      </c>
      <c r="CA84" s="229">
        <v>-1.4500000000000001E-2</v>
      </c>
      <c r="CB84" s="230">
        <v>2510850</v>
      </c>
      <c r="CC84" s="230">
        <v>2570250</v>
      </c>
      <c r="CD84" s="230">
        <v>-59400</v>
      </c>
      <c r="CE84" s="229">
        <v>-2.3099999999999999E-2</v>
      </c>
      <c r="CF84" s="230">
        <v>246900</v>
      </c>
      <c r="CG84" s="230">
        <v>228900</v>
      </c>
      <c r="CH84" s="230">
        <v>18000</v>
      </c>
      <c r="CI84" s="229">
        <v>7.8600000000000003E-2</v>
      </c>
      <c r="CJ84" s="228">
        <v>0</v>
      </c>
      <c r="CK84" s="228">
        <v>0</v>
      </c>
      <c r="CL84" s="228">
        <v>0</v>
      </c>
      <c r="CM84" s="229">
        <v>0</v>
      </c>
      <c r="CN84" s="230">
        <v>2013900</v>
      </c>
      <c r="CO84" s="230">
        <v>2085750</v>
      </c>
      <c r="CP84" s="230">
        <v>-71850</v>
      </c>
      <c r="CQ84" s="229">
        <v>-3.44E-2</v>
      </c>
      <c r="CR84" s="230">
        <v>1416300</v>
      </c>
      <c r="CS84" s="230">
        <v>1498800</v>
      </c>
      <c r="CT84" s="230">
        <v>-82500</v>
      </c>
      <c r="CU84" s="229">
        <v>-5.5E-2</v>
      </c>
      <c r="CV84" s="230">
        <v>6207450</v>
      </c>
      <c r="CW84" s="230">
        <v>6402750</v>
      </c>
      <c r="CX84" s="230">
        <v>-195300</v>
      </c>
      <c r="CY84" s="229">
        <v>-3.0499999999999999E-2</v>
      </c>
      <c r="CZ84" s="228">
        <v>23.62</v>
      </c>
      <c r="DA84" s="228">
        <v>23.71</v>
      </c>
      <c r="DB84" s="228">
        <v>-0.09</v>
      </c>
      <c r="DC84" s="228">
        <v>-0.09</v>
      </c>
      <c r="DD84" s="228">
        <v>37.58</v>
      </c>
      <c r="DE84" s="228">
        <v>37.67</v>
      </c>
      <c r="DF84" s="228">
        <v>-13.96</v>
      </c>
      <c r="DG84" s="228">
        <v>-0.09</v>
      </c>
      <c r="DH84" s="228">
        <v>22.39</v>
      </c>
      <c r="DI84" s="228">
        <v>22.8</v>
      </c>
      <c r="DJ84" s="228">
        <v>-0.41</v>
      </c>
      <c r="DK84" s="228">
        <v>-0.41</v>
      </c>
      <c r="DL84" s="228">
        <v>25.23</v>
      </c>
      <c r="DM84" s="228">
        <v>25.32</v>
      </c>
      <c r="DN84" s="228">
        <v>-0.09</v>
      </c>
      <c r="DO84" s="228">
        <v>-0.09</v>
      </c>
      <c r="DP84" s="228">
        <v>0.7</v>
      </c>
      <c r="DQ84" s="228">
        <v>0.72</v>
      </c>
      <c r="DR84" s="228">
        <v>-0.02</v>
      </c>
      <c r="DS84" s="229">
        <v>-2.7799999999999998E-2</v>
      </c>
      <c r="DT84" s="231">
        <v>5600</v>
      </c>
      <c r="DU84" s="231">
        <v>5500</v>
      </c>
      <c r="DV84" s="228">
        <v>0.77</v>
      </c>
      <c r="DW84" s="228">
        <v>0.56999999999999995</v>
      </c>
      <c r="DX84" s="228">
        <v>0.2</v>
      </c>
      <c r="DY84" s="229">
        <v>0.35089999999999999</v>
      </c>
      <c r="DZ84" s="229">
        <v>8.8900000000000007E-2</v>
      </c>
      <c r="EA84" s="230">
        <v>228900</v>
      </c>
      <c r="EB84" s="229">
        <v>4.8999999999999998E-3</v>
      </c>
      <c r="EC84" s="229">
        <v>8.8900000000000007E-2</v>
      </c>
      <c r="ED84" s="228">
        <v>27.42</v>
      </c>
      <c r="EE84" s="229">
        <v>4.8999999999999998E-3</v>
      </c>
      <c r="EF84" s="230">
        <v>211227</v>
      </c>
      <c r="EG84" s="230">
        <v>199143</v>
      </c>
      <c r="EH84" s="229">
        <v>6.0699999999999997E-2</v>
      </c>
      <c r="EI84" s="229">
        <v>0.68230000000000002</v>
      </c>
      <c r="EJ84" s="231">
        <v>97592.92</v>
      </c>
      <c r="EK84" s="231">
        <v>70673.72</v>
      </c>
      <c r="EL84" s="231">
        <v>25232.41</v>
      </c>
      <c r="EM84" s="228">
        <v>0</v>
      </c>
      <c r="EN84" s="231">
        <v>193499.05</v>
      </c>
      <c r="EO84" s="231">
        <v>364601.59999999998</v>
      </c>
      <c r="EP84" s="231">
        <v>-171102.55</v>
      </c>
      <c r="EQ84" s="229">
        <v>-0.46929999999999999</v>
      </c>
      <c r="ER84" s="231">
        <v>112279</v>
      </c>
      <c r="ES84" s="231">
        <v>74481</v>
      </c>
      <c r="ET84" s="231">
        <v>155422</v>
      </c>
      <c r="EU84" s="231">
        <v>20322651</v>
      </c>
      <c r="EV84" s="231">
        <v>342181</v>
      </c>
      <c r="EW84" s="231">
        <v>353732</v>
      </c>
      <c r="EX84" s="231">
        <v>-11551</v>
      </c>
      <c r="EY84" s="229">
        <v>-3.27E-2</v>
      </c>
      <c r="EZ84" s="229">
        <v>0.3054</v>
      </c>
      <c r="FA84" s="227" t="s">
        <v>568</v>
      </c>
      <c r="FB84" s="161">
        <f t="shared" si="1"/>
        <v>266400</v>
      </c>
    </row>
    <row r="85" spans="1:158" ht="17.25" thickBot="1" x14ac:dyDescent="0.3">
      <c r="A85" s="226">
        <v>45860</v>
      </c>
      <c r="B85" s="227" t="s">
        <v>172</v>
      </c>
      <c r="C85" s="227" t="s">
        <v>224</v>
      </c>
      <c r="D85" s="228">
        <v>550</v>
      </c>
      <c r="E85" s="231">
        <v>2004</v>
      </c>
      <c r="F85" s="231">
        <v>1997.3</v>
      </c>
      <c r="G85" s="228">
        <v>6.7</v>
      </c>
      <c r="H85" s="229">
        <v>3.3999999999999998E-3</v>
      </c>
      <c r="I85" s="231">
        <v>2007.1</v>
      </c>
      <c r="J85" s="231">
        <v>2000.5</v>
      </c>
      <c r="K85" s="228">
        <v>6.6</v>
      </c>
      <c r="L85" s="229">
        <v>3.3E-3</v>
      </c>
      <c r="M85" s="231">
        <v>2004</v>
      </c>
      <c r="N85" s="231">
        <v>1997.3</v>
      </c>
      <c r="O85" s="228">
        <v>6.7</v>
      </c>
      <c r="P85" s="229">
        <v>3.3999999999999998E-3</v>
      </c>
      <c r="Q85" s="231">
        <v>2014.3</v>
      </c>
      <c r="R85" s="231">
        <v>2007.2</v>
      </c>
      <c r="S85" s="228">
        <v>7.1</v>
      </c>
      <c r="T85" s="229">
        <v>3.5000000000000001E-3</v>
      </c>
      <c r="U85" s="228">
        <v>0</v>
      </c>
      <c r="V85" s="228">
        <v>0</v>
      </c>
      <c r="W85" s="228">
        <v>0</v>
      </c>
      <c r="X85" s="229">
        <v>0</v>
      </c>
      <c r="Y85" s="228">
        <v>-3.1</v>
      </c>
      <c r="Z85" s="228">
        <v>-3.2</v>
      </c>
      <c r="AA85" s="228">
        <v>0.1</v>
      </c>
      <c r="AB85" s="229">
        <v>-1.5E-3</v>
      </c>
      <c r="AC85" s="228">
        <v>-3.1</v>
      </c>
      <c r="AD85" s="228">
        <v>-3.2</v>
      </c>
      <c r="AE85" s="228">
        <v>0.1</v>
      </c>
      <c r="AF85" s="229">
        <v>-1.5E-3</v>
      </c>
      <c r="AG85" s="228">
        <v>7.2</v>
      </c>
      <c r="AH85" s="228">
        <v>6.7</v>
      </c>
      <c r="AI85" s="228">
        <v>0.5</v>
      </c>
      <c r="AJ85" s="229">
        <v>3.5999999999999999E-3</v>
      </c>
      <c r="AK85" s="228">
        <v>0</v>
      </c>
      <c r="AL85" s="228">
        <v>0</v>
      </c>
      <c r="AM85" s="228">
        <v>0</v>
      </c>
      <c r="AN85" s="229">
        <v>0</v>
      </c>
      <c r="AO85" s="231">
        <v>2005.94</v>
      </c>
      <c r="AP85" s="231">
        <v>2016.88</v>
      </c>
      <c r="AQ85" s="228">
        <v>0</v>
      </c>
      <c r="AR85" s="230">
        <v>11520300</v>
      </c>
      <c r="AS85" s="230">
        <v>26155250</v>
      </c>
      <c r="AT85" s="230">
        <v>-14634950</v>
      </c>
      <c r="AU85" s="229">
        <v>-0.5595</v>
      </c>
      <c r="AV85" s="230">
        <v>9519400</v>
      </c>
      <c r="AW85" s="230">
        <v>20686600</v>
      </c>
      <c r="AX85" s="230">
        <v>-11167200</v>
      </c>
      <c r="AY85" s="229">
        <v>-0.53979999999999995</v>
      </c>
      <c r="AZ85" s="230">
        <v>1856250</v>
      </c>
      <c r="BA85" s="230">
        <v>5237100</v>
      </c>
      <c r="BB85" s="230">
        <v>-3380850</v>
      </c>
      <c r="BC85" s="229">
        <v>-0.64559999999999995</v>
      </c>
      <c r="BD85" s="228">
        <v>0</v>
      </c>
      <c r="BE85" s="228">
        <v>0</v>
      </c>
      <c r="BF85" s="228">
        <v>0</v>
      </c>
      <c r="BG85" s="229">
        <v>0</v>
      </c>
      <c r="BH85" s="230">
        <v>56040050</v>
      </c>
      <c r="BI85" s="230">
        <v>129204900</v>
      </c>
      <c r="BJ85" s="230">
        <v>-73164850</v>
      </c>
      <c r="BK85" s="229">
        <v>-0.56630000000000003</v>
      </c>
      <c r="BL85" s="230">
        <v>38453800</v>
      </c>
      <c r="BM85" s="230">
        <v>98115050</v>
      </c>
      <c r="BN85" s="230">
        <v>-59661250</v>
      </c>
      <c r="BO85" s="229">
        <v>-0.60809999999999997</v>
      </c>
      <c r="BP85" s="230">
        <v>106014150</v>
      </c>
      <c r="BQ85" s="230">
        <v>253475200</v>
      </c>
      <c r="BR85" s="230">
        <v>-147461050</v>
      </c>
      <c r="BS85" s="229">
        <v>-0.58179999999999998</v>
      </c>
      <c r="BT85" s="230">
        <v>9373344</v>
      </c>
      <c r="BU85" s="230">
        <v>12276743</v>
      </c>
      <c r="BV85" s="230">
        <v>-2903399</v>
      </c>
      <c r="BW85" s="229">
        <v>-0.23649999999999999</v>
      </c>
      <c r="BX85" s="230">
        <v>104651250</v>
      </c>
      <c r="BY85" s="230">
        <v>106156600</v>
      </c>
      <c r="BZ85" s="230">
        <v>-1505350</v>
      </c>
      <c r="CA85" s="229">
        <v>-1.4200000000000001E-2</v>
      </c>
      <c r="CB85" s="230">
        <v>85634450</v>
      </c>
      <c r="CC85" s="230">
        <v>87952700</v>
      </c>
      <c r="CD85" s="230">
        <v>-2318250</v>
      </c>
      <c r="CE85" s="229">
        <v>-2.64E-2</v>
      </c>
      <c r="CF85" s="230">
        <v>18617500</v>
      </c>
      <c r="CG85" s="230">
        <v>17850800</v>
      </c>
      <c r="CH85" s="230">
        <v>766700</v>
      </c>
      <c r="CI85" s="229">
        <v>4.2999999999999997E-2</v>
      </c>
      <c r="CJ85" s="228">
        <v>0</v>
      </c>
      <c r="CK85" s="228">
        <v>0</v>
      </c>
      <c r="CL85" s="228">
        <v>0</v>
      </c>
      <c r="CM85" s="229">
        <v>0</v>
      </c>
      <c r="CN85" s="230">
        <v>36168000</v>
      </c>
      <c r="CO85" s="230">
        <v>38074850</v>
      </c>
      <c r="CP85" s="230">
        <v>-1906850</v>
      </c>
      <c r="CQ85" s="229">
        <v>-5.0099999999999999E-2</v>
      </c>
      <c r="CR85" s="230">
        <v>21409300</v>
      </c>
      <c r="CS85" s="230">
        <v>20879650</v>
      </c>
      <c r="CT85" s="230">
        <v>529650</v>
      </c>
      <c r="CU85" s="229">
        <v>2.5399999999999999E-2</v>
      </c>
      <c r="CV85" s="230">
        <v>162228550</v>
      </c>
      <c r="CW85" s="230">
        <v>165111100</v>
      </c>
      <c r="CX85" s="230">
        <v>-2882550</v>
      </c>
      <c r="CY85" s="229">
        <v>-1.7500000000000002E-2</v>
      </c>
      <c r="CZ85" s="228">
        <v>14.52</v>
      </c>
      <c r="DA85" s="228">
        <v>16.8</v>
      </c>
      <c r="DB85" s="228">
        <v>-2.2799999999999998</v>
      </c>
      <c r="DC85" s="228">
        <v>-2.2799999999999998</v>
      </c>
      <c r="DD85" s="228">
        <v>23.35</v>
      </c>
      <c r="DE85" s="228">
        <v>23.4</v>
      </c>
      <c r="DF85" s="228">
        <v>-8.83</v>
      </c>
      <c r="DG85" s="228">
        <v>-0.05</v>
      </c>
      <c r="DH85" s="228">
        <v>13.48</v>
      </c>
      <c r="DI85" s="228">
        <v>15.48</v>
      </c>
      <c r="DJ85" s="228">
        <v>-2</v>
      </c>
      <c r="DK85" s="228">
        <v>-2</v>
      </c>
      <c r="DL85" s="228">
        <v>16.02</v>
      </c>
      <c r="DM85" s="228">
        <v>18.54</v>
      </c>
      <c r="DN85" s="228">
        <v>-2.52</v>
      </c>
      <c r="DO85" s="228">
        <v>-2.52</v>
      </c>
      <c r="DP85" s="228">
        <v>0.59</v>
      </c>
      <c r="DQ85" s="228">
        <v>0.55000000000000004</v>
      </c>
      <c r="DR85" s="228">
        <v>0.04</v>
      </c>
      <c r="DS85" s="229">
        <v>7.2700000000000001E-2</v>
      </c>
      <c r="DT85" s="231">
        <v>2020</v>
      </c>
      <c r="DU85" s="231">
        <v>2000</v>
      </c>
      <c r="DV85" s="228">
        <v>0.69</v>
      </c>
      <c r="DW85" s="228">
        <v>0.76</v>
      </c>
      <c r="DX85" s="228">
        <v>-7.0000000000000007E-2</v>
      </c>
      <c r="DY85" s="229">
        <v>-9.2100000000000001E-2</v>
      </c>
      <c r="DZ85" s="229">
        <v>0.1779</v>
      </c>
      <c r="EA85" s="230">
        <v>17850800</v>
      </c>
      <c r="EB85" s="229">
        <v>5.1000000000000004E-3</v>
      </c>
      <c r="EC85" s="229">
        <v>0.1779</v>
      </c>
      <c r="ED85" s="228">
        <v>10.94</v>
      </c>
      <c r="EE85" s="229">
        <v>5.4999999999999997E-3</v>
      </c>
      <c r="EF85" s="230">
        <v>5956545</v>
      </c>
      <c r="EG85" s="230">
        <v>6891624</v>
      </c>
      <c r="EH85" s="229">
        <v>-0.13569999999999999</v>
      </c>
      <c r="EI85" s="229">
        <v>0.63549999999999995</v>
      </c>
      <c r="EJ85" s="231">
        <v>1146576.95</v>
      </c>
      <c r="EK85" s="231">
        <v>762010.02</v>
      </c>
      <c r="EL85" s="231">
        <v>231326.38</v>
      </c>
      <c r="EM85" s="228">
        <v>0</v>
      </c>
      <c r="EN85" s="231">
        <v>2139913.35</v>
      </c>
      <c r="EO85" s="231">
        <v>5072906.21</v>
      </c>
      <c r="EP85" s="231">
        <v>-2932992.86</v>
      </c>
      <c r="EQ85" s="229">
        <v>-0.57820000000000005</v>
      </c>
      <c r="ER85" s="231">
        <v>741597</v>
      </c>
      <c r="ES85" s="231">
        <v>413409</v>
      </c>
      <c r="ET85" s="231">
        <v>2099214</v>
      </c>
      <c r="EU85" s="231">
        <v>1324758679</v>
      </c>
      <c r="EV85" s="231">
        <v>3254220</v>
      </c>
      <c r="EW85" s="231">
        <v>3304066</v>
      </c>
      <c r="EX85" s="231">
        <v>-49846</v>
      </c>
      <c r="EY85" s="229">
        <v>-1.5100000000000001E-2</v>
      </c>
      <c r="EZ85" s="229">
        <v>0.1225</v>
      </c>
      <c r="FA85" s="227" t="s">
        <v>556</v>
      </c>
      <c r="FB85" s="161">
        <f t="shared" si="1"/>
        <v>19016800</v>
      </c>
    </row>
    <row r="86" spans="1:158" ht="17.25" thickBot="1" x14ac:dyDescent="0.3">
      <c r="A86" s="226">
        <v>45860</v>
      </c>
      <c r="B86" s="227" t="s">
        <v>175</v>
      </c>
      <c r="C86" s="227" t="s">
        <v>225</v>
      </c>
      <c r="D86" s="228">
        <v>1100</v>
      </c>
      <c r="E86" s="228">
        <v>763.8</v>
      </c>
      <c r="F86" s="228">
        <v>752.95</v>
      </c>
      <c r="G86" s="228">
        <v>10.85</v>
      </c>
      <c r="H86" s="229">
        <v>1.44E-2</v>
      </c>
      <c r="I86" s="228">
        <v>763.3</v>
      </c>
      <c r="J86" s="228">
        <v>752.3</v>
      </c>
      <c r="K86" s="228">
        <v>11</v>
      </c>
      <c r="L86" s="229">
        <v>1.46E-2</v>
      </c>
      <c r="M86" s="228">
        <v>763.8</v>
      </c>
      <c r="N86" s="228">
        <v>752.95</v>
      </c>
      <c r="O86" s="228">
        <v>10.85</v>
      </c>
      <c r="P86" s="229">
        <v>1.44E-2</v>
      </c>
      <c r="Q86" s="228">
        <v>767.9</v>
      </c>
      <c r="R86" s="228">
        <v>756.9</v>
      </c>
      <c r="S86" s="228">
        <v>11</v>
      </c>
      <c r="T86" s="229">
        <v>1.4500000000000001E-2</v>
      </c>
      <c r="U86" s="228">
        <v>0</v>
      </c>
      <c r="V86" s="228">
        <v>0</v>
      </c>
      <c r="W86" s="228">
        <v>0</v>
      </c>
      <c r="X86" s="229">
        <v>0</v>
      </c>
      <c r="Y86" s="228">
        <v>0.5</v>
      </c>
      <c r="Z86" s="228">
        <v>0.65</v>
      </c>
      <c r="AA86" s="228">
        <v>-0.15</v>
      </c>
      <c r="AB86" s="229">
        <v>6.9999999999999999E-4</v>
      </c>
      <c r="AC86" s="228">
        <v>0.5</v>
      </c>
      <c r="AD86" s="228">
        <v>0.65</v>
      </c>
      <c r="AE86" s="228">
        <v>-0.15</v>
      </c>
      <c r="AF86" s="229">
        <v>6.9999999999999999E-4</v>
      </c>
      <c r="AG86" s="228">
        <v>4.5999999999999996</v>
      </c>
      <c r="AH86" s="228">
        <v>4.5999999999999996</v>
      </c>
      <c r="AI86" s="228">
        <v>0</v>
      </c>
      <c r="AJ86" s="229">
        <v>6.0000000000000001E-3</v>
      </c>
      <c r="AK86" s="228">
        <v>0</v>
      </c>
      <c r="AL86" s="228">
        <v>0</v>
      </c>
      <c r="AM86" s="228">
        <v>0</v>
      </c>
      <c r="AN86" s="229">
        <v>0</v>
      </c>
      <c r="AO86" s="228">
        <v>761.44</v>
      </c>
      <c r="AP86" s="228">
        <v>764.45</v>
      </c>
      <c r="AQ86" s="228">
        <v>0</v>
      </c>
      <c r="AR86" s="230">
        <v>7962900</v>
      </c>
      <c r="AS86" s="230">
        <v>4299900</v>
      </c>
      <c r="AT86" s="230">
        <v>3663000</v>
      </c>
      <c r="AU86" s="229">
        <v>0.85189999999999999</v>
      </c>
      <c r="AV86" s="230">
        <v>6620900</v>
      </c>
      <c r="AW86" s="230">
        <v>3592600</v>
      </c>
      <c r="AX86" s="230">
        <v>3028300</v>
      </c>
      <c r="AY86" s="229">
        <v>0.84289999999999998</v>
      </c>
      <c r="AZ86" s="230">
        <v>1285900</v>
      </c>
      <c r="BA86" s="230">
        <v>676500</v>
      </c>
      <c r="BB86" s="230">
        <v>609400</v>
      </c>
      <c r="BC86" s="229">
        <v>0.90080000000000005</v>
      </c>
      <c r="BD86" s="228">
        <v>0</v>
      </c>
      <c r="BE86" s="228">
        <v>0</v>
      </c>
      <c r="BF86" s="228">
        <v>0</v>
      </c>
      <c r="BG86" s="229">
        <v>0</v>
      </c>
      <c r="BH86" s="230">
        <v>39998200</v>
      </c>
      <c r="BI86" s="230">
        <v>18133500</v>
      </c>
      <c r="BJ86" s="230">
        <v>21864700</v>
      </c>
      <c r="BK86" s="229">
        <v>1.2058</v>
      </c>
      <c r="BL86" s="230">
        <v>15315300</v>
      </c>
      <c r="BM86" s="230">
        <v>7712100</v>
      </c>
      <c r="BN86" s="230">
        <v>7603200</v>
      </c>
      <c r="BO86" s="229">
        <v>0.9859</v>
      </c>
      <c r="BP86" s="230">
        <v>63276400</v>
      </c>
      <c r="BQ86" s="230">
        <v>30145500</v>
      </c>
      <c r="BR86" s="230">
        <v>33130900</v>
      </c>
      <c r="BS86" s="229">
        <v>1.099</v>
      </c>
      <c r="BT86" s="230">
        <v>4450466</v>
      </c>
      <c r="BU86" s="230">
        <v>2093401</v>
      </c>
      <c r="BV86" s="230">
        <v>2357065</v>
      </c>
      <c r="BW86" s="229">
        <v>1.1259999999999999</v>
      </c>
      <c r="BX86" s="230">
        <v>29080700</v>
      </c>
      <c r="BY86" s="230">
        <v>29610900</v>
      </c>
      <c r="BZ86" s="230">
        <v>-530200</v>
      </c>
      <c r="CA86" s="229">
        <v>-1.7899999999999999E-2</v>
      </c>
      <c r="CB86" s="230">
        <v>26248200</v>
      </c>
      <c r="CC86" s="230">
        <v>27109500</v>
      </c>
      <c r="CD86" s="230">
        <v>-861300</v>
      </c>
      <c r="CE86" s="229">
        <v>-3.1800000000000002E-2</v>
      </c>
      <c r="CF86" s="230">
        <v>2691700</v>
      </c>
      <c r="CG86" s="230">
        <v>2340800</v>
      </c>
      <c r="CH86" s="230">
        <v>350900</v>
      </c>
      <c r="CI86" s="229">
        <v>0.14990000000000001</v>
      </c>
      <c r="CJ86" s="228">
        <v>0</v>
      </c>
      <c r="CK86" s="228">
        <v>0</v>
      </c>
      <c r="CL86" s="228">
        <v>0</v>
      </c>
      <c r="CM86" s="229">
        <v>0</v>
      </c>
      <c r="CN86" s="230">
        <v>20573300</v>
      </c>
      <c r="CO86" s="230">
        <v>23625800</v>
      </c>
      <c r="CP86" s="230">
        <v>-3052500</v>
      </c>
      <c r="CQ86" s="229">
        <v>-0.12920000000000001</v>
      </c>
      <c r="CR86" s="230">
        <v>10430200</v>
      </c>
      <c r="CS86" s="230">
        <v>11085800</v>
      </c>
      <c r="CT86" s="230">
        <v>-655600</v>
      </c>
      <c r="CU86" s="229">
        <v>-5.91E-2</v>
      </c>
      <c r="CV86" s="230">
        <v>60084200</v>
      </c>
      <c r="CW86" s="230">
        <v>64322500</v>
      </c>
      <c r="CX86" s="230">
        <v>-4238300</v>
      </c>
      <c r="CY86" s="229">
        <v>-6.59E-2</v>
      </c>
      <c r="CZ86" s="228">
        <v>21.52</v>
      </c>
      <c r="DA86" s="228">
        <v>22.86</v>
      </c>
      <c r="DB86" s="228">
        <v>-1.34</v>
      </c>
      <c r="DC86" s="228">
        <v>-1.34</v>
      </c>
      <c r="DD86" s="228">
        <v>27.93</v>
      </c>
      <c r="DE86" s="228">
        <v>27.93</v>
      </c>
      <c r="DF86" s="228">
        <v>-6.41</v>
      </c>
      <c r="DG86" s="228">
        <v>0</v>
      </c>
      <c r="DH86" s="228">
        <v>21.45</v>
      </c>
      <c r="DI86" s="228">
        <v>23.14</v>
      </c>
      <c r="DJ86" s="228">
        <v>-1.69</v>
      </c>
      <c r="DK86" s="228">
        <v>-1.69</v>
      </c>
      <c r="DL86" s="228">
        <v>21.71</v>
      </c>
      <c r="DM86" s="228">
        <v>22.2</v>
      </c>
      <c r="DN86" s="228">
        <v>-0.49</v>
      </c>
      <c r="DO86" s="228">
        <v>-0.49</v>
      </c>
      <c r="DP86" s="228">
        <v>0.51</v>
      </c>
      <c r="DQ86" s="228">
        <v>0.47</v>
      </c>
      <c r="DR86" s="228">
        <v>0.04</v>
      </c>
      <c r="DS86" s="229">
        <v>8.5099999999999995E-2</v>
      </c>
      <c r="DT86" s="228">
        <v>820</v>
      </c>
      <c r="DU86" s="228">
        <v>740</v>
      </c>
      <c r="DV86" s="228">
        <v>0.38</v>
      </c>
      <c r="DW86" s="228">
        <v>0.43</v>
      </c>
      <c r="DX86" s="228">
        <v>-0.05</v>
      </c>
      <c r="DY86" s="229">
        <v>-0.1163</v>
      </c>
      <c r="DZ86" s="229">
        <v>9.2600000000000002E-2</v>
      </c>
      <c r="EA86" s="230">
        <v>2340800</v>
      </c>
      <c r="EB86" s="229">
        <v>5.4000000000000003E-3</v>
      </c>
      <c r="EC86" s="229">
        <v>9.2600000000000002E-2</v>
      </c>
      <c r="ED86" s="228">
        <v>3.01</v>
      </c>
      <c r="EE86" s="229">
        <v>4.0000000000000001E-3</v>
      </c>
      <c r="EF86" s="230">
        <v>2559832</v>
      </c>
      <c r="EG86" s="230">
        <v>1284008</v>
      </c>
      <c r="EH86" s="229">
        <v>0.99360000000000004</v>
      </c>
      <c r="EI86" s="229">
        <v>0.57520000000000004</v>
      </c>
      <c r="EJ86" s="231">
        <v>312133.63</v>
      </c>
      <c r="EK86" s="231">
        <v>114819.44</v>
      </c>
      <c r="EL86" s="231">
        <v>60677.19</v>
      </c>
      <c r="EM86" s="228">
        <v>0</v>
      </c>
      <c r="EN86" s="231">
        <v>487630.26</v>
      </c>
      <c r="EO86" s="231">
        <v>230448.01</v>
      </c>
      <c r="EP86" s="231">
        <v>257182.25</v>
      </c>
      <c r="EQ86" s="229">
        <v>1.1160000000000001</v>
      </c>
      <c r="ER86" s="231">
        <v>166652</v>
      </c>
      <c r="ES86" s="231">
        <v>77314</v>
      </c>
      <c r="ET86" s="231">
        <v>222240</v>
      </c>
      <c r="EU86" s="231">
        <v>213821216</v>
      </c>
      <c r="EV86" s="231">
        <v>466205</v>
      </c>
      <c r="EW86" s="231">
        <v>495215</v>
      </c>
      <c r="EX86" s="231">
        <v>-29010</v>
      </c>
      <c r="EY86" s="229">
        <v>-5.8599999999999999E-2</v>
      </c>
      <c r="EZ86" s="229">
        <v>0.28100000000000003</v>
      </c>
      <c r="FA86" s="227" t="s">
        <v>556</v>
      </c>
      <c r="FB86" s="161">
        <f t="shared" si="1"/>
        <v>2832500</v>
      </c>
    </row>
    <row r="87" spans="1:158" ht="17.25" thickBot="1" x14ac:dyDescent="0.3">
      <c r="A87" s="226">
        <v>45860</v>
      </c>
      <c r="B87" s="227" t="s">
        <v>162</v>
      </c>
      <c r="C87" s="227" t="s">
        <v>226</v>
      </c>
      <c r="D87" s="228">
        <v>150</v>
      </c>
      <c r="E87" s="231">
        <v>4262.8</v>
      </c>
      <c r="F87" s="231">
        <v>4342.2</v>
      </c>
      <c r="G87" s="228">
        <v>-79.400000000000006</v>
      </c>
      <c r="H87" s="229">
        <v>-1.83E-2</v>
      </c>
      <c r="I87" s="231">
        <v>4342.3999999999996</v>
      </c>
      <c r="J87" s="231">
        <v>4408.2</v>
      </c>
      <c r="K87" s="228">
        <v>-65.8</v>
      </c>
      <c r="L87" s="229">
        <v>-1.49E-2</v>
      </c>
      <c r="M87" s="231">
        <v>4262.8</v>
      </c>
      <c r="N87" s="231">
        <v>4342.2</v>
      </c>
      <c r="O87" s="228">
        <v>-79.400000000000006</v>
      </c>
      <c r="P87" s="229">
        <v>-1.83E-2</v>
      </c>
      <c r="Q87" s="231">
        <v>4271.2</v>
      </c>
      <c r="R87" s="231">
        <v>4352.8</v>
      </c>
      <c r="S87" s="228">
        <v>-81.599999999999994</v>
      </c>
      <c r="T87" s="229">
        <v>-1.8700000000000001E-2</v>
      </c>
      <c r="U87" s="228">
        <v>0</v>
      </c>
      <c r="V87" s="228">
        <v>0</v>
      </c>
      <c r="W87" s="228">
        <v>0</v>
      </c>
      <c r="X87" s="229">
        <v>0</v>
      </c>
      <c r="Y87" s="228">
        <v>-79.599999999999994</v>
      </c>
      <c r="Z87" s="228">
        <v>-66</v>
      </c>
      <c r="AA87" s="228">
        <v>-13.6</v>
      </c>
      <c r="AB87" s="229">
        <v>-1.83E-2</v>
      </c>
      <c r="AC87" s="228">
        <v>-79.599999999999994</v>
      </c>
      <c r="AD87" s="228">
        <v>-66</v>
      </c>
      <c r="AE87" s="228">
        <v>-13.6</v>
      </c>
      <c r="AF87" s="229">
        <v>-1.83E-2</v>
      </c>
      <c r="AG87" s="228">
        <v>-71.2</v>
      </c>
      <c r="AH87" s="228">
        <v>-55.4</v>
      </c>
      <c r="AI87" s="228">
        <v>-15.8</v>
      </c>
      <c r="AJ87" s="229">
        <v>-1.6400000000000001E-2</v>
      </c>
      <c r="AK87" s="228">
        <v>0</v>
      </c>
      <c r="AL87" s="228">
        <v>0</v>
      </c>
      <c r="AM87" s="228">
        <v>0</v>
      </c>
      <c r="AN87" s="229">
        <v>0</v>
      </c>
      <c r="AO87" s="231">
        <v>4292.9799999999996</v>
      </c>
      <c r="AP87" s="231">
        <v>4306.8100000000004</v>
      </c>
      <c r="AQ87" s="228">
        <v>0</v>
      </c>
      <c r="AR87" s="230">
        <v>1118850</v>
      </c>
      <c r="AS87" s="230">
        <v>664050</v>
      </c>
      <c r="AT87" s="230">
        <v>454800</v>
      </c>
      <c r="AU87" s="229">
        <v>0.68489999999999995</v>
      </c>
      <c r="AV87" s="230">
        <v>820500</v>
      </c>
      <c r="AW87" s="230">
        <v>548550</v>
      </c>
      <c r="AX87" s="230">
        <v>271950</v>
      </c>
      <c r="AY87" s="229">
        <v>0.49580000000000002</v>
      </c>
      <c r="AZ87" s="230">
        <v>281550</v>
      </c>
      <c r="BA87" s="230">
        <v>110100</v>
      </c>
      <c r="BB87" s="230">
        <v>171450</v>
      </c>
      <c r="BC87" s="229">
        <v>1.5571999999999999</v>
      </c>
      <c r="BD87" s="228">
        <v>0</v>
      </c>
      <c r="BE87" s="228">
        <v>0</v>
      </c>
      <c r="BF87" s="228">
        <v>0</v>
      </c>
      <c r="BG87" s="229">
        <v>0</v>
      </c>
      <c r="BH87" s="230">
        <v>6141000</v>
      </c>
      <c r="BI87" s="230">
        <v>4745400</v>
      </c>
      <c r="BJ87" s="230">
        <v>1395600</v>
      </c>
      <c r="BK87" s="229">
        <v>0.29409999999999997</v>
      </c>
      <c r="BL87" s="230">
        <v>2253000</v>
      </c>
      <c r="BM87" s="230">
        <v>1698300</v>
      </c>
      <c r="BN87" s="230">
        <v>554700</v>
      </c>
      <c r="BO87" s="229">
        <v>0.3266</v>
      </c>
      <c r="BP87" s="230">
        <v>9512850</v>
      </c>
      <c r="BQ87" s="230">
        <v>7107750</v>
      </c>
      <c r="BR87" s="230">
        <v>2405100</v>
      </c>
      <c r="BS87" s="229">
        <v>0.33839999999999998</v>
      </c>
      <c r="BT87" s="230">
        <v>486927</v>
      </c>
      <c r="BU87" s="230">
        <v>286730</v>
      </c>
      <c r="BV87" s="230">
        <v>200197</v>
      </c>
      <c r="BW87" s="229">
        <v>0.69820000000000004</v>
      </c>
      <c r="BX87" s="230">
        <v>6679500</v>
      </c>
      <c r="BY87" s="230">
        <v>6345600</v>
      </c>
      <c r="BZ87" s="230">
        <v>333900</v>
      </c>
      <c r="CA87" s="229">
        <v>5.2600000000000001E-2</v>
      </c>
      <c r="CB87" s="230">
        <v>5990700</v>
      </c>
      <c r="CC87" s="230">
        <v>5821950</v>
      </c>
      <c r="CD87" s="230">
        <v>168750</v>
      </c>
      <c r="CE87" s="229">
        <v>2.9000000000000001E-2</v>
      </c>
      <c r="CF87" s="230">
        <v>654450</v>
      </c>
      <c r="CG87" s="230">
        <v>496500</v>
      </c>
      <c r="CH87" s="230">
        <v>157950</v>
      </c>
      <c r="CI87" s="229">
        <v>0.31809999999999999</v>
      </c>
      <c r="CJ87" s="228">
        <v>0</v>
      </c>
      <c r="CK87" s="228">
        <v>0</v>
      </c>
      <c r="CL87" s="228">
        <v>0</v>
      </c>
      <c r="CM87" s="229">
        <v>0</v>
      </c>
      <c r="CN87" s="230">
        <v>4189350</v>
      </c>
      <c r="CO87" s="230">
        <v>3889200</v>
      </c>
      <c r="CP87" s="230">
        <v>300150</v>
      </c>
      <c r="CQ87" s="229">
        <v>7.7200000000000005E-2</v>
      </c>
      <c r="CR87" s="230">
        <v>2267100</v>
      </c>
      <c r="CS87" s="230">
        <v>2274900</v>
      </c>
      <c r="CT87" s="230">
        <v>-7800</v>
      </c>
      <c r="CU87" s="229">
        <v>-3.3999999999999998E-3</v>
      </c>
      <c r="CV87" s="230">
        <v>13135950</v>
      </c>
      <c r="CW87" s="230">
        <v>12509700</v>
      </c>
      <c r="CX87" s="230">
        <v>626250</v>
      </c>
      <c r="CY87" s="229">
        <v>5.0099999999999999E-2</v>
      </c>
      <c r="CZ87" s="228">
        <v>27.36</v>
      </c>
      <c r="DA87" s="228">
        <v>26.62</v>
      </c>
      <c r="DB87" s="228">
        <v>0.74</v>
      </c>
      <c r="DC87" s="228">
        <v>0.74</v>
      </c>
      <c r="DD87" s="228">
        <v>30.64</v>
      </c>
      <c r="DE87" s="228">
        <v>30.65</v>
      </c>
      <c r="DF87" s="228">
        <v>-3.28</v>
      </c>
      <c r="DG87" s="228">
        <v>-0.01</v>
      </c>
      <c r="DH87" s="228">
        <v>28.24</v>
      </c>
      <c r="DI87" s="228">
        <v>26.9</v>
      </c>
      <c r="DJ87" s="228">
        <v>1.34</v>
      </c>
      <c r="DK87" s="228">
        <v>1.34</v>
      </c>
      <c r="DL87" s="228">
        <v>24.94</v>
      </c>
      <c r="DM87" s="228">
        <v>25.85</v>
      </c>
      <c r="DN87" s="228">
        <v>-0.91</v>
      </c>
      <c r="DO87" s="228">
        <v>-0.91</v>
      </c>
      <c r="DP87" s="228">
        <v>0.54</v>
      </c>
      <c r="DQ87" s="228">
        <v>0.57999999999999996</v>
      </c>
      <c r="DR87" s="228">
        <v>-0.04</v>
      </c>
      <c r="DS87" s="229">
        <v>-6.9000000000000006E-2</v>
      </c>
      <c r="DT87" s="231">
        <v>4500</v>
      </c>
      <c r="DU87" s="231">
        <v>4300</v>
      </c>
      <c r="DV87" s="228">
        <v>0.37</v>
      </c>
      <c r="DW87" s="228">
        <v>0.36</v>
      </c>
      <c r="DX87" s="228">
        <v>0.01</v>
      </c>
      <c r="DY87" s="229">
        <v>2.7799999999999998E-2</v>
      </c>
      <c r="DZ87" s="229">
        <v>9.8000000000000004E-2</v>
      </c>
      <c r="EA87" s="230">
        <v>496500</v>
      </c>
      <c r="EB87" s="229">
        <v>2E-3</v>
      </c>
      <c r="EC87" s="229">
        <v>9.8000000000000004E-2</v>
      </c>
      <c r="ED87" s="228">
        <v>13.83</v>
      </c>
      <c r="EE87" s="229">
        <v>3.2000000000000002E-3</v>
      </c>
      <c r="EF87" s="230">
        <v>249863</v>
      </c>
      <c r="EG87" s="230">
        <v>119278</v>
      </c>
      <c r="EH87" s="229">
        <v>1.0948</v>
      </c>
      <c r="EI87" s="229">
        <v>0.5131</v>
      </c>
      <c r="EJ87" s="231">
        <v>276927.71000000002</v>
      </c>
      <c r="EK87" s="231">
        <v>96263.28</v>
      </c>
      <c r="EL87" s="231">
        <v>48074.87</v>
      </c>
      <c r="EM87" s="228">
        <v>0</v>
      </c>
      <c r="EN87" s="231">
        <v>421265.86</v>
      </c>
      <c r="EO87" s="231">
        <v>315909.96000000002</v>
      </c>
      <c r="EP87" s="231">
        <v>105355.9</v>
      </c>
      <c r="EQ87" s="229">
        <v>0.33350000000000002</v>
      </c>
      <c r="ER87" s="231">
        <v>189330</v>
      </c>
      <c r="ES87" s="231">
        <v>92958</v>
      </c>
      <c r="ET87" s="231">
        <v>284797</v>
      </c>
      <c r="EU87" s="231">
        <v>26104531</v>
      </c>
      <c r="EV87" s="231">
        <v>567085</v>
      </c>
      <c r="EW87" s="231">
        <v>545630</v>
      </c>
      <c r="EX87" s="231">
        <v>21455</v>
      </c>
      <c r="EY87" s="229">
        <v>3.9300000000000002E-2</v>
      </c>
      <c r="EZ87" s="229">
        <v>0.50319999999999998</v>
      </c>
      <c r="FA87" s="227" t="s">
        <v>567</v>
      </c>
      <c r="FB87" s="161">
        <f t="shared" si="1"/>
        <v>688800</v>
      </c>
    </row>
    <row r="88" spans="1:158" ht="17.25" thickBot="1" x14ac:dyDescent="0.3">
      <c r="A88" s="226">
        <v>45860</v>
      </c>
      <c r="B88" s="227" t="s">
        <v>221</v>
      </c>
      <c r="C88" s="227" t="s">
        <v>577</v>
      </c>
      <c r="D88" s="228">
        <v>6450</v>
      </c>
      <c r="E88" s="228">
        <v>80.69</v>
      </c>
      <c r="F88" s="228">
        <v>81.98</v>
      </c>
      <c r="G88" s="228">
        <v>-1.29</v>
      </c>
      <c r="H88" s="229">
        <v>-1.5699999999999999E-2</v>
      </c>
      <c r="I88" s="228">
        <v>80.319999999999993</v>
      </c>
      <c r="J88" s="228">
        <v>81.73</v>
      </c>
      <c r="K88" s="228">
        <v>-1.41</v>
      </c>
      <c r="L88" s="229">
        <v>-1.7299999999999999E-2</v>
      </c>
      <c r="M88" s="228">
        <v>80.69</v>
      </c>
      <c r="N88" s="228">
        <v>81.98</v>
      </c>
      <c r="O88" s="228">
        <v>-1.29</v>
      </c>
      <c r="P88" s="229">
        <v>-1.5699999999999999E-2</v>
      </c>
      <c r="Q88" s="228">
        <v>81</v>
      </c>
      <c r="R88" s="228">
        <v>82.43</v>
      </c>
      <c r="S88" s="228">
        <v>-1.43</v>
      </c>
      <c r="T88" s="229">
        <v>-1.7299999999999999E-2</v>
      </c>
      <c r="U88" s="228">
        <v>0</v>
      </c>
      <c r="V88" s="228">
        <v>0</v>
      </c>
      <c r="W88" s="228">
        <v>0</v>
      </c>
      <c r="X88" s="229">
        <v>0</v>
      </c>
      <c r="Y88" s="228">
        <v>0.37</v>
      </c>
      <c r="Z88" s="228">
        <v>0.25</v>
      </c>
      <c r="AA88" s="228">
        <v>0.12</v>
      </c>
      <c r="AB88" s="229">
        <v>4.5999999999999999E-3</v>
      </c>
      <c r="AC88" s="228">
        <v>0.37</v>
      </c>
      <c r="AD88" s="228">
        <v>0.25</v>
      </c>
      <c r="AE88" s="228">
        <v>0.12</v>
      </c>
      <c r="AF88" s="229">
        <v>4.5999999999999999E-3</v>
      </c>
      <c r="AG88" s="228">
        <v>0.68</v>
      </c>
      <c r="AH88" s="228">
        <v>0.7</v>
      </c>
      <c r="AI88" s="228">
        <v>-0.02</v>
      </c>
      <c r="AJ88" s="229">
        <v>8.5000000000000006E-3</v>
      </c>
      <c r="AK88" s="228">
        <v>0</v>
      </c>
      <c r="AL88" s="228">
        <v>0</v>
      </c>
      <c r="AM88" s="228">
        <v>0</v>
      </c>
      <c r="AN88" s="229">
        <v>0</v>
      </c>
      <c r="AO88" s="228">
        <v>81.319999999999993</v>
      </c>
      <c r="AP88" s="228">
        <v>81.790000000000006</v>
      </c>
      <c r="AQ88" s="228">
        <v>0</v>
      </c>
      <c r="AR88" s="230">
        <v>18143850</v>
      </c>
      <c r="AS88" s="230">
        <v>7043400</v>
      </c>
      <c r="AT88" s="230">
        <v>11100450</v>
      </c>
      <c r="AU88" s="229">
        <v>1.5760000000000001</v>
      </c>
      <c r="AV88" s="230">
        <v>13074150</v>
      </c>
      <c r="AW88" s="230">
        <v>5250300</v>
      </c>
      <c r="AX88" s="230">
        <v>7823850</v>
      </c>
      <c r="AY88" s="229">
        <v>1.4902</v>
      </c>
      <c r="AZ88" s="230">
        <v>4669800</v>
      </c>
      <c r="BA88" s="230">
        <v>1715700</v>
      </c>
      <c r="BB88" s="230">
        <v>2954100</v>
      </c>
      <c r="BC88" s="229">
        <v>1.7218</v>
      </c>
      <c r="BD88" s="228">
        <v>0</v>
      </c>
      <c r="BE88" s="228">
        <v>0</v>
      </c>
      <c r="BF88" s="228">
        <v>0</v>
      </c>
      <c r="BG88" s="229">
        <v>0</v>
      </c>
      <c r="BH88" s="230">
        <v>18492150</v>
      </c>
      <c r="BI88" s="230">
        <v>9094500</v>
      </c>
      <c r="BJ88" s="230">
        <v>9397650</v>
      </c>
      <c r="BK88" s="229">
        <v>1.0333000000000001</v>
      </c>
      <c r="BL88" s="230">
        <v>7533600</v>
      </c>
      <c r="BM88" s="230">
        <v>4231200</v>
      </c>
      <c r="BN88" s="230">
        <v>3302400</v>
      </c>
      <c r="BO88" s="229">
        <v>0.78049999999999997</v>
      </c>
      <c r="BP88" s="230">
        <v>44169600</v>
      </c>
      <c r="BQ88" s="230">
        <v>20369100</v>
      </c>
      <c r="BR88" s="230">
        <v>23800500</v>
      </c>
      <c r="BS88" s="229">
        <v>1.1685000000000001</v>
      </c>
      <c r="BT88" s="230">
        <v>7842353</v>
      </c>
      <c r="BU88" s="230">
        <v>4768390</v>
      </c>
      <c r="BV88" s="230">
        <v>3073963</v>
      </c>
      <c r="BW88" s="229">
        <v>0.64470000000000005</v>
      </c>
      <c r="BX88" s="230">
        <v>83482350</v>
      </c>
      <c r="BY88" s="230">
        <v>79238250</v>
      </c>
      <c r="BZ88" s="230">
        <v>4244100</v>
      </c>
      <c r="CA88" s="229">
        <v>5.3600000000000002E-2</v>
      </c>
      <c r="CB88" s="230">
        <v>71717550</v>
      </c>
      <c r="CC88" s="230">
        <v>70072800</v>
      </c>
      <c r="CD88" s="230">
        <v>1644750</v>
      </c>
      <c r="CE88" s="229">
        <v>2.35E-2</v>
      </c>
      <c r="CF88" s="230">
        <v>10803750</v>
      </c>
      <c r="CG88" s="230">
        <v>8481750</v>
      </c>
      <c r="CH88" s="230">
        <v>2322000</v>
      </c>
      <c r="CI88" s="229">
        <v>0.27379999999999999</v>
      </c>
      <c r="CJ88" s="228">
        <v>0</v>
      </c>
      <c r="CK88" s="228">
        <v>0</v>
      </c>
      <c r="CL88" s="228">
        <v>0</v>
      </c>
      <c r="CM88" s="229">
        <v>0</v>
      </c>
      <c r="CN88" s="230">
        <v>32624100</v>
      </c>
      <c r="CO88" s="230">
        <v>32288700</v>
      </c>
      <c r="CP88" s="230">
        <v>335400</v>
      </c>
      <c r="CQ88" s="229">
        <v>1.04E-2</v>
      </c>
      <c r="CR88" s="230">
        <v>21336600</v>
      </c>
      <c r="CS88" s="230">
        <v>20756100</v>
      </c>
      <c r="CT88" s="230">
        <v>580500</v>
      </c>
      <c r="CU88" s="229">
        <v>2.8000000000000001E-2</v>
      </c>
      <c r="CV88" s="230">
        <v>137443050</v>
      </c>
      <c r="CW88" s="230">
        <v>132283050</v>
      </c>
      <c r="CX88" s="230">
        <v>5160000</v>
      </c>
      <c r="CY88" s="229">
        <v>3.9E-2</v>
      </c>
      <c r="CZ88" s="228">
        <v>44.31</v>
      </c>
      <c r="DA88" s="228">
        <v>42.99</v>
      </c>
      <c r="DB88" s="228">
        <v>1.32</v>
      </c>
      <c r="DC88" s="228">
        <v>1.32</v>
      </c>
      <c r="DD88" s="228">
        <v>58.28</v>
      </c>
      <c r="DE88" s="228">
        <v>58.38</v>
      </c>
      <c r="DF88" s="228">
        <v>-13.97</v>
      </c>
      <c r="DG88" s="228">
        <v>-0.1</v>
      </c>
      <c r="DH88" s="228">
        <v>45.3</v>
      </c>
      <c r="DI88" s="228">
        <v>43.97</v>
      </c>
      <c r="DJ88" s="228">
        <v>1.33</v>
      </c>
      <c r="DK88" s="228">
        <v>1.33</v>
      </c>
      <c r="DL88" s="228">
        <v>41.86</v>
      </c>
      <c r="DM88" s="228">
        <v>40.869999999999997</v>
      </c>
      <c r="DN88" s="228">
        <v>0.99</v>
      </c>
      <c r="DO88" s="228">
        <v>0.99</v>
      </c>
      <c r="DP88" s="228">
        <v>0.65</v>
      </c>
      <c r="DQ88" s="228">
        <v>0.64</v>
      </c>
      <c r="DR88" s="228">
        <v>0.01</v>
      </c>
      <c r="DS88" s="229">
        <v>1.5599999999999999E-2</v>
      </c>
      <c r="DT88" s="228">
        <v>90</v>
      </c>
      <c r="DU88" s="228">
        <v>80</v>
      </c>
      <c r="DV88" s="228">
        <v>0.41</v>
      </c>
      <c r="DW88" s="228">
        <v>0.47</v>
      </c>
      <c r="DX88" s="228">
        <v>-0.06</v>
      </c>
      <c r="DY88" s="229">
        <v>-0.12770000000000001</v>
      </c>
      <c r="DZ88" s="229">
        <v>0.12939999999999999</v>
      </c>
      <c r="EA88" s="230">
        <v>8481750</v>
      </c>
      <c r="EB88" s="229">
        <v>3.8E-3</v>
      </c>
      <c r="EC88" s="229">
        <v>0.12939999999999999</v>
      </c>
      <c r="ED88" s="228">
        <v>0.47</v>
      </c>
      <c r="EE88" s="229">
        <v>5.7999999999999996E-3</v>
      </c>
      <c r="EF88" s="230">
        <v>2822037</v>
      </c>
      <c r="EG88" s="230">
        <v>1421032</v>
      </c>
      <c r="EH88" s="229">
        <v>0.9859</v>
      </c>
      <c r="EI88" s="229">
        <v>0.35980000000000001</v>
      </c>
      <c r="EJ88" s="231">
        <v>16084.89</v>
      </c>
      <c r="EK88" s="231">
        <v>6330.11</v>
      </c>
      <c r="EL88" s="231">
        <v>14779.03</v>
      </c>
      <c r="EM88" s="228">
        <v>0</v>
      </c>
      <c r="EN88" s="231">
        <v>37194.03</v>
      </c>
      <c r="EO88" s="231">
        <v>17254.93</v>
      </c>
      <c r="EP88" s="231">
        <v>19939.099999999999</v>
      </c>
      <c r="EQ88" s="229">
        <v>1.1556</v>
      </c>
      <c r="ER88" s="231">
        <v>29032</v>
      </c>
      <c r="ES88" s="231">
        <v>17543</v>
      </c>
      <c r="ET88" s="231">
        <v>67399</v>
      </c>
      <c r="EU88" s="231">
        <v>189248684</v>
      </c>
      <c r="EV88" s="231">
        <v>113974</v>
      </c>
      <c r="EW88" s="231">
        <v>110961</v>
      </c>
      <c r="EX88" s="231">
        <v>3013</v>
      </c>
      <c r="EY88" s="229">
        <v>2.7199999999999998E-2</v>
      </c>
      <c r="EZ88" s="229">
        <v>0.72629999999999995</v>
      </c>
      <c r="FA88" s="227" t="s">
        <v>567</v>
      </c>
      <c r="FB88" s="161">
        <f t="shared" si="1"/>
        <v>11764800</v>
      </c>
    </row>
    <row r="89" spans="1:158" ht="17.25" thickBot="1" x14ac:dyDescent="0.3">
      <c r="A89" s="226">
        <v>45860</v>
      </c>
      <c r="B89" s="227" t="s">
        <v>227</v>
      </c>
      <c r="C89" s="227" t="s">
        <v>228</v>
      </c>
      <c r="D89" s="228">
        <v>1400</v>
      </c>
      <c r="E89" s="228">
        <v>690</v>
      </c>
      <c r="F89" s="228">
        <v>684.9</v>
      </c>
      <c r="G89" s="228">
        <v>5.0999999999999996</v>
      </c>
      <c r="H89" s="229">
        <v>7.4000000000000003E-3</v>
      </c>
      <c r="I89" s="228">
        <v>690.05</v>
      </c>
      <c r="J89" s="228">
        <v>682.7</v>
      </c>
      <c r="K89" s="228">
        <v>7.35</v>
      </c>
      <c r="L89" s="229">
        <v>1.0800000000000001E-2</v>
      </c>
      <c r="M89" s="228">
        <v>690</v>
      </c>
      <c r="N89" s="228">
        <v>684.9</v>
      </c>
      <c r="O89" s="228">
        <v>5.0999999999999996</v>
      </c>
      <c r="P89" s="229">
        <v>7.4000000000000003E-3</v>
      </c>
      <c r="Q89" s="228">
        <v>688.7</v>
      </c>
      <c r="R89" s="228">
        <v>683.5</v>
      </c>
      <c r="S89" s="228">
        <v>5.2</v>
      </c>
      <c r="T89" s="229">
        <v>7.6E-3</v>
      </c>
      <c r="U89" s="228">
        <v>0</v>
      </c>
      <c r="V89" s="228">
        <v>0</v>
      </c>
      <c r="W89" s="228">
        <v>0</v>
      </c>
      <c r="X89" s="229">
        <v>0</v>
      </c>
      <c r="Y89" s="228">
        <v>-0.05</v>
      </c>
      <c r="Z89" s="228">
        <v>2.2000000000000002</v>
      </c>
      <c r="AA89" s="228">
        <v>-2.25</v>
      </c>
      <c r="AB89" s="229">
        <v>-1E-4</v>
      </c>
      <c r="AC89" s="228">
        <v>-0.05</v>
      </c>
      <c r="AD89" s="228">
        <v>2.2000000000000002</v>
      </c>
      <c r="AE89" s="228">
        <v>-2.25</v>
      </c>
      <c r="AF89" s="229">
        <v>-1E-4</v>
      </c>
      <c r="AG89" s="228">
        <v>-1.35</v>
      </c>
      <c r="AH89" s="228">
        <v>0.8</v>
      </c>
      <c r="AI89" s="228">
        <v>-2.15</v>
      </c>
      <c r="AJ89" s="229">
        <v>-2E-3</v>
      </c>
      <c r="AK89" s="228">
        <v>0</v>
      </c>
      <c r="AL89" s="228">
        <v>0</v>
      </c>
      <c r="AM89" s="228">
        <v>0</v>
      </c>
      <c r="AN89" s="229">
        <v>0</v>
      </c>
      <c r="AO89" s="228">
        <v>689.35</v>
      </c>
      <c r="AP89" s="228">
        <v>688.25</v>
      </c>
      <c r="AQ89" s="228">
        <v>0</v>
      </c>
      <c r="AR89" s="230">
        <v>7278600</v>
      </c>
      <c r="AS89" s="230">
        <v>9647400</v>
      </c>
      <c r="AT89" s="230">
        <v>-2368800</v>
      </c>
      <c r="AU89" s="229">
        <v>-0.2455</v>
      </c>
      <c r="AV89" s="230">
        <v>5493600</v>
      </c>
      <c r="AW89" s="230">
        <v>7932400</v>
      </c>
      <c r="AX89" s="230">
        <v>-2438800</v>
      </c>
      <c r="AY89" s="229">
        <v>-0.30740000000000001</v>
      </c>
      <c r="AZ89" s="230">
        <v>1695400</v>
      </c>
      <c r="BA89" s="230">
        <v>1643600</v>
      </c>
      <c r="BB89" s="230">
        <v>51800</v>
      </c>
      <c r="BC89" s="229">
        <v>3.15E-2</v>
      </c>
      <c r="BD89" s="228">
        <v>0</v>
      </c>
      <c r="BE89" s="228">
        <v>0</v>
      </c>
      <c r="BF89" s="228">
        <v>0</v>
      </c>
      <c r="BG89" s="229">
        <v>0</v>
      </c>
      <c r="BH89" s="230">
        <v>27169800</v>
      </c>
      <c r="BI89" s="230">
        <v>26320000</v>
      </c>
      <c r="BJ89" s="230">
        <v>849800</v>
      </c>
      <c r="BK89" s="229">
        <v>3.2300000000000002E-2</v>
      </c>
      <c r="BL89" s="230">
        <v>12072200</v>
      </c>
      <c r="BM89" s="230">
        <v>13277600</v>
      </c>
      <c r="BN89" s="230">
        <v>-1205400</v>
      </c>
      <c r="BO89" s="229">
        <v>-9.0800000000000006E-2</v>
      </c>
      <c r="BP89" s="230">
        <v>46520600</v>
      </c>
      <c r="BQ89" s="230">
        <v>49245000</v>
      </c>
      <c r="BR89" s="230">
        <v>-2724400</v>
      </c>
      <c r="BS89" s="229">
        <v>-5.5300000000000002E-2</v>
      </c>
      <c r="BT89" s="230">
        <v>3880243</v>
      </c>
      <c r="BU89" s="230">
        <v>5036530</v>
      </c>
      <c r="BV89" s="230">
        <v>-1156287</v>
      </c>
      <c r="BW89" s="229">
        <v>-0.2296</v>
      </c>
      <c r="BX89" s="230">
        <v>53978400</v>
      </c>
      <c r="BY89" s="230">
        <v>53928000</v>
      </c>
      <c r="BZ89" s="230">
        <v>50400</v>
      </c>
      <c r="CA89" s="229">
        <v>8.9999999999999998E-4</v>
      </c>
      <c r="CB89" s="230">
        <v>49870800</v>
      </c>
      <c r="CC89" s="230">
        <v>50547000</v>
      </c>
      <c r="CD89" s="230">
        <v>-676200</v>
      </c>
      <c r="CE89" s="229">
        <v>-1.34E-2</v>
      </c>
      <c r="CF89" s="230">
        <v>3959200</v>
      </c>
      <c r="CG89" s="230">
        <v>3236800</v>
      </c>
      <c r="CH89" s="230">
        <v>722400</v>
      </c>
      <c r="CI89" s="229">
        <v>0.22320000000000001</v>
      </c>
      <c r="CJ89" s="228">
        <v>0</v>
      </c>
      <c r="CK89" s="228">
        <v>0</v>
      </c>
      <c r="CL89" s="228">
        <v>0</v>
      </c>
      <c r="CM89" s="229">
        <v>0</v>
      </c>
      <c r="CN89" s="230">
        <v>18641000</v>
      </c>
      <c r="CO89" s="230">
        <v>17785600</v>
      </c>
      <c r="CP89" s="230">
        <v>855400</v>
      </c>
      <c r="CQ89" s="229">
        <v>4.8099999999999997E-2</v>
      </c>
      <c r="CR89" s="230">
        <v>10255000</v>
      </c>
      <c r="CS89" s="230">
        <v>9916200</v>
      </c>
      <c r="CT89" s="230">
        <v>338800</v>
      </c>
      <c r="CU89" s="229">
        <v>3.4200000000000001E-2</v>
      </c>
      <c r="CV89" s="230">
        <v>82874400</v>
      </c>
      <c r="CW89" s="230">
        <v>81629800</v>
      </c>
      <c r="CX89" s="230">
        <v>1244600</v>
      </c>
      <c r="CY89" s="229">
        <v>1.52E-2</v>
      </c>
      <c r="CZ89" s="228">
        <v>23.22</v>
      </c>
      <c r="DA89" s="228">
        <v>23.3</v>
      </c>
      <c r="DB89" s="228">
        <v>-0.08</v>
      </c>
      <c r="DC89" s="228">
        <v>-0.08</v>
      </c>
      <c r="DD89" s="228">
        <v>35.85</v>
      </c>
      <c r="DE89" s="228">
        <v>35.909999999999997</v>
      </c>
      <c r="DF89" s="228">
        <v>-12.63</v>
      </c>
      <c r="DG89" s="228">
        <v>-0.06</v>
      </c>
      <c r="DH89" s="228">
        <v>22.85</v>
      </c>
      <c r="DI89" s="228">
        <v>22.88</v>
      </c>
      <c r="DJ89" s="228">
        <v>-0.03</v>
      </c>
      <c r="DK89" s="228">
        <v>-0.03</v>
      </c>
      <c r="DL89" s="228">
        <v>24.04</v>
      </c>
      <c r="DM89" s="228">
        <v>24.12</v>
      </c>
      <c r="DN89" s="228">
        <v>-0.08</v>
      </c>
      <c r="DO89" s="228">
        <v>-0.08</v>
      </c>
      <c r="DP89" s="228">
        <v>0.55000000000000004</v>
      </c>
      <c r="DQ89" s="228">
        <v>0.56000000000000005</v>
      </c>
      <c r="DR89" s="228">
        <v>-0.01</v>
      </c>
      <c r="DS89" s="229">
        <v>-1.7899999999999999E-2</v>
      </c>
      <c r="DT89" s="228">
        <v>700</v>
      </c>
      <c r="DU89" s="228">
        <v>670</v>
      </c>
      <c r="DV89" s="228">
        <v>0.44</v>
      </c>
      <c r="DW89" s="228">
        <v>0.5</v>
      </c>
      <c r="DX89" s="228">
        <v>-0.06</v>
      </c>
      <c r="DY89" s="229">
        <v>-0.12</v>
      </c>
      <c r="DZ89" s="229">
        <v>7.3300000000000004E-2</v>
      </c>
      <c r="EA89" s="230">
        <v>3236800</v>
      </c>
      <c r="EB89" s="229">
        <v>-1.9E-3</v>
      </c>
      <c r="EC89" s="229">
        <v>7.3300000000000004E-2</v>
      </c>
      <c r="ED89" s="228">
        <v>-1.1000000000000001</v>
      </c>
      <c r="EE89" s="229">
        <v>-1.6000000000000001E-3</v>
      </c>
      <c r="EF89" s="230">
        <v>2153881</v>
      </c>
      <c r="EG89" s="230">
        <v>2748904</v>
      </c>
      <c r="EH89" s="229">
        <v>-0.2165</v>
      </c>
      <c r="EI89" s="229">
        <v>0.55510000000000004</v>
      </c>
      <c r="EJ89" s="231">
        <v>192041.13</v>
      </c>
      <c r="EK89" s="231">
        <v>81666.399999999994</v>
      </c>
      <c r="EL89" s="231">
        <v>50158.86</v>
      </c>
      <c r="EM89" s="228">
        <v>0</v>
      </c>
      <c r="EN89" s="231">
        <v>323866.39</v>
      </c>
      <c r="EO89" s="231">
        <v>341081.15</v>
      </c>
      <c r="EP89" s="231">
        <v>-17214.759999999998</v>
      </c>
      <c r="EQ89" s="229">
        <v>-5.0500000000000003E-2</v>
      </c>
      <c r="ER89" s="231">
        <v>132988</v>
      </c>
      <c r="ES89" s="231">
        <v>67482</v>
      </c>
      <c r="ET89" s="231">
        <v>372403</v>
      </c>
      <c r="EU89" s="231">
        <v>291659008</v>
      </c>
      <c r="EV89" s="231">
        <v>572872</v>
      </c>
      <c r="EW89" s="231">
        <v>561225</v>
      </c>
      <c r="EX89" s="231">
        <v>11647</v>
      </c>
      <c r="EY89" s="229">
        <v>2.0799999999999999E-2</v>
      </c>
      <c r="EZ89" s="229">
        <v>0.28410000000000002</v>
      </c>
      <c r="FA89" s="227" t="s">
        <v>555</v>
      </c>
      <c r="FB89" s="161">
        <f t="shared" si="1"/>
        <v>4107600</v>
      </c>
    </row>
    <row r="90" spans="1:158" ht="17.25" thickBot="1" x14ac:dyDescent="0.3">
      <c r="A90" s="226">
        <v>45860</v>
      </c>
      <c r="B90" s="227" t="s">
        <v>227</v>
      </c>
      <c r="C90" s="227" t="s">
        <v>547</v>
      </c>
      <c r="D90" s="228">
        <v>2650</v>
      </c>
      <c r="E90" s="228">
        <v>273.05</v>
      </c>
      <c r="F90" s="228">
        <v>274.10000000000002</v>
      </c>
      <c r="G90" s="228">
        <v>-1.05</v>
      </c>
      <c r="H90" s="229">
        <v>-3.8E-3</v>
      </c>
      <c r="I90" s="228">
        <v>271.95</v>
      </c>
      <c r="J90" s="228">
        <v>273.8</v>
      </c>
      <c r="K90" s="228">
        <v>-1.85</v>
      </c>
      <c r="L90" s="229">
        <v>-6.7999999999999996E-3</v>
      </c>
      <c r="M90" s="228">
        <v>273.05</v>
      </c>
      <c r="N90" s="228">
        <v>274.10000000000002</v>
      </c>
      <c r="O90" s="228">
        <v>-1.05</v>
      </c>
      <c r="P90" s="229">
        <v>-3.8E-3</v>
      </c>
      <c r="Q90" s="228">
        <v>0</v>
      </c>
      <c r="R90" s="228">
        <v>0</v>
      </c>
      <c r="S90" s="228">
        <v>0</v>
      </c>
      <c r="T90" s="229">
        <v>0</v>
      </c>
      <c r="U90" s="228">
        <v>0</v>
      </c>
      <c r="V90" s="228">
        <v>0</v>
      </c>
      <c r="W90" s="228">
        <v>0</v>
      </c>
      <c r="X90" s="229">
        <v>0</v>
      </c>
      <c r="Y90" s="228">
        <v>1.1000000000000001</v>
      </c>
      <c r="Z90" s="228">
        <v>0.3</v>
      </c>
      <c r="AA90" s="228">
        <v>0.8</v>
      </c>
      <c r="AB90" s="229">
        <v>4.0000000000000001E-3</v>
      </c>
      <c r="AC90" s="228">
        <v>1.1000000000000001</v>
      </c>
      <c r="AD90" s="228">
        <v>0.3</v>
      </c>
      <c r="AE90" s="228">
        <v>0.8</v>
      </c>
      <c r="AF90" s="229">
        <v>4.0000000000000001E-3</v>
      </c>
      <c r="AG90" s="228">
        <v>0</v>
      </c>
      <c r="AH90" s="228">
        <v>0</v>
      </c>
      <c r="AI90" s="228">
        <v>0</v>
      </c>
      <c r="AJ90" s="229">
        <v>0</v>
      </c>
      <c r="AK90" s="228">
        <v>0</v>
      </c>
      <c r="AL90" s="228">
        <v>0</v>
      </c>
      <c r="AM90" s="228">
        <v>0</v>
      </c>
      <c r="AN90" s="229">
        <v>0</v>
      </c>
      <c r="AO90" s="228">
        <v>277.82</v>
      </c>
      <c r="AP90" s="228">
        <v>0</v>
      </c>
      <c r="AQ90" s="228">
        <v>0</v>
      </c>
      <c r="AR90" s="230">
        <v>8185850</v>
      </c>
      <c r="AS90" s="230">
        <v>1412450</v>
      </c>
      <c r="AT90" s="230">
        <v>6773400</v>
      </c>
      <c r="AU90" s="229">
        <v>4.7954999999999997</v>
      </c>
      <c r="AV90" s="230">
        <v>8185850</v>
      </c>
      <c r="AW90" s="230">
        <v>1412450</v>
      </c>
      <c r="AX90" s="230">
        <v>6773400</v>
      </c>
      <c r="AY90" s="229">
        <v>4.7954999999999997</v>
      </c>
      <c r="AZ90" s="228">
        <v>0</v>
      </c>
      <c r="BA90" s="228">
        <v>0</v>
      </c>
      <c r="BB90" s="228">
        <v>0</v>
      </c>
      <c r="BC90" s="229">
        <v>0</v>
      </c>
      <c r="BD90" s="228">
        <v>0</v>
      </c>
      <c r="BE90" s="228">
        <v>0</v>
      </c>
      <c r="BF90" s="228">
        <v>0</v>
      </c>
      <c r="BG90" s="229">
        <v>0</v>
      </c>
      <c r="BH90" s="230">
        <v>18595050</v>
      </c>
      <c r="BI90" s="230">
        <v>1007000</v>
      </c>
      <c r="BJ90" s="230">
        <v>17588050</v>
      </c>
      <c r="BK90" s="229">
        <v>17.465800000000002</v>
      </c>
      <c r="BL90" s="230">
        <v>7064900</v>
      </c>
      <c r="BM90" s="230">
        <v>421350</v>
      </c>
      <c r="BN90" s="230">
        <v>6643550</v>
      </c>
      <c r="BO90" s="229">
        <v>15.767300000000001</v>
      </c>
      <c r="BP90" s="230">
        <v>33845800</v>
      </c>
      <c r="BQ90" s="230">
        <v>2840800</v>
      </c>
      <c r="BR90" s="230">
        <v>31005000</v>
      </c>
      <c r="BS90" s="229">
        <v>10.914199999999999</v>
      </c>
      <c r="BT90" s="230">
        <v>5903512</v>
      </c>
      <c r="BU90" s="230">
        <v>4931756</v>
      </c>
      <c r="BV90" s="230">
        <v>971756</v>
      </c>
      <c r="BW90" s="229">
        <v>0.19700000000000001</v>
      </c>
      <c r="BX90" s="230">
        <v>31280600</v>
      </c>
      <c r="BY90" s="230">
        <v>32523450</v>
      </c>
      <c r="BZ90" s="230">
        <v>-1242850</v>
      </c>
      <c r="CA90" s="229">
        <v>-3.8199999999999998E-2</v>
      </c>
      <c r="CB90" s="230">
        <v>31280600</v>
      </c>
      <c r="CC90" s="230">
        <v>32523450</v>
      </c>
      <c r="CD90" s="230">
        <v>-1242850</v>
      </c>
      <c r="CE90" s="229">
        <v>-3.8199999999999998E-2</v>
      </c>
      <c r="CF90" s="228">
        <v>0</v>
      </c>
      <c r="CG90" s="228">
        <v>0</v>
      </c>
      <c r="CH90" s="228">
        <v>0</v>
      </c>
      <c r="CI90" s="229">
        <v>0</v>
      </c>
      <c r="CJ90" s="228">
        <v>0</v>
      </c>
      <c r="CK90" s="228">
        <v>0</v>
      </c>
      <c r="CL90" s="228">
        <v>0</v>
      </c>
      <c r="CM90" s="229">
        <v>0</v>
      </c>
      <c r="CN90" s="230">
        <v>12261550</v>
      </c>
      <c r="CO90" s="230">
        <v>12606050</v>
      </c>
      <c r="CP90" s="230">
        <v>-344500</v>
      </c>
      <c r="CQ90" s="229">
        <v>-2.7300000000000001E-2</v>
      </c>
      <c r="CR90" s="230">
        <v>5922750</v>
      </c>
      <c r="CS90" s="230">
        <v>7025150</v>
      </c>
      <c r="CT90" s="230">
        <v>-1102400</v>
      </c>
      <c r="CU90" s="229">
        <v>-0.15690000000000001</v>
      </c>
      <c r="CV90" s="230">
        <v>49464900</v>
      </c>
      <c r="CW90" s="230">
        <v>52154650</v>
      </c>
      <c r="CX90" s="230">
        <v>-2689750</v>
      </c>
      <c r="CY90" s="229">
        <v>-5.16E-2</v>
      </c>
      <c r="CZ90" s="228">
        <v>38.43</v>
      </c>
      <c r="DA90" s="228">
        <v>37.4</v>
      </c>
      <c r="DB90" s="228">
        <v>1.03</v>
      </c>
      <c r="DC90" s="228">
        <v>1.03</v>
      </c>
      <c r="DD90" s="228">
        <v>55.3</v>
      </c>
      <c r="DE90" s="228">
        <v>55.44</v>
      </c>
      <c r="DF90" s="228">
        <v>-16.87</v>
      </c>
      <c r="DG90" s="228">
        <v>-0.14000000000000001</v>
      </c>
      <c r="DH90" s="228">
        <v>38.58</v>
      </c>
      <c r="DI90" s="228">
        <v>36.39</v>
      </c>
      <c r="DJ90" s="228">
        <v>2.19</v>
      </c>
      <c r="DK90" s="228">
        <v>2.19</v>
      </c>
      <c r="DL90" s="228">
        <v>38.049999999999997</v>
      </c>
      <c r="DM90" s="228">
        <v>39.82</v>
      </c>
      <c r="DN90" s="228">
        <v>-1.77</v>
      </c>
      <c r="DO90" s="228">
        <v>-1.77</v>
      </c>
      <c r="DP90" s="228">
        <v>0.48</v>
      </c>
      <c r="DQ90" s="228">
        <v>0.56000000000000005</v>
      </c>
      <c r="DR90" s="228">
        <v>-0.08</v>
      </c>
      <c r="DS90" s="229">
        <v>-0.1429</v>
      </c>
      <c r="DT90" s="228">
        <v>280</v>
      </c>
      <c r="DU90" s="228">
        <v>260</v>
      </c>
      <c r="DV90" s="228">
        <v>0.38</v>
      </c>
      <c r="DW90" s="228">
        <v>0.42</v>
      </c>
      <c r="DX90" s="228">
        <v>-0.04</v>
      </c>
      <c r="DY90" s="229">
        <v>-9.5200000000000007E-2</v>
      </c>
      <c r="DZ90" s="229">
        <v>0</v>
      </c>
      <c r="EA90" s="228">
        <v>0</v>
      </c>
      <c r="EB90" s="229">
        <v>0</v>
      </c>
      <c r="EC90" s="229">
        <v>0</v>
      </c>
      <c r="ED90" s="228">
        <v>0</v>
      </c>
      <c r="EE90" s="229">
        <v>0</v>
      </c>
      <c r="EF90" s="230">
        <v>2097800</v>
      </c>
      <c r="EG90" s="230">
        <v>1924165</v>
      </c>
      <c r="EH90" s="229">
        <v>9.0200000000000002E-2</v>
      </c>
      <c r="EI90" s="229">
        <v>0.3553</v>
      </c>
      <c r="EJ90" s="231">
        <v>53528.47</v>
      </c>
      <c r="EK90" s="231">
        <v>19070.53</v>
      </c>
      <c r="EL90" s="231">
        <v>22742.13</v>
      </c>
      <c r="EM90" s="228">
        <v>0</v>
      </c>
      <c r="EN90" s="231">
        <v>95341.13</v>
      </c>
      <c r="EO90" s="231">
        <v>7800.51</v>
      </c>
      <c r="EP90" s="231">
        <v>87540.62</v>
      </c>
      <c r="EQ90" s="229">
        <v>11.2224</v>
      </c>
      <c r="ER90" s="231">
        <v>34777</v>
      </c>
      <c r="ES90" s="231">
        <v>15458</v>
      </c>
      <c r="ET90" s="231">
        <v>85412</v>
      </c>
      <c r="EU90" s="231">
        <v>65482129</v>
      </c>
      <c r="EV90" s="231">
        <v>135647</v>
      </c>
      <c r="EW90" s="231">
        <v>143094</v>
      </c>
      <c r="EX90" s="231">
        <v>-7447</v>
      </c>
      <c r="EY90" s="229">
        <v>-5.1999999999999998E-2</v>
      </c>
      <c r="EZ90" s="229">
        <v>0.75539999999999996</v>
      </c>
      <c r="FA90" s="227" t="s">
        <v>568</v>
      </c>
      <c r="FB90" s="161">
        <f t="shared" si="1"/>
        <v>0</v>
      </c>
    </row>
    <row r="91" spans="1:158" ht="17.25" thickBot="1" x14ac:dyDescent="0.3">
      <c r="A91" s="226">
        <v>45860</v>
      </c>
      <c r="B91" s="227" t="s">
        <v>193</v>
      </c>
      <c r="C91" s="227" t="s">
        <v>229</v>
      </c>
      <c r="D91" s="228">
        <v>2025</v>
      </c>
      <c r="E91" s="228">
        <v>429.6</v>
      </c>
      <c r="F91" s="228">
        <v>432.8</v>
      </c>
      <c r="G91" s="228">
        <v>-3.2</v>
      </c>
      <c r="H91" s="229">
        <v>-7.4000000000000003E-3</v>
      </c>
      <c r="I91" s="228">
        <v>429.25</v>
      </c>
      <c r="J91" s="228">
        <v>431.7</v>
      </c>
      <c r="K91" s="228">
        <v>-2.4500000000000002</v>
      </c>
      <c r="L91" s="229">
        <v>-5.7000000000000002E-3</v>
      </c>
      <c r="M91" s="228">
        <v>429.6</v>
      </c>
      <c r="N91" s="228">
        <v>432.8</v>
      </c>
      <c r="O91" s="228">
        <v>-3.2</v>
      </c>
      <c r="P91" s="229">
        <v>-7.4000000000000003E-3</v>
      </c>
      <c r="Q91" s="228">
        <v>431.65</v>
      </c>
      <c r="R91" s="228">
        <v>434.75</v>
      </c>
      <c r="S91" s="228">
        <v>-3.1</v>
      </c>
      <c r="T91" s="229">
        <v>-7.1000000000000004E-3</v>
      </c>
      <c r="U91" s="228">
        <v>0</v>
      </c>
      <c r="V91" s="228">
        <v>0</v>
      </c>
      <c r="W91" s="228">
        <v>0</v>
      </c>
      <c r="X91" s="229">
        <v>0</v>
      </c>
      <c r="Y91" s="228">
        <v>0.35</v>
      </c>
      <c r="Z91" s="228">
        <v>1.1000000000000001</v>
      </c>
      <c r="AA91" s="228">
        <v>-0.75</v>
      </c>
      <c r="AB91" s="229">
        <v>8.0000000000000004E-4</v>
      </c>
      <c r="AC91" s="228">
        <v>0.35</v>
      </c>
      <c r="AD91" s="228">
        <v>1.1000000000000001</v>
      </c>
      <c r="AE91" s="228">
        <v>-0.75</v>
      </c>
      <c r="AF91" s="229">
        <v>8.0000000000000004E-4</v>
      </c>
      <c r="AG91" s="228">
        <v>2.4</v>
      </c>
      <c r="AH91" s="228">
        <v>3.05</v>
      </c>
      <c r="AI91" s="228">
        <v>-0.65</v>
      </c>
      <c r="AJ91" s="229">
        <v>5.5999999999999999E-3</v>
      </c>
      <c r="AK91" s="228">
        <v>0</v>
      </c>
      <c r="AL91" s="228">
        <v>0</v>
      </c>
      <c r="AM91" s="228">
        <v>0</v>
      </c>
      <c r="AN91" s="229">
        <v>0</v>
      </c>
      <c r="AO91" s="228">
        <v>432.1</v>
      </c>
      <c r="AP91" s="228">
        <v>434.19</v>
      </c>
      <c r="AQ91" s="228">
        <v>0</v>
      </c>
      <c r="AR91" s="230">
        <v>5100975</v>
      </c>
      <c r="AS91" s="230">
        <v>4450950</v>
      </c>
      <c r="AT91" s="230">
        <v>650025</v>
      </c>
      <c r="AU91" s="229">
        <v>0.14599999999999999</v>
      </c>
      <c r="AV91" s="230">
        <v>4185675</v>
      </c>
      <c r="AW91" s="230">
        <v>4096575</v>
      </c>
      <c r="AX91" s="230">
        <v>89100</v>
      </c>
      <c r="AY91" s="229">
        <v>2.1700000000000001E-2</v>
      </c>
      <c r="AZ91" s="230">
        <v>893025</v>
      </c>
      <c r="BA91" s="230">
        <v>295650</v>
      </c>
      <c r="BB91" s="230">
        <v>597375</v>
      </c>
      <c r="BC91" s="229">
        <v>2.0205000000000002</v>
      </c>
      <c r="BD91" s="228">
        <v>0</v>
      </c>
      <c r="BE91" s="228">
        <v>0</v>
      </c>
      <c r="BF91" s="228">
        <v>0</v>
      </c>
      <c r="BG91" s="229">
        <v>0</v>
      </c>
      <c r="BH91" s="230">
        <v>8221500</v>
      </c>
      <c r="BI91" s="230">
        <v>8134425</v>
      </c>
      <c r="BJ91" s="230">
        <v>87075</v>
      </c>
      <c r="BK91" s="229">
        <v>1.0699999999999999E-2</v>
      </c>
      <c r="BL91" s="230">
        <v>4734450</v>
      </c>
      <c r="BM91" s="230">
        <v>5819850</v>
      </c>
      <c r="BN91" s="230">
        <v>-1085400</v>
      </c>
      <c r="BO91" s="229">
        <v>-0.1865</v>
      </c>
      <c r="BP91" s="230">
        <v>18056925</v>
      </c>
      <c r="BQ91" s="230">
        <v>18405225</v>
      </c>
      <c r="BR91" s="230">
        <v>-348300</v>
      </c>
      <c r="BS91" s="229">
        <v>-1.89E-2</v>
      </c>
      <c r="BT91" s="230">
        <v>4320470</v>
      </c>
      <c r="BU91" s="230">
        <v>3573914</v>
      </c>
      <c r="BV91" s="230">
        <v>746556</v>
      </c>
      <c r="BW91" s="229">
        <v>0.2089</v>
      </c>
      <c r="BX91" s="230">
        <v>54723600</v>
      </c>
      <c r="BY91" s="230">
        <v>54308475</v>
      </c>
      <c r="BZ91" s="230">
        <v>415125</v>
      </c>
      <c r="CA91" s="229">
        <v>7.6E-3</v>
      </c>
      <c r="CB91" s="230">
        <v>51483600</v>
      </c>
      <c r="CC91" s="230">
        <v>51680025</v>
      </c>
      <c r="CD91" s="230">
        <v>-196425</v>
      </c>
      <c r="CE91" s="229">
        <v>-3.8E-3</v>
      </c>
      <c r="CF91" s="230">
        <v>3061800</v>
      </c>
      <c r="CG91" s="230">
        <v>2450250</v>
      </c>
      <c r="CH91" s="230">
        <v>611550</v>
      </c>
      <c r="CI91" s="229">
        <v>0.24959999999999999</v>
      </c>
      <c r="CJ91" s="228">
        <v>0</v>
      </c>
      <c r="CK91" s="228">
        <v>0</v>
      </c>
      <c r="CL91" s="228">
        <v>0</v>
      </c>
      <c r="CM91" s="229">
        <v>0</v>
      </c>
      <c r="CN91" s="230">
        <v>16764975</v>
      </c>
      <c r="CO91" s="230">
        <v>16631325</v>
      </c>
      <c r="CP91" s="230">
        <v>133650</v>
      </c>
      <c r="CQ91" s="229">
        <v>8.0000000000000002E-3</v>
      </c>
      <c r="CR91" s="230">
        <v>11518200</v>
      </c>
      <c r="CS91" s="230">
        <v>11757150</v>
      </c>
      <c r="CT91" s="230">
        <v>-238950</v>
      </c>
      <c r="CU91" s="229">
        <v>-2.0299999999999999E-2</v>
      </c>
      <c r="CV91" s="230">
        <v>83006775</v>
      </c>
      <c r="CW91" s="230">
        <v>82696950</v>
      </c>
      <c r="CX91" s="230">
        <v>309825</v>
      </c>
      <c r="CY91" s="229">
        <v>3.7000000000000002E-3</v>
      </c>
      <c r="CZ91" s="228">
        <v>33.75</v>
      </c>
      <c r="DA91" s="228">
        <v>35.64</v>
      </c>
      <c r="DB91" s="228">
        <v>-1.89</v>
      </c>
      <c r="DC91" s="228">
        <v>-1.89</v>
      </c>
      <c r="DD91" s="228">
        <v>44.22</v>
      </c>
      <c r="DE91" s="228">
        <v>44.32</v>
      </c>
      <c r="DF91" s="228">
        <v>-10.47</v>
      </c>
      <c r="DG91" s="228">
        <v>-0.1</v>
      </c>
      <c r="DH91" s="228">
        <v>34.51</v>
      </c>
      <c r="DI91" s="228">
        <v>35.700000000000003</v>
      </c>
      <c r="DJ91" s="228">
        <v>-1.19</v>
      </c>
      <c r="DK91" s="228">
        <v>-1.19</v>
      </c>
      <c r="DL91" s="228">
        <v>32.409999999999997</v>
      </c>
      <c r="DM91" s="228">
        <v>35.549999999999997</v>
      </c>
      <c r="DN91" s="228">
        <v>-3.14</v>
      </c>
      <c r="DO91" s="228">
        <v>-3.14</v>
      </c>
      <c r="DP91" s="228">
        <v>0.69</v>
      </c>
      <c r="DQ91" s="228">
        <v>0.71</v>
      </c>
      <c r="DR91" s="228">
        <v>-0.02</v>
      </c>
      <c r="DS91" s="229">
        <v>-2.8199999999999999E-2</v>
      </c>
      <c r="DT91" s="228">
        <v>450</v>
      </c>
      <c r="DU91" s="228">
        <v>420</v>
      </c>
      <c r="DV91" s="228">
        <v>0.57999999999999996</v>
      </c>
      <c r="DW91" s="228">
        <v>0.72</v>
      </c>
      <c r="DX91" s="228">
        <v>-0.14000000000000001</v>
      </c>
      <c r="DY91" s="229">
        <v>-0.19439999999999999</v>
      </c>
      <c r="DZ91" s="229">
        <v>5.6000000000000001E-2</v>
      </c>
      <c r="EA91" s="230">
        <v>2450250</v>
      </c>
      <c r="EB91" s="229">
        <v>4.7999999999999996E-3</v>
      </c>
      <c r="EC91" s="229">
        <v>5.6000000000000001E-2</v>
      </c>
      <c r="ED91" s="228">
        <v>2.09</v>
      </c>
      <c r="EE91" s="229">
        <v>4.7999999999999996E-3</v>
      </c>
      <c r="EF91" s="230">
        <v>2846410</v>
      </c>
      <c r="EG91" s="230">
        <v>1977752</v>
      </c>
      <c r="EH91" s="229">
        <v>0.43919999999999998</v>
      </c>
      <c r="EI91" s="229">
        <v>0.65880000000000005</v>
      </c>
      <c r="EJ91" s="231">
        <v>37071.089999999997</v>
      </c>
      <c r="EK91" s="231">
        <v>20257.650000000001</v>
      </c>
      <c r="EL91" s="231">
        <v>22060.89</v>
      </c>
      <c r="EM91" s="228">
        <v>0</v>
      </c>
      <c r="EN91" s="231">
        <v>79389.63</v>
      </c>
      <c r="EO91" s="231">
        <v>80911.59</v>
      </c>
      <c r="EP91" s="231">
        <v>-1521.96</v>
      </c>
      <c r="EQ91" s="229">
        <v>-1.8800000000000001E-2</v>
      </c>
      <c r="ER91" s="231">
        <v>75839</v>
      </c>
      <c r="ES91" s="231">
        <v>47751</v>
      </c>
      <c r="ET91" s="231">
        <v>235163</v>
      </c>
      <c r="EU91" s="231">
        <v>191910891</v>
      </c>
      <c r="EV91" s="231">
        <v>358754</v>
      </c>
      <c r="EW91" s="231">
        <v>359209</v>
      </c>
      <c r="EX91" s="228">
        <v>-455</v>
      </c>
      <c r="EY91" s="229">
        <v>-1.2999999999999999E-3</v>
      </c>
      <c r="EZ91" s="229">
        <v>0.4325</v>
      </c>
      <c r="FA91" s="227" t="s">
        <v>567</v>
      </c>
      <c r="FB91" s="161">
        <f t="shared" si="1"/>
        <v>3240000</v>
      </c>
    </row>
    <row r="92" spans="1:158" ht="17.25" thickBot="1" x14ac:dyDescent="0.3">
      <c r="A92" s="226">
        <v>45860</v>
      </c>
      <c r="B92" s="227" t="s">
        <v>168</v>
      </c>
      <c r="C92" s="227" t="s">
        <v>230</v>
      </c>
      <c r="D92" s="228">
        <v>300</v>
      </c>
      <c r="E92" s="231">
        <v>2480.6999999999998</v>
      </c>
      <c r="F92" s="231">
        <v>2467.1</v>
      </c>
      <c r="G92" s="228">
        <v>13.6</v>
      </c>
      <c r="H92" s="229">
        <v>5.4999999999999997E-3</v>
      </c>
      <c r="I92" s="231">
        <v>2479.6999999999998</v>
      </c>
      <c r="J92" s="231">
        <v>2464.9</v>
      </c>
      <c r="K92" s="228">
        <v>14.8</v>
      </c>
      <c r="L92" s="229">
        <v>6.0000000000000001E-3</v>
      </c>
      <c r="M92" s="231">
        <v>2480.6999999999998</v>
      </c>
      <c r="N92" s="231">
        <v>2467.1</v>
      </c>
      <c r="O92" s="228">
        <v>13.6</v>
      </c>
      <c r="P92" s="229">
        <v>5.4999999999999997E-3</v>
      </c>
      <c r="Q92" s="231">
        <v>2493.9</v>
      </c>
      <c r="R92" s="231">
        <v>2479.4</v>
      </c>
      <c r="S92" s="228">
        <v>14.5</v>
      </c>
      <c r="T92" s="229">
        <v>5.7999999999999996E-3</v>
      </c>
      <c r="U92" s="228">
        <v>0</v>
      </c>
      <c r="V92" s="228">
        <v>0</v>
      </c>
      <c r="W92" s="228">
        <v>0</v>
      </c>
      <c r="X92" s="229">
        <v>0</v>
      </c>
      <c r="Y92" s="228">
        <v>1</v>
      </c>
      <c r="Z92" s="228">
        <v>2.2000000000000002</v>
      </c>
      <c r="AA92" s="228">
        <v>-1.2</v>
      </c>
      <c r="AB92" s="229">
        <v>4.0000000000000002E-4</v>
      </c>
      <c r="AC92" s="228">
        <v>1</v>
      </c>
      <c r="AD92" s="228">
        <v>2.2000000000000002</v>
      </c>
      <c r="AE92" s="228">
        <v>-1.2</v>
      </c>
      <c r="AF92" s="229">
        <v>4.0000000000000002E-4</v>
      </c>
      <c r="AG92" s="228">
        <v>14.2</v>
      </c>
      <c r="AH92" s="228">
        <v>14.5</v>
      </c>
      <c r="AI92" s="228">
        <v>-0.3</v>
      </c>
      <c r="AJ92" s="229">
        <v>5.7000000000000002E-3</v>
      </c>
      <c r="AK92" s="228">
        <v>0</v>
      </c>
      <c r="AL92" s="228">
        <v>0</v>
      </c>
      <c r="AM92" s="228">
        <v>0</v>
      </c>
      <c r="AN92" s="229">
        <v>0</v>
      </c>
      <c r="AO92" s="231">
        <v>2472.11</v>
      </c>
      <c r="AP92" s="231">
        <v>2486.29</v>
      </c>
      <c r="AQ92" s="228">
        <v>0</v>
      </c>
      <c r="AR92" s="230">
        <v>1398600</v>
      </c>
      <c r="AS92" s="230">
        <v>2169000</v>
      </c>
      <c r="AT92" s="230">
        <v>-770400</v>
      </c>
      <c r="AU92" s="229">
        <v>-0.35520000000000002</v>
      </c>
      <c r="AV92" s="230">
        <v>1287300</v>
      </c>
      <c r="AW92" s="230">
        <v>1962900</v>
      </c>
      <c r="AX92" s="230">
        <v>-675600</v>
      </c>
      <c r="AY92" s="229">
        <v>-0.34420000000000001</v>
      </c>
      <c r="AZ92" s="230">
        <v>105900</v>
      </c>
      <c r="BA92" s="230">
        <v>181800</v>
      </c>
      <c r="BB92" s="230">
        <v>-75900</v>
      </c>
      <c r="BC92" s="229">
        <v>-0.41749999999999998</v>
      </c>
      <c r="BD92" s="228">
        <v>0</v>
      </c>
      <c r="BE92" s="228">
        <v>0</v>
      </c>
      <c r="BF92" s="228">
        <v>0</v>
      </c>
      <c r="BG92" s="229">
        <v>0</v>
      </c>
      <c r="BH92" s="230">
        <v>6234900</v>
      </c>
      <c r="BI92" s="230">
        <v>8439600</v>
      </c>
      <c r="BJ92" s="230">
        <v>-2204700</v>
      </c>
      <c r="BK92" s="229">
        <v>-0.26119999999999999</v>
      </c>
      <c r="BL92" s="230">
        <v>2921400</v>
      </c>
      <c r="BM92" s="230">
        <v>7139400</v>
      </c>
      <c r="BN92" s="230">
        <v>-4218000</v>
      </c>
      <c r="BO92" s="229">
        <v>-0.59079999999999999</v>
      </c>
      <c r="BP92" s="230">
        <v>10554900</v>
      </c>
      <c r="BQ92" s="230">
        <v>17748000</v>
      </c>
      <c r="BR92" s="230">
        <v>-7193100</v>
      </c>
      <c r="BS92" s="229">
        <v>-0.40529999999999999</v>
      </c>
      <c r="BT92" s="230">
        <v>869826</v>
      </c>
      <c r="BU92" s="230">
        <v>1200501</v>
      </c>
      <c r="BV92" s="230">
        <v>-330675</v>
      </c>
      <c r="BW92" s="229">
        <v>-0.27539999999999998</v>
      </c>
      <c r="BX92" s="230">
        <v>16158900</v>
      </c>
      <c r="BY92" s="230">
        <v>16402200</v>
      </c>
      <c r="BZ92" s="230">
        <v>-243300</v>
      </c>
      <c r="CA92" s="229">
        <v>-1.4800000000000001E-2</v>
      </c>
      <c r="CB92" s="230">
        <v>14417100</v>
      </c>
      <c r="CC92" s="230">
        <v>14710200</v>
      </c>
      <c r="CD92" s="230">
        <v>-293100</v>
      </c>
      <c r="CE92" s="229">
        <v>-1.9900000000000001E-2</v>
      </c>
      <c r="CF92" s="230">
        <v>1680300</v>
      </c>
      <c r="CG92" s="230">
        <v>1630800</v>
      </c>
      <c r="CH92" s="230">
        <v>49500</v>
      </c>
      <c r="CI92" s="229">
        <v>3.04E-2</v>
      </c>
      <c r="CJ92" s="228">
        <v>0</v>
      </c>
      <c r="CK92" s="228">
        <v>0</v>
      </c>
      <c r="CL92" s="228">
        <v>0</v>
      </c>
      <c r="CM92" s="229">
        <v>0</v>
      </c>
      <c r="CN92" s="230">
        <v>10020000</v>
      </c>
      <c r="CO92" s="230">
        <v>10158900</v>
      </c>
      <c r="CP92" s="230">
        <v>-138900</v>
      </c>
      <c r="CQ92" s="229">
        <v>-1.37E-2</v>
      </c>
      <c r="CR92" s="230">
        <v>7103700</v>
      </c>
      <c r="CS92" s="230">
        <v>7121400</v>
      </c>
      <c r="CT92" s="230">
        <v>-17700</v>
      </c>
      <c r="CU92" s="229">
        <v>-2.5000000000000001E-3</v>
      </c>
      <c r="CV92" s="230">
        <v>33282600</v>
      </c>
      <c r="CW92" s="230">
        <v>33682500</v>
      </c>
      <c r="CX92" s="230">
        <v>-399900</v>
      </c>
      <c r="CY92" s="229">
        <v>-1.1900000000000001E-2</v>
      </c>
      <c r="CZ92" s="228">
        <v>14.77</v>
      </c>
      <c r="DA92" s="228">
        <v>14.75</v>
      </c>
      <c r="DB92" s="228">
        <v>0.02</v>
      </c>
      <c r="DC92" s="228">
        <v>0.02</v>
      </c>
      <c r="DD92" s="228">
        <v>23.14</v>
      </c>
      <c r="DE92" s="228">
        <v>23.18</v>
      </c>
      <c r="DF92" s="228">
        <v>-8.3699999999999992</v>
      </c>
      <c r="DG92" s="228">
        <v>-0.04</v>
      </c>
      <c r="DH92" s="228">
        <v>14.72</v>
      </c>
      <c r="DI92" s="228">
        <v>15.19</v>
      </c>
      <c r="DJ92" s="228">
        <v>-0.47</v>
      </c>
      <c r="DK92" s="228">
        <v>-0.47</v>
      </c>
      <c r="DL92" s="228">
        <v>14.89</v>
      </c>
      <c r="DM92" s="228">
        <v>14.23</v>
      </c>
      <c r="DN92" s="228">
        <v>0.66</v>
      </c>
      <c r="DO92" s="228">
        <v>0.66</v>
      </c>
      <c r="DP92" s="228">
        <v>0.71</v>
      </c>
      <c r="DQ92" s="228">
        <v>0.7</v>
      </c>
      <c r="DR92" s="228">
        <v>0.01</v>
      </c>
      <c r="DS92" s="229">
        <v>1.43E-2</v>
      </c>
      <c r="DT92" s="231">
        <v>2560</v>
      </c>
      <c r="DU92" s="231">
        <v>2400</v>
      </c>
      <c r="DV92" s="228">
        <v>0.47</v>
      </c>
      <c r="DW92" s="228">
        <v>0.85</v>
      </c>
      <c r="DX92" s="228">
        <v>-0.38</v>
      </c>
      <c r="DY92" s="229">
        <v>-0.4471</v>
      </c>
      <c r="DZ92" s="229">
        <v>0.104</v>
      </c>
      <c r="EA92" s="230">
        <v>1630800</v>
      </c>
      <c r="EB92" s="229">
        <v>5.3E-3</v>
      </c>
      <c r="EC92" s="229">
        <v>0.104</v>
      </c>
      <c r="ED92" s="228">
        <v>14.18</v>
      </c>
      <c r="EE92" s="229">
        <v>5.7000000000000002E-3</v>
      </c>
      <c r="EF92" s="230">
        <v>613296</v>
      </c>
      <c r="EG92" s="230">
        <v>823668</v>
      </c>
      <c r="EH92" s="229">
        <v>-0.25540000000000002</v>
      </c>
      <c r="EI92" s="229">
        <v>0.70509999999999995</v>
      </c>
      <c r="EJ92" s="231">
        <v>158127.46</v>
      </c>
      <c r="EK92" s="231">
        <v>71393.14</v>
      </c>
      <c r="EL92" s="231">
        <v>34591.08</v>
      </c>
      <c r="EM92" s="228">
        <v>0</v>
      </c>
      <c r="EN92" s="231">
        <v>264111.68</v>
      </c>
      <c r="EO92" s="231">
        <v>443705.22</v>
      </c>
      <c r="EP92" s="231">
        <v>-179593.54</v>
      </c>
      <c r="EQ92" s="229">
        <v>-0.40479999999999999</v>
      </c>
      <c r="ER92" s="231">
        <v>250686</v>
      </c>
      <c r="ES92" s="231">
        <v>167103</v>
      </c>
      <c r="ET92" s="231">
        <v>401092</v>
      </c>
      <c r="EU92" s="231">
        <v>179035680</v>
      </c>
      <c r="EV92" s="231">
        <v>818881</v>
      </c>
      <c r="EW92" s="231">
        <v>826602</v>
      </c>
      <c r="EX92" s="231">
        <v>-7721</v>
      </c>
      <c r="EY92" s="229">
        <v>-9.2999999999999992E-3</v>
      </c>
      <c r="EZ92" s="229">
        <v>0.18590000000000001</v>
      </c>
      <c r="FA92" s="227" t="s">
        <v>556</v>
      </c>
      <c r="FB92" s="161">
        <f t="shared" si="1"/>
        <v>1741800</v>
      </c>
    </row>
    <row r="93" spans="1:158" ht="17.25" thickBot="1" x14ac:dyDescent="0.3">
      <c r="A93" s="226">
        <v>45860</v>
      </c>
      <c r="B93" s="227" t="s">
        <v>227</v>
      </c>
      <c r="C93" s="227" t="s">
        <v>670</v>
      </c>
      <c r="D93" s="228">
        <v>1225</v>
      </c>
      <c r="E93" s="228">
        <v>443.4</v>
      </c>
      <c r="F93" s="228">
        <v>445.05</v>
      </c>
      <c r="G93" s="228">
        <v>-1.65</v>
      </c>
      <c r="H93" s="229">
        <v>-3.7000000000000002E-3</v>
      </c>
      <c r="I93" s="228">
        <v>443.2</v>
      </c>
      <c r="J93" s="228">
        <v>444.65</v>
      </c>
      <c r="K93" s="228">
        <v>-1.45</v>
      </c>
      <c r="L93" s="229">
        <v>-3.3E-3</v>
      </c>
      <c r="M93" s="228">
        <v>443.4</v>
      </c>
      <c r="N93" s="228">
        <v>445.05</v>
      </c>
      <c r="O93" s="228">
        <v>-1.65</v>
      </c>
      <c r="P93" s="229">
        <v>-3.7000000000000002E-3</v>
      </c>
      <c r="Q93" s="228">
        <v>445.75</v>
      </c>
      <c r="R93" s="228">
        <v>447.4</v>
      </c>
      <c r="S93" s="228">
        <v>-1.65</v>
      </c>
      <c r="T93" s="229">
        <v>-3.7000000000000002E-3</v>
      </c>
      <c r="U93" s="228">
        <v>0</v>
      </c>
      <c r="V93" s="228">
        <v>0</v>
      </c>
      <c r="W93" s="228">
        <v>0</v>
      </c>
      <c r="X93" s="229">
        <v>0</v>
      </c>
      <c r="Y93" s="228">
        <v>0.2</v>
      </c>
      <c r="Z93" s="228">
        <v>0.4</v>
      </c>
      <c r="AA93" s="228">
        <v>-0.2</v>
      </c>
      <c r="AB93" s="229">
        <v>5.0000000000000001E-4</v>
      </c>
      <c r="AC93" s="228">
        <v>0.2</v>
      </c>
      <c r="AD93" s="228">
        <v>0.4</v>
      </c>
      <c r="AE93" s="228">
        <v>-0.2</v>
      </c>
      <c r="AF93" s="229">
        <v>5.0000000000000001E-4</v>
      </c>
      <c r="AG93" s="228">
        <v>2.5499999999999998</v>
      </c>
      <c r="AH93" s="228">
        <v>2.75</v>
      </c>
      <c r="AI93" s="228">
        <v>-0.2</v>
      </c>
      <c r="AJ93" s="229">
        <v>5.7999999999999996E-3</v>
      </c>
      <c r="AK93" s="228">
        <v>0</v>
      </c>
      <c r="AL93" s="228">
        <v>0</v>
      </c>
      <c r="AM93" s="228">
        <v>0</v>
      </c>
      <c r="AN93" s="229">
        <v>0</v>
      </c>
      <c r="AO93" s="228">
        <v>445.1</v>
      </c>
      <c r="AP93" s="228">
        <v>447.67</v>
      </c>
      <c r="AQ93" s="228">
        <v>0</v>
      </c>
      <c r="AR93" s="230">
        <v>3162950</v>
      </c>
      <c r="AS93" s="230">
        <v>7133175</v>
      </c>
      <c r="AT93" s="230">
        <v>-3970225</v>
      </c>
      <c r="AU93" s="229">
        <v>-0.55659999999999998</v>
      </c>
      <c r="AV93" s="230">
        <v>2462250</v>
      </c>
      <c r="AW93" s="230">
        <v>5686450</v>
      </c>
      <c r="AX93" s="230">
        <v>-3224200</v>
      </c>
      <c r="AY93" s="229">
        <v>-0.56699999999999995</v>
      </c>
      <c r="AZ93" s="230">
        <v>673750</v>
      </c>
      <c r="BA93" s="230">
        <v>1373225</v>
      </c>
      <c r="BB93" s="230">
        <v>-699475</v>
      </c>
      <c r="BC93" s="229">
        <v>-0.50939999999999996</v>
      </c>
      <c r="BD93" s="228">
        <v>0</v>
      </c>
      <c r="BE93" s="228">
        <v>0</v>
      </c>
      <c r="BF93" s="228">
        <v>0</v>
      </c>
      <c r="BG93" s="229">
        <v>0</v>
      </c>
      <c r="BH93" s="230">
        <v>6611325</v>
      </c>
      <c r="BI93" s="230">
        <v>17559150</v>
      </c>
      <c r="BJ93" s="230">
        <v>-10947825</v>
      </c>
      <c r="BK93" s="229">
        <v>-0.62350000000000005</v>
      </c>
      <c r="BL93" s="230">
        <v>3368750</v>
      </c>
      <c r="BM93" s="230">
        <v>11369225</v>
      </c>
      <c r="BN93" s="230">
        <v>-8000475</v>
      </c>
      <c r="BO93" s="229">
        <v>-0.70369999999999999</v>
      </c>
      <c r="BP93" s="230">
        <v>13143025</v>
      </c>
      <c r="BQ93" s="230">
        <v>36061550</v>
      </c>
      <c r="BR93" s="230">
        <v>-22918525</v>
      </c>
      <c r="BS93" s="229">
        <v>-0.63549999999999995</v>
      </c>
      <c r="BT93" s="230">
        <v>2071239</v>
      </c>
      <c r="BU93" s="230">
        <v>4214869</v>
      </c>
      <c r="BV93" s="230">
        <v>-2143630</v>
      </c>
      <c r="BW93" s="229">
        <v>-0.50860000000000005</v>
      </c>
      <c r="BX93" s="230">
        <v>38005625</v>
      </c>
      <c r="BY93" s="230">
        <v>38370675</v>
      </c>
      <c r="BZ93" s="230">
        <v>-365050</v>
      </c>
      <c r="CA93" s="229">
        <v>-9.4999999999999998E-3</v>
      </c>
      <c r="CB93" s="230">
        <v>34318375</v>
      </c>
      <c r="CC93" s="230">
        <v>34935775</v>
      </c>
      <c r="CD93" s="230">
        <v>-617400</v>
      </c>
      <c r="CE93" s="229">
        <v>-1.77E-2</v>
      </c>
      <c r="CF93" s="230">
        <v>3494925</v>
      </c>
      <c r="CG93" s="230">
        <v>3234000</v>
      </c>
      <c r="CH93" s="230">
        <v>260925</v>
      </c>
      <c r="CI93" s="229">
        <v>8.0699999999999994E-2</v>
      </c>
      <c r="CJ93" s="228">
        <v>0</v>
      </c>
      <c r="CK93" s="228">
        <v>0</v>
      </c>
      <c r="CL93" s="228">
        <v>0</v>
      </c>
      <c r="CM93" s="229">
        <v>0</v>
      </c>
      <c r="CN93" s="230">
        <v>22065925</v>
      </c>
      <c r="CO93" s="230">
        <v>22597575</v>
      </c>
      <c r="CP93" s="230">
        <v>-531650</v>
      </c>
      <c r="CQ93" s="229">
        <v>-2.35E-2</v>
      </c>
      <c r="CR93" s="230">
        <v>12922525</v>
      </c>
      <c r="CS93" s="230">
        <v>13700400</v>
      </c>
      <c r="CT93" s="230">
        <v>-777875</v>
      </c>
      <c r="CU93" s="229">
        <v>-5.6800000000000003E-2</v>
      </c>
      <c r="CV93" s="230">
        <v>72994075</v>
      </c>
      <c r="CW93" s="230">
        <v>74668650</v>
      </c>
      <c r="CX93" s="230">
        <v>-1674575</v>
      </c>
      <c r="CY93" s="229">
        <v>-2.24E-2</v>
      </c>
      <c r="CZ93" s="228">
        <v>28.17</v>
      </c>
      <c r="DA93" s="228">
        <v>27.46</v>
      </c>
      <c r="DB93" s="228">
        <v>0.71</v>
      </c>
      <c r="DC93" s="228">
        <v>0.71</v>
      </c>
      <c r="DD93" s="228">
        <v>47.43</v>
      </c>
      <c r="DE93" s="228">
        <v>47.55</v>
      </c>
      <c r="DF93" s="228">
        <v>-19.260000000000002</v>
      </c>
      <c r="DG93" s="228">
        <v>-0.12</v>
      </c>
      <c r="DH93" s="228">
        <v>28.31</v>
      </c>
      <c r="DI93" s="228">
        <v>27.49</v>
      </c>
      <c r="DJ93" s="228">
        <v>0.82</v>
      </c>
      <c r="DK93" s="228">
        <v>0.82</v>
      </c>
      <c r="DL93" s="228">
        <v>27.88</v>
      </c>
      <c r="DM93" s="228">
        <v>27.42</v>
      </c>
      <c r="DN93" s="228">
        <v>0.46</v>
      </c>
      <c r="DO93" s="228">
        <v>0.46</v>
      </c>
      <c r="DP93" s="228">
        <v>0.59</v>
      </c>
      <c r="DQ93" s="228">
        <v>0.61</v>
      </c>
      <c r="DR93" s="228">
        <v>-0.02</v>
      </c>
      <c r="DS93" s="229">
        <v>-3.2800000000000003E-2</v>
      </c>
      <c r="DT93" s="228">
        <v>450</v>
      </c>
      <c r="DU93" s="228">
        <v>440</v>
      </c>
      <c r="DV93" s="228">
        <v>0.51</v>
      </c>
      <c r="DW93" s="228">
        <v>0.65</v>
      </c>
      <c r="DX93" s="228">
        <v>-0.14000000000000001</v>
      </c>
      <c r="DY93" s="229">
        <v>-0.21540000000000001</v>
      </c>
      <c r="DZ93" s="229">
        <v>9.1999999999999998E-2</v>
      </c>
      <c r="EA93" s="230">
        <v>3234000</v>
      </c>
      <c r="EB93" s="229">
        <v>5.3E-3</v>
      </c>
      <c r="EC93" s="229">
        <v>9.1999999999999998E-2</v>
      </c>
      <c r="ED93" s="228">
        <v>2.57</v>
      </c>
      <c r="EE93" s="229">
        <v>5.7999999999999996E-3</v>
      </c>
      <c r="EF93" s="230">
        <v>1129835</v>
      </c>
      <c r="EG93" s="230">
        <v>2074684</v>
      </c>
      <c r="EH93" s="229">
        <v>-0.45540000000000003</v>
      </c>
      <c r="EI93" s="229">
        <v>0.54549999999999998</v>
      </c>
      <c r="EJ93" s="231">
        <v>30823.57</v>
      </c>
      <c r="EK93" s="231">
        <v>14566.9</v>
      </c>
      <c r="EL93" s="231">
        <v>14097.11</v>
      </c>
      <c r="EM93" s="228">
        <v>0</v>
      </c>
      <c r="EN93" s="231">
        <v>59487.58</v>
      </c>
      <c r="EO93" s="231">
        <v>162203.47</v>
      </c>
      <c r="EP93" s="231">
        <v>-102715.89</v>
      </c>
      <c r="EQ93" s="229">
        <v>-0.63329999999999997</v>
      </c>
      <c r="ER93" s="231">
        <v>104301</v>
      </c>
      <c r="ES93" s="231">
        <v>56818</v>
      </c>
      <c r="ET93" s="231">
        <v>168609</v>
      </c>
      <c r="EU93" s="231">
        <v>309154116</v>
      </c>
      <c r="EV93" s="231">
        <v>329729</v>
      </c>
      <c r="EW93" s="231">
        <v>337732</v>
      </c>
      <c r="EX93" s="231">
        <v>-8003</v>
      </c>
      <c r="EY93" s="229">
        <v>-2.3699999999999999E-2</v>
      </c>
      <c r="EZ93" s="229">
        <v>0.2361</v>
      </c>
      <c r="FA93" s="227" t="s">
        <v>568</v>
      </c>
      <c r="FB93" s="161">
        <f t="shared" si="1"/>
        <v>3687250</v>
      </c>
    </row>
    <row r="94" spans="1:158" ht="17.25" thickBot="1" x14ac:dyDescent="0.3">
      <c r="A94" s="226">
        <v>45860</v>
      </c>
      <c r="B94" s="227" t="s">
        <v>206</v>
      </c>
      <c r="C94" s="227" t="s">
        <v>609</v>
      </c>
      <c r="D94" s="228">
        <v>2775</v>
      </c>
      <c r="E94" s="228">
        <v>225.45</v>
      </c>
      <c r="F94" s="228">
        <v>228.5</v>
      </c>
      <c r="G94" s="228">
        <v>-3.05</v>
      </c>
      <c r="H94" s="229">
        <v>-1.3299999999999999E-2</v>
      </c>
      <c r="I94" s="228">
        <v>225.46</v>
      </c>
      <c r="J94" s="228">
        <v>227.61</v>
      </c>
      <c r="K94" s="228">
        <v>-2.15</v>
      </c>
      <c r="L94" s="229">
        <v>-9.4000000000000004E-3</v>
      </c>
      <c r="M94" s="228">
        <v>225.45</v>
      </c>
      <c r="N94" s="228">
        <v>228.5</v>
      </c>
      <c r="O94" s="228">
        <v>-3.05</v>
      </c>
      <c r="P94" s="229">
        <v>-1.3299999999999999E-2</v>
      </c>
      <c r="Q94" s="228">
        <v>226.65</v>
      </c>
      <c r="R94" s="228">
        <v>229.51</v>
      </c>
      <c r="S94" s="228">
        <v>-2.86</v>
      </c>
      <c r="T94" s="229">
        <v>-1.2500000000000001E-2</v>
      </c>
      <c r="U94" s="228">
        <v>0</v>
      </c>
      <c r="V94" s="228">
        <v>0</v>
      </c>
      <c r="W94" s="228">
        <v>0</v>
      </c>
      <c r="X94" s="229">
        <v>0</v>
      </c>
      <c r="Y94" s="228">
        <v>-0.01</v>
      </c>
      <c r="Z94" s="228">
        <v>0.89</v>
      </c>
      <c r="AA94" s="228">
        <v>-0.9</v>
      </c>
      <c r="AB94" s="229">
        <v>0</v>
      </c>
      <c r="AC94" s="228">
        <v>-0.01</v>
      </c>
      <c r="AD94" s="228">
        <v>0.89</v>
      </c>
      <c r="AE94" s="228">
        <v>-0.9</v>
      </c>
      <c r="AF94" s="229">
        <v>0</v>
      </c>
      <c r="AG94" s="228">
        <v>1.19</v>
      </c>
      <c r="AH94" s="228">
        <v>1.9</v>
      </c>
      <c r="AI94" s="228">
        <v>-0.71</v>
      </c>
      <c r="AJ94" s="229">
        <v>5.3E-3</v>
      </c>
      <c r="AK94" s="228">
        <v>0</v>
      </c>
      <c r="AL94" s="228">
        <v>0</v>
      </c>
      <c r="AM94" s="228">
        <v>0</v>
      </c>
      <c r="AN94" s="229">
        <v>0</v>
      </c>
      <c r="AO94" s="228">
        <v>227.07</v>
      </c>
      <c r="AP94" s="228">
        <v>228.27</v>
      </c>
      <c r="AQ94" s="228">
        <v>0</v>
      </c>
      <c r="AR94" s="230">
        <v>4048725</v>
      </c>
      <c r="AS94" s="230">
        <v>5361300</v>
      </c>
      <c r="AT94" s="230">
        <v>-1312575</v>
      </c>
      <c r="AU94" s="229">
        <v>-0.24479999999999999</v>
      </c>
      <c r="AV94" s="230">
        <v>3313350</v>
      </c>
      <c r="AW94" s="230">
        <v>4487175</v>
      </c>
      <c r="AX94" s="230">
        <v>-1173825</v>
      </c>
      <c r="AY94" s="229">
        <v>-0.2616</v>
      </c>
      <c r="AZ94" s="230">
        <v>721500</v>
      </c>
      <c r="BA94" s="230">
        <v>857475</v>
      </c>
      <c r="BB94" s="230">
        <v>-135975</v>
      </c>
      <c r="BC94" s="229">
        <v>-0.15859999999999999</v>
      </c>
      <c r="BD94" s="228">
        <v>0</v>
      </c>
      <c r="BE94" s="228">
        <v>0</v>
      </c>
      <c r="BF94" s="228">
        <v>0</v>
      </c>
      <c r="BG94" s="229">
        <v>0</v>
      </c>
      <c r="BH94" s="230">
        <v>8977125</v>
      </c>
      <c r="BI94" s="230">
        <v>10811400</v>
      </c>
      <c r="BJ94" s="230">
        <v>-1834275</v>
      </c>
      <c r="BK94" s="229">
        <v>-0.16969999999999999</v>
      </c>
      <c r="BL94" s="230">
        <v>4054275</v>
      </c>
      <c r="BM94" s="230">
        <v>5017200</v>
      </c>
      <c r="BN94" s="230">
        <v>-962925</v>
      </c>
      <c r="BO94" s="229">
        <v>-0.19189999999999999</v>
      </c>
      <c r="BP94" s="230">
        <v>17080125</v>
      </c>
      <c r="BQ94" s="230">
        <v>21189900</v>
      </c>
      <c r="BR94" s="230">
        <v>-4109775</v>
      </c>
      <c r="BS94" s="229">
        <v>-0.19389999999999999</v>
      </c>
      <c r="BT94" s="230">
        <v>1969591</v>
      </c>
      <c r="BU94" s="230">
        <v>2365624</v>
      </c>
      <c r="BV94" s="230">
        <v>-396033</v>
      </c>
      <c r="BW94" s="229">
        <v>-0.16739999999999999</v>
      </c>
      <c r="BX94" s="230">
        <v>42790500</v>
      </c>
      <c r="BY94" s="230">
        <v>42285450</v>
      </c>
      <c r="BZ94" s="230">
        <v>505050</v>
      </c>
      <c r="CA94" s="229">
        <v>1.1900000000000001E-2</v>
      </c>
      <c r="CB94" s="230">
        <v>39366150</v>
      </c>
      <c r="CC94" s="230">
        <v>39249600</v>
      </c>
      <c r="CD94" s="230">
        <v>116550</v>
      </c>
      <c r="CE94" s="229">
        <v>3.0000000000000001E-3</v>
      </c>
      <c r="CF94" s="230">
        <v>3169050</v>
      </c>
      <c r="CG94" s="230">
        <v>2786100</v>
      </c>
      <c r="CH94" s="230">
        <v>382950</v>
      </c>
      <c r="CI94" s="229">
        <v>0.13750000000000001</v>
      </c>
      <c r="CJ94" s="228">
        <v>0</v>
      </c>
      <c r="CK94" s="228">
        <v>0</v>
      </c>
      <c r="CL94" s="228">
        <v>0</v>
      </c>
      <c r="CM94" s="229">
        <v>0</v>
      </c>
      <c r="CN94" s="230">
        <v>16958025</v>
      </c>
      <c r="CO94" s="230">
        <v>17349300</v>
      </c>
      <c r="CP94" s="230">
        <v>-391275</v>
      </c>
      <c r="CQ94" s="229">
        <v>-2.2599999999999999E-2</v>
      </c>
      <c r="CR94" s="230">
        <v>9113100</v>
      </c>
      <c r="CS94" s="230">
        <v>9529350</v>
      </c>
      <c r="CT94" s="230">
        <v>-416250</v>
      </c>
      <c r="CU94" s="229">
        <v>-4.3700000000000003E-2</v>
      </c>
      <c r="CV94" s="230">
        <v>68861625</v>
      </c>
      <c r="CW94" s="230">
        <v>69164100</v>
      </c>
      <c r="CX94" s="230">
        <v>-302475</v>
      </c>
      <c r="CY94" s="229">
        <v>-4.4000000000000003E-3</v>
      </c>
      <c r="CZ94" s="228">
        <v>38.74</v>
      </c>
      <c r="DA94" s="228">
        <v>35.81</v>
      </c>
      <c r="DB94" s="228">
        <v>2.93</v>
      </c>
      <c r="DC94" s="228">
        <v>2.93</v>
      </c>
      <c r="DD94" s="228">
        <v>58.46</v>
      </c>
      <c r="DE94" s="228">
        <v>58.58</v>
      </c>
      <c r="DF94" s="228">
        <v>-19.72</v>
      </c>
      <c r="DG94" s="228">
        <v>-0.12</v>
      </c>
      <c r="DH94" s="228">
        <v>39.49</v>
      </c>
      <c r="DI94" s="228">
        <v>36.11</v>
      </c>
      <c r="DJ94" s="228">
        <v>3.38</v>
      </c>
      <c r="DK94" s="228">
        <v>3.38</v>
      </c>
      <c r="DL94" s="228">
        <v>37.08</v>
      </c>
      <c r="DM94" s="228">
        <v>35.18</v>
      </c>
      <c r="DN94" s="228">
        <v>1.9</v>
      </c>
      <c r="DO94" s="228">
        <v>1.9</v>
      </c>
      <c r="DP94" s="228">
        <v>0.54</v>
      </c>
      <c r="DQ94" s="228">
        <v>0.55000000000000004</v>
      </c>
      <c r="DR94" s="228">
        <v>-0.01</v>
      </c>
      <c r="DS94" s="229">
        <v>-1.8200000000000001E-2</v>
      </c>
      <c r="DT94" s="228">
        <v>240</v>
      </c>
      <c r="DU94" s="228">
        <v>240</v>
      </c>
      <c r="DV94" s="228">
        <v>0.45</v>
      </c>
      <c r="DW94" s="228">
        <v>0.46</v>
      </c>
      <c r="DX94" s="228">
        <v>-0.01</v>
      </c>
      <c r="DY94" s="229">
        <v>-2.1700000000000001E-2</v>
      </c>
      <c r="DZ94" s="229">
        <v>7.4099999999999999E-2</v>
      </c>
      <c r="EA94" s="230">
        <v>2786100</v>
      </c>
      <c r="EB94" s="229">
        <v>5.3E-3</v>
      </c>
      <c r="EC94" s="229">
        <v>7.4099999999999999E-2</v>
      </c>
      <c r="ED94" s="228">
        <v>1.2</v>
      </c>
      <c r="EE94" s="229">
        <v>5.3E-3</v>
      </c>
      <c r="EF94" s="230">
        <v>718321</v>
      </c>
      <c r="EG94" s="230">
        <v>693839</v>
      </c>
      <c r="EH94" s="229">
        <v>3.5299999999999998E-2</v>
      </c>
      <c r="EI94" s="229">
        <v>0.36470000000000002</v>
      </c>
      <c r="EJ94" s="231">
        <v>21632.58</v>
      </c>
      <c r="EK94" s="231">
        <v>9550.6299999999992</v>
      </c>
      <c r="EL94" s="231">
        <v>9202.35</v>
      </c>
      <c r="EM94" s="228">
        <v>0</v>
      </c>
      <c r="EN94" s="231">
        <v>40385.56</v>
      </c>
      <c r="EO94" s="231">
        <v>49629.2</v>
      </c>
      <c r="EP94" s="231">
        <v>-9243.64</v>
      </c>
      <c r="EQ94" s="229">
        <v>-0.18629999999999999</v>
      </c>
      <c r="ER94" s="231">
        <v>41209</v>
      </c>
      <c r="ES94" s="231">
        <v>20797</v>
      </c>
      <c r="ET94" s="231">
        <v>96512</v>
      </c>
      <c r="EU94" s="231">
        <v>100095000</v>
      </c>
      <c r="EV94" s="231">
        <v>158519</v>
      </c>
      <c r="EW94" s="231">
        <v>160658</v>
      </c>
      <c r="EX94" s="231">
        <v>-2139</v>
      </c>
      <c r="EY94" s="229">
        <v>-1.3299999999999999E-2</v>
      </c>
      <c r="EZ94" s="229">
        <v>0.68799999999999994</v>
      </c>
      <c r="FA94" s="227" t="s">
        <v>567</v>
      </c>
      <c r="FB94" s="161">
        <f t="shared" si="1"/>
        <v>3424350</v>
      </c>
    </row>
    <row r="95" spans="1:158" ht="17.25" thickBot="1" x14ac:dyDescent="0.3">
      <c r="A95" s="226">
        <v>45860</v>
      </c>
      <c r="B95" s="227" t="s">
        <v>172</v>
      </c>
      <c r="C95" s="227" t="s">
        <v>232</v>
      </c>
      <c r="D95" s="228">
        <v>700</v>
      </c>
      <c r="E95" s="231">
        <v>1474.3</v>
      </c>
      <c r="F95" s="231">
        <v>1467.2</v>
      </c>
      <c r="G95" s="228">
        <v>7.1</v>
      </c>
      <c r="H95" s="229">
        <v>4.7999999999999996E-3</v>
      </c>
      <c r="I95" s="231">
        <v>1473.6</v>
      </c>
      <c r="J95" s="231">
        <v>1465.8</v>
      </c>
      <c r="K95" s="228">
        <v>7.8</v>
      </c>
      <c r="L95" s="229">
        <v>5.3E-3</v>
      </c>
      <c r="M95" s="231">
        <v>1474.3</v>
      </c>
      <c r="N95" s="231">
        <v>1467.2</v>
      </c>
      <c r="O95" s="228">
        <v>7.1</v>
      </c>
      <c r="P95" s="229">
        <v>4.7999999999999996E-3</v>
      </c>
      <c r="Q95" s="231">
        <v>1470.9</v>
      </c>
      <c r="R95" s="231">
        <v>1463.4</v>
      </c>
      <c r="S95" s="228">
        <v>7.5</v>
      </c>
      <c r="T95" s="229">
        <v>5.1000000000000004E-3</v>
      </c>
      <c r="U95" s="228">
        <v>0</v>
      </c>
      <c r="V95" s="228">
        <v>0</v>
      </c>
      <c r="W95" s="228">
        <v>0</v>
      </c>
      <c r="X95" s="229">
        <v>0</v>
      </c>
      <c r="Y95" s="228">
        <v>0.7</v>
      </c>
      <c r="Z95" s="228">
        <v>1.4</v>
      </c>
      <c r="AA95" s="228">
        <v>-0.7</v>
      </c>
      <c r="AB95" s="229">
        <v>5.0000000000000001E-4</v>
      </c>
      <c r="AC95" s="228">
        <v>0.7</v>
      </c>
      <c r="AD95" s="228">
        <v>1.4</v>
      </c>
      <c r="AE95" s="228">
        <v>-0.7</v>
      </c>
      <c r="AF95" s="229">
        <v>5.0000000000000001E-4</v>
      </c>
      <c r="AG95" s="228">
        <v>-2.7</v>
      </c>
      <c r="AH95" s="228">
        <v>-2.4</v>
      </c>
      <c r="AI95" s="228">
        <v>-0.3</v>
      </c>
      <c r="AJ95" s="229">
        <v>-1.8E-3</v>
      </c>
      <c r="AK95" s="228">
        <v>0</v>
      </c>
      <c r="AL95" s="228">
        <v>0</v>
      </c>
      <c r="AM95" s="228">
        <v>0</v>
      </c>
      <c r="AN95" s="229">
        <v>0</v>
      </c>
      <c r="AO95" s="231">
        <v>1476.22</v>
      </c>
      <c r="AP95" s="231">
        <v>1472.88</v>
      </c>
      <c r="AQ95" s="228">
        <v>0</v>
      </c>
      <c r="AR95" s="230">
        <v>13344800</v>
      </c>
      <c r="AS95" s="230">
        <v>26593000</v>
      </c>
      <c r="AT95" s="230">
        <v>-13248200</v>
      </c>
      <c r="AU95" s="229">
        <v>-0.49819999999999998</v>
      </c>
      <c r="AV95" s="230">
        <v>11299400</v>
      </c>
      <c r="AW95" s="230">
        <v>23059400</v>
      </c>
      <c r="AX95" s="230">
        <v>-11760000</v>
      </c>
      <c r="AY95" s="229">
        <v>-0.51</v>
      </c>
      <c r="AZ95" s="230">
        <v>1962100</v>
      </c>
      <c r="BA95" s="230">
        <v>3354400</v>
      </c>
      <c r="BB95" s="230">
        <v>-1392300</v>
      </c>
      <c r="BC95" s="229">
        <v>-0.41510000000000002</v>
      </c>
      <c r="BD95" s="228">
        <v>0</v>
      </c>
      <c r="BE95" s="228">
        <v>0</v>
      </c>
      <c r="BF95" s="228">
        <v>0</v>
      </c>
      <c r="BG95" s="229">
        <v>0</v>
      </c>
      <c r="BH95" s="230">
        <v>66822700</v>
      </c>
      <c r="BI95" s="230">
        <v>149926000</v>
      </c>
      <c r="BJ95" s="230">
        <v>-83103300</v>
      </c>
      <c r="BK95" s="229">
        <v>-0.55430000000000001</v>
      </c>
      <c r="BL95" s="230">
        <v>42679000</v>
      </c>
      <c r="BM95" s="230">
        <v>84515200</v>
      </c>
      <c r="BN95" s="230">
        <v>-41836200</v>
      </c>
      <c r="BO95" s="229">
        <v>-0.495</v>
      </c>
      <c r="BP95" s="230">
        <v>122846500</v>
      </c>
      <c r="BQ95" s="230">
        <v>261034200</v>
      </c>
      <c r="BR95" s="230">
        <v>-138187700</v>
      </c>
      <c r="BS95" s="229">
        <v>-0.52939999999999998</v>
      </c>
      <c r="BT95" s="230">
        <v>10678808</v>
      </c>
      <c r="BU95" s="230">
        <v>14539689</v>
      </c>
      <c r="BV95" s="230">
        <v>-3860881</v>
      </c>
      <c r="BW95" s="229">
        <v>-0.26550000000000001</v>
      </c>
      <c r="BX95" s="230">
        <v>108398500</v>
      </c>
      <c r="BY95" s="230">
        <v>110251400</v>
      </c>
      <c r="BZ95" s="230">
        <v>-1852900</v>
      </c>
      <c r="CA95" s="229">
        <v>-1.6799999999999999E-2</v>
      </c>
      <c r="CB95" s="230">
        <v>59131800</v>
      </c>
      <c r="CC95" s="230">
        <v>61378800</v>
      </c>
      <c r="CD95" s="230">
        <v>-2247000</v>
      </c>
      <c r="CE95" s="229">
        <v>-3.6600000000000001E-2</v>
      </c>
      <c r="CF95" s="230">
        <v>49061600</v>
      </c>
      <c r="CG95" s="230">
        <v>48687100</v>
      </c>
      <c r="CH95" s="230">
        <v>374500</v>
      </c>
      <c r="CI95" s="229">
        <v>7.7000000000000002E-3</v>
      </c>
      <c r="CJ95" s="228">
        <v>0</v>
      </c>
      <c r="CK95" s="228">
        <v>0</v>
      </c>
      <c r="CL95" s="228">
        <v>0</v>
      </c>
      <c r="CM95" s="229">
        <v>0</v>
      </c>
      <c r="CN95" s="230">
        <v>24581900</v>
      </c>
      <c r="CO95" s="230">
        <v>25121600</v>
      </c>
      <c r="CP95" s="230">
        <v>-539700</v>
      </c>
      <c r="CQ95" s="229">
        <v>-2.1499999999999998E-2</v>
      </c>
      <c r="CR95" s="230">
        <v>21929600</v>
      </c>
      <c r="CS95" s="230">
        <v>20678000</v>
      </c>
      <c r="CT95" s="230">
        <v>1251600</v>
      </c>
      <c r="CU95" s="229">
        <v>6.0499999999999998E-2</v>
      </c>
      <c r="CV95" s="230">
        <v>154910000</v>
      </c>
      <c r="CW95" s="230">
        <v>156051000</v>
      </c>
      <c r="CX95" s="230">
        <v>-1141000</v>
      </c>
      <c r="CY95" s="229">
        <v>-7.3000000000000001E-3</v>
      </c>
      <c r="CZ95" s="228">
        <v>14.74</v>
      </c>
      <c r="DA95" s="228">
        <v>17.25</v>
      </c>
      <c r="DB95" s="228">
        <v>-2.5099999999999998</v>
      </c>
      <c r="DC95" s="228">
        <v>-2.5099999999999998</v>
      </c>
      <c r="DD95" s="228">
        <v>22.98</v>
      </c>
      <c r="DE95" s="228">
        <v>23.03</v>
      </c>
      <c r="DF95" s="228">
        <v>-8.24</v>
      </c>
      <c r="DG95" s="228">
        <v>-0.05</v>
      </c>
      <c r="DH95" s="228">
        <v>13.96</v>
      </c>
      <c r="DI95" s="228">
        <v>16.09</v>
      </c>
      <c r="DJ95" s="228">
        <v>-2.13</v>
      </c>
      <c r="DK95" s="228">
        <v>-2.13</v>
      </c>
      <c r="DL95" s="228">
        <v>15.95</v>
      </c>
      <c r="DM95" s="228">
        <v>19.3</v>
      </c>
      <c r="DN95" s="228">
        <v>-3.35</v>
      </c>
      <c r="DO95" s="228">
        <v>-3.35</v>
      </c>
      <c r="DP95" s="228">
        <v>0.89</v>
      </c>
      <c r="DQ95" s="228">
        <v>0.82</v>
      </c>
      <c r="DR95" s="228">
        <v>7.0000000000000007E-2</v>
      </c>
      <c r="DS95" s="229">
        <v>8.5400000000000004E-2</v>
      </c>
      <c r="DT95" s="231">
        <v>1470</v>
      </c>
      <c r="DU95" s="231">
        <v>1400</v>
      </c>
      <c r="DV95" s="228">
        <v>0.64</v>
      </c>
      <c r="DW95" s="228">
        <v>0.56000000000000005</v>
      </c>
      <c r="DX95" s="228">
        <v>0.08</v>
      </c>
      <c r="DY95" s="229">
        <v>0.1429</v>
      </c>
      <c r="DZ95" s="229">
        <v>0.4526</v>
      </c>
      <c r="EA95" s="230">
        <v>48687100</v>
      </c>
      <c r="EB95" s="229">
        <v>-2.3E-3</v>
      </c>
      <c r="EC95" s="229">
        <v>0.4526</v>
      </c>
      <c r="ED95" s="228">
        <v>-3.34</v>
      </c>
      <c r="EE95" s="229">
        <v>-2.3E-3</v>
      </c>
      <c r="EF95" s="230">
        <v>6815905</v>
      </c>
      <c r="EG95" s="230">
        <v>8599311</v>
      </c>
      <c r="EH95" s="229">
        <v>-0.2074</v>
      </c>
      <c r="EI95" s="229">
        <v>0.63829999999999998</v>
      </c>
      <c r="EJ95" s="231">
        <v>1002381.09</v>
      </c>
      <c r="EK95" s="231">
        <v>622090.43999999994</v>
      </c>
      <c r="EL95" s="231">
        <v>196936.7</v>
      </c>
      <c r="EM95" s="228">
        <v>0</v>
      </c>
      <c r="EN95" s="231">
        <v>1821408.23</v>
      </c>
      <c r="EO95" s="231">
        <v>3819160.53</v>
      </c>
      <c r="EP95" s="231">
        <v>-1997752.3</v>
      </c>
      <c r="EQ95" s="229">
        <v>-0.52310000000000001</v>
      </c>
      <c r="ER95" s="231">
        <v>366057</v>
      </c>
      <c r="ES95" s="231">
        <v>308998</v>
      </c>
      <c r="ET95" s="231">
        <v>1596457</v>
      </c>
      <c r="EU95" s="231">
        <v>1159424540</v>
      </c>
      <c r="EV95" s="231">
        <v>2271513</v>
      </c>
      <c r="EW95" s="231">
        <v>2278920</v>
      </c>
      <c r="EX95" s="231">
        <v>-7407</v>
      </c>
      <c r="EY95" s="229">
        <v>-3.3E-3</v>
      </c>
      <c r="EZ95" s="229">
        <v>0.1336</v>
      </c>
      <c r="FA95" s="227" t="s">
        <v>556</v>
      </c>
      <c r="FB95" s="161">
        <f t="shared" si="1"/>
        <v>49266700</v>
      </c>
    </row>
    <row r="96" spans="1:158" ht="17.25" thickBot="1" x14ac:dyDescent="0.3">
      <c r="A96" s="226">
        <v>45860</v>
      </c>
      <c r="B96" s="227" t="s">
        <v>175</v>
      </c>
      <c r="C96" s="227" t="s">
        <v>472</v>
      </c>
      <c r="D96" s="228">
        <v>325</v>
      </c>
      <c r="E96" s="231">
        <v>1961.9</v>
      </c>
      <c r="F96" s="231">
        <v>1954.4</v>
      </c>
      <c r="G96" s="228">
        <v>7.5</v>
      </c>
      <c r="H96" s="229">
        <v>3.8E-3</v>
      </c>
      <c r="I96" s="231">
        <v>1962.3</v>
      </c>
      <c r="J96" s="231">
        <v>1952.2</v>
      </c>
      <c r="K96" s="228">
        <v>10.1</v>
      </c>
      <c r="L96" s="229">
        <v>5.1999999999999998E-3</v>
      </c>
      <c r="M96" s="231">
        <v>1961.9</v>
      </c>
      <c r="N96" s="231">
        <v>1954.4</v>
      </c>
      <c r="O96" s="228">
        <v>7.5</v>
      </c>
      <c r="P96" s="229">
        <v>3.8E-3</v>
      </c>
      <c r="Q96" s="231">
        <v>1972</v>
      </c>
      <c r="R96" s="231">
        <v>1964.5</v>
      </c>
      <c r="S96" s="228">
        <v>7.5</v>
      </c>
      <c r="T96" s="229">
        <v>3.8E-3</v>
      </c>
      <c r="U96" s="228">
        <v>0</v>
      </c>
      <c r="V96" s="228">
        <v>0</v>
      </c>
      <c r="W96" s="228">
        <v>0</v>
      </c>
      <c r="X96" s="229">
        <v>0</v>
      </c>
      <c r="Y96" s="228">
        <v>-0.4</v>
      </c>
      <c r="Z96" s="228">
        <v>2.2000000000000002</v>
      </c>
      <c r="AA96" s="228">
        <v>-2.6</v>
      </c>
      <c r="AB96" s="229">
        <v>-2.0000000000000001E-4</v>
      </c>
      <c r="AC96" s="228">
        <v>-0.4</v>
      </c>
      <c r="AD96" s="228">
        <v>2.2000000000000002</v>
      </c>
      <c r="AE96" s="228">
        <v>-2.6</v>
      </c>
      <c r="AF96" s="229">
        <v>-2.0000000000000001E-4</v>
      </c>
      <c r="AG96" s="228">
        <v>9.6999999999999993</v>
      </c>
      <c r="AH96" s="228">
        <v>12.3</v>
      </c>
      <c r="AI96" s="228">
        <v>-2.6</v>
      </c>
      <c r="AJ96" s="229">
        <v>4.8999999999999998E-3</v>
      </c>
      <c r="AK96" s="228">
        <v>0</v>
      </c>
      <c r="AL96" s="228">
        <v>0</v>
      </c>
      <c r="AM96" s="228">
        <v>0</v>
      </c>
      <c r="AN96" s="229">
        <v>0</v>
      </c>
      <c r="AO96" s="231">
        <v>1962.16</v>
      </c>
      <c r="AP96" s="231">
        <v>1970.92</v>
      </c>
      <c r="AQ96" s="228">
        <v>0</v>
      </c>
      <c r="AR96" s="230">
        <v>680550</v>
      </c>
      <c r="AS96" s="230">
        <v>608075</v>
      </c>
      <c r="AT96" s="230">
        <v>72475</v>
      </c>
      <c r="AU96" s="229">
        <v>0.1192</v>
      </c>
      <c r="AV96" s="230">
        <v>592800</v>
      </c>
      <c r="AW96" s="230">
        <v>580450</v>
      </c>
      <c r="AX96" s="230">
        <v>12350</v>
      </c>
      <c r="AY96" s="229">
        <v>2.1299999999999999E-2</v>
      </c>
      <c r="AZ96" s="230">
        <v>85800</v>
      </c>
      <c r="BA96" s="230">
        <v>26000</v>
      </c>
      <c r="BB96" s="230">
        <v>59800</v>
      </c>
      <c r="BC96" s="229">
        <v>2.2999999999999998</v>
      </c>
      <c r="BD96" s="228">
        <v>0</v>
      </c>
      <c r="BE96" s="228">
        <v>0</v>
      </c>
      <c r="BF96" s="228">
        <v>0</v>
      </c>
      <c r="BG96" s="229">
        <v>0</v>
      </c>
      <c r="BH96" s="230">
        <v>1889875</v>
      </c>
      <c r="BI96" s="230">
        <v>2691325</v>
      </c>
      <c r="BJ96" s="230">
        <v>-801450</v>
      </c>
      <c r="BK96" s="229">
        <v>-0.29780000000000001</v>
      </c>
      <c r="BL96" s="230">
        <v>725725</v>
      </c>
      <c r="BM96" s="230">
        <v>706550</v>
      </c>
      <c r="BN96" s="230">
        <v>19175</v>
      </c>
      <c r="BO96" s="229">
        <v>2.7099999999999999E-2</v>
      </c>
      <c r="BP96" s="230">
        <v>3296150</v>
      </c>
      <c r="BQ96" s="230">
        <v>4005950</v>
      </c>
      <c r="BR96" s="230">
        <v>-709800</v>
      </c>
      <c r="BS96" s="229">
        <v>-0.1772</v>
      </c>
      <c r="BT96" s="230">
        <v>516082</v>
      </c>
      <c r="BU96" s="230">
        <v>439058</v>
      </c>
      <c r="BV96" s="230">
        <v>77024</v>
      </c>
      <c r="BW96" s="229">
        <v>0.1754</v>
      </c>
      <c r="BX96" s="230">
        <v>5315050</v>
      </c>
      <c r="BY96" s="230">
        <v>5329675</v>
      </c>
      <c r="BZ96" s="230">
        <v>-14625</v>
      </c>
      <c r="CA96" s="229">
        <v>-2.7000000000000001E-3</v>
      </c>
      <c r="CB96" s="230">
        <v>5144100</v>
      </c>
      <c r="CC96" s="230">
        <v>5181475</v>
      </c>
      <c r="CD96" s="230">
        <v>-37375</v>
      </c>
      <c r="CE96" s="229">
        <v>-7.1999999999999998E-3</v>
      </c>
      <c r="CF96" s="230">
        <v>160225</v>
      </c>
      <c r="CG96" s="230">
        <v>138125</v>
      </c>
      <c r="CH96" s="230">
        <v>22100</v>
      </c>
      <c r="CI96" s="229">
        <v>0.16</v>
      </c>
      <c r="CJ96" s="228">
        <v>0</v>
      </c>
      <c r="CK96" s="228">
        <v>0</v>
      </c>
      <c r="CL96" s="228">
        <v>0</v>
      </c>
      <c r="CM96" s="229">
        <v>0</v>
      </c>
      <c r="CN96" s="230">
        <v>2910050</v>
      </c>
      <c r="CO96" s="230">
        <v>3293875</v>
      </c>
      <c r="CP96" s="230">
        <v>-383825</v>
      </c>
      <c r="CQ96" s="229">
        <v>-0.11650000000000001</v>
      </c>
      <c r="CR96" s="230">
        <v>1093950</v>
      </c>
      <c r="CS96" s="230">
        <v>1214850</v>
      </c>
      <c r="CT96" s="230">
        <v>-120900</v>
      </c>
      <c r="CU96" s="229">
        <v>-9.9500000000000005E-2</v>
      </c>
      <c r="CV96" s="230">
        <v>9319050</v>
      </c>
      <c r="CW96" s="230">
        <v>9838400</v>
      </c>
      <c r="CX96" s="230">
        <v>-519350</v>
      </c>
      <c r="CY96" s="229">
        <v>-5.28E-2</v>
      </c>
      <c r="CZ96" s="228">
        <v>23.28</v>
      </c>
      <c r="DA96" s="228">
        <v>25.11</v>
      </c>
      <c r="DB96" s="228">
        <v>-1.83</v>
      </c>
      <c r="DC96" s="228">
        <v>-1.83</v>
      </c>
      <c r="DD96" s="228">
        <v>29.81</v>
      </c>
      <c r="DE96" s="228">
        <v>29.88</v>
      </c>
      <c r="DF96" s="228">
        <v>-6.53</v>
      </c>
      <c r="DG96" s="228">
        <v>-7.0000000000000007E-2</v>
      </c>
      <c r="DH96" s="228">
        <v>23.6</v>
      </c>
      <c r="DI96" s="228">
        <v>25.24</v>
      </c>
      <c r="DJ96" s="228">
        <v>-1.64</v>
      </c>
      <c r="DK96" s="228">
        <v>-1.64</v>
      </c>
      <c r="DL96" s="228">
        <v>22.47</v>
      </c>
      <c r="DM96" s="228">
        <v>24.62</v>
      </c>
      <c r="DN96" s="228">
        <v>-2.15</v>
      </c>
      <c r="DO96" s="228">
        <v>-2.15</v>
      </c>
      <c r="DP96" s="228">
        <v>0.38</v>
      </c>
      <c r="DQ96" s="228">
        <v>0.37</v>
      </c>
      <c r="DR96" s="228">
        <v>0.01</v>
      </c>
      <c r="DS96" s="229">
        <v>2.7E-2</v>
      </c>
      <c r="DT96" s="231">
        <v>2060</v>
      </c>
      <c r="DU96" s="231">
        <v>2000</v>
      </c>
      <c r="DV96" s="228">
        <v>0.38</v>
      </c>
      <c r="DW96" s="228">
        <v>0.26</v>
      </c>
      <c r="DX96" s="228">
        <v>0.12</v>
      </c>
      <c r="DY96" s="229">
        <v>0.46150000000000002</v>
      </c>
      <c r="DZ96" s="229">
        <v>3.0099999999999998E-2</v>
      </c>
      <c r="EA96" s="230">
        <v>138125</v>
      </c>
      <c r="EB96" s="229">
        <v>5.1000000000000004E-3</v>
      </c>
      <c r="EC96" s="229">
        <v>3.0099999999999998E-2</v>
      </c>
      <c r="ED96" s="228">
        <v>8.76</v>
      </c>
      <c r="EE96" s="229">
        <v>4.4999999999999997E-3</v>
      </c>
      <c r="EF96" s="230">
        <v>353690</v>
      </c>
      <c r="EG96" s="230">
        <v>251635</v>
      </c>
      <c r="EH96" s="229">
        <v>0.40560000000000002</v>
      </c>
      <c r="EI96" s="229">
        <v>0.68530000000000002</v>
      </c>
      <c r="EJ96" s="231">
        <v>38524.800000000003</v>
      </c>
      <c r="EK96" s="231">
        <v>13928.39</v>
      </c>
      <c r="EL96" s="231">
        <v>13361.43</v>
      </c>
      <c r="EM96" s="228">
        <v>0</v>
      </c>
      <c r="EN96" s="231">
        <v>65814.62</v>
      </c>
      <c r="EO96" s="231">
        <v>80131.73</v>
      </c>
      <c r="EP96" s="231">
        <v>-14317.11</v>
      </c>
      <c r="EQ96" s="229">
        <v>-0.1787</v>
      </c>
      <c r="ER96" s="231">
        <v>60260</v>
      </c>
      <c r="ES96" s="231">
        <v>21272</v>
      </c>
      <c r="ET96" s="231">
        <v>104294</v>
      </c>
      <c r="EU96" s="231">
        <v>48034132</v>
      </c>
      <c r="EV96" s="231">
        <v>185826</v>
      </c>
      <c r="EW96" s="231">
        <v>195825</v>
      </c>
      <c r="EX96" s="231">
        <v>-9999</v>
      </c>
      <c r="EY96" s="229">
        <v>-5.11E-2</v>
      </c>
      <c r="EZ96" s="229">
        <v>0.19400000000000001</v>
      </c>
      <c r="FA96" s="227" t="s">
        <v>556</v>
      </c>
      <c r="FB96" s="161">
        <f t="shared" si="1"/>
        <v>170950</v>
      </c>
    </row>
    <row r="97" spans="1:158" ht="17.25" thickBot="1" x14ac:dyDescent="0.3">
      <c r="A97" s="226">
        <v>45860</v>
      </c>
      <c r="B97" s="227" t="s">
        <v>175</v>
      </c>
      <c r="C97" s="227" t="s">
        <v>233</v>
      </c>
      <c r="D97" s="228">
        <v>925</v>
      </c>
      <c r="E97" s="228">
        <v>627.54999999999995</v>
      </c>
      <c r="F97" s="228">
        <v>637.15</v>
      </c>
      <c r="G97" s="228">
        <v>-9.6</v>
      </c>
      <c r="H97" s="229">
        <v>-1.5100000000000001E-2</v>
      </c>
      <c r="I97" s="228">
        <v>625.1</v>
      </c>
      <c r="J97" s="228">
        <v>634.9</v>
      </c>
      <c r="K97" s="228">
        <v>-9.8000000000000007</v>
      </c>
      <c r="L97" s="229">
        <v>-1.54E-2</v>
      </c>
      <c r="M97" s="228">
        <v>627.54999999999995</v>
      </c>
      <c r="N97" s="228">
        <v>637.15</v>
      </c>
      <c r="O97" s="228">
        <v>-9.6</v>
      </c>
      <c r="P97" s="229">
        <v>-1.5100000000000001E-2</v>
      </c>
      <c r="Q97" s="228">
        <v>630.20000000000005</v>
      </c>
      <c r="R97" s="228">
        <v>640.1</v>
      </c>
      <c r="S97" s="228">
        <v>-9.9</v>
      </c>
      <c r="T97" s="229">
        <v>-1.55E-2</v>
      </c>
      <c r="U97" s="228">
        <v>0</v>
      </c>
      <c r="V97" s="228">
        <v>0</v>
      </c>
      <c r="W97" s="228">
        <v>0</v>
      </c>
      <c r="X97" s="229">
        <v>0</v>
      </c>
      <c r="Y97" s="228">
        <v>2.4500000000000002</v>
      </c>
      <c r="Z97" s="228">
        <v>2.25</v>
      </c>
      <c r="AA97" s="228">
        <v>0.2</v>
      </c>
      <c r="AB97" s="229">
        <v>3.8999999999999998E-3</v>
      </c>
      <c r="AC97" s="228">
        <v>2.4500000000000002</v>
      </c>
      <c r="AD97" s="228">
        <v>2.25</v>
      </c>
      <c r="AE97" s="228">
        <v>0.2</v>
      </c>
      <c r="AF97" s="229">
        <v>3.8999999999999998E-3</v>
      </c>
      <c r="AG97" s="228">
        <v>5.0999999999999996</v>
      </c>
      <c r="AH97" s="228">
        <v>5.2</v>
      </c>
      <c r="AI97" s="228">
        <v>-0.1</v>
      </c>
      <c r="AJ97" s="229">
        <v>8.2000000000000007E-3</v>
      </c>
      <c r="AK97" s="228">
        <v>0</v>
      </c>
      <c r="AL97" s="228">
        <v>0</v>
      </c>
      <c r="AM97" s="228">
        <v>0</v>
      </c>
      <c r="AN97" s="229">
        <v>0</v>
      </c>
      <c r="AO97" s="228">
        <v>629.5</v>
      </c>
      <c r="AP97" s="228">
        <v>632.70000000000005</v>
      </c>
      <c r="AQ97" s="228">
        <v>0</v>
      </c>
      <c r="AR97" s="230">
        <v>3232875</v>
      </c>
      <c r="AS97" s="230">
        <v>2599250</v>
      </c>
      <c r="AT97" s="230">
        <v>633625</v>
      </c>
      <c r="AU97" s="229">
        <v>0.24379999999999999</v>
      </c>
      <c r="AV97" s="230">
        <v>2767600</v>
      </c>
      <c r="AW97" s="230">
        <v>2266250</v>
      </c>
      <c r="AX97" s="230">
        <v>501350</v>
      </c>
      <c r="AY97" s="229">
        <v>0.22120000000000001</v>
      </c>
      <c r="AZ97" s="230">
        <v>456950</v>
      </c>
      <c r="BA97" s="230">
        <v>308950</v>
      </c>
      <c r="BB97" s="230">
        <v>148000</v>
      </c>
      <c r="BC97" s="229">
        <v>0.47899999999999998</v>
      </c>
      <c r="BD97" s="228">
        <v>0</v>
      </c>
      <c r="BE97" s="228">
        <v>0</v>
      </c>
      <c r="BF97" s="228">
        <v>0</v>
      </c>
      <c r="BG97" s="229">
        <v>0</v>
      </c>
      <c r="BH97" s="230">
        <v>11033400</v>
      </c>
      <c r="BI97" s="230">
        <v>6625775</v>
      </c>
      <c r="BJ97" s="230">
        <v>4407625</v>
      </c>
      <c r="BK97" s="229">
        <v>0.66520000000000001</v>
      </c>
      <c r="BL97" s="230">
        <v>2880450</v>
      </c>
      <c r="BM97" s="230">
        <v>1992450</v>
      </c>
      <c r="BN97" s="230">
        <v>888000</v>
      </c>
      <c r="BO97" s="229">
        <v>0.44569999999999999</v>
      </c>
      <c r="BP97" s="230">
        <v>17146725</v>
      </c>
      <c r="BQ97" s="230">
        <v>11217475</v>
      </c>
      <c r="BR97" s="230">
        <v>5929250</v>
      </c>
      <c r="BS97" s="229">
        <v>0.52859999999999996</v>
      </c>
      <c r="BT97" s="230">
        <v>1490583</v>
      </c>
      <c r="BU97" s="230">
        <v>1501098</v>
      </c>
      <c r="BV97" s="230">
        <v>-10515</v>
      </c>
      <c r="BW97" s="229">
        <v>-7.0000000000000001E-3</v>
      </c>
      <c r="BX97" s="230">
        <v>14786125</v>
      </c>
      <c r="BY97" s="230">
        <v>14513250</v>
      </c>
      <c r="BZ97" s="230">
        <v>272875</v>
      </c>
      <c r="CA97" s="229">
        <v>1.8800000000000001E-2</v>
      </c>
      <c r="CB97" s="230">
        <v>14090525</v>
      </c>
      <c r="CC97" s="230">
        <v>13982300</v>
      </c>
      <c r="CD97" s="230">
        <v>108225</v>
      </c>
      <c r="CE97" s="229">
        <v>7.7000000000000002E-3</v>
      </c>
      <c r="CF97" s="230">
        <v>628075</v>
      </c>
      <c r="CG97" s="230">
        <v>468050</v>
      </c>
      <c r="CH97" s="230">
        <v>160025</v>
      </c>
      <c r="CI97" s="229">
        <v>0.34189999999999998</v>
      </c>
      <c r="CJ97" s="228">
        <v>0</v>
      </c>
      <c r="CK97" s="228">
        <v>0</v>
      </c>
      <c r="CL97" s="228">
        <v>0</v>
      </c>
      <c r="CM97" s="229">
        <v>0</v>
      </c>
      <c r="CN97" s="230">
        <v>8855950</v>
      </c>
      <c r="CO97" s="230">
        <v>8538675</v>
      </c>
      <c r="CP97" s="230">
        <v>317275</v>
      </c>
      <c r="CQ97" s="229">
        <v>3.7199999999999997E-2</v>
      </c>
      <c r="CR97" s="230">
        <v>3327225</v>
      </c>
      <c r="CS97" s="230">
        <v>3332775</v>
      </c>
      <c r="CT97" s="230">
        <v>-5550</v>
      </c>
      <c r="CU97" s="229">
        <v>-1.6999999999999999E-3</v>
      </c>
      <c r="CV97" s="230">
        <v>26969300</v>
      </c>
      <c r="CW97" s="230">
        <v>26384700</v>
      </c>
      <c r="CX97" s="230">
        <v>584600</v>
      </c>
      <c r="CY97" s="229">
        <v>2.2200000000000001E-2</v>
      </c>
      <c r="CZ97" s="228">
        <v>27.42</v>
      </c>
      <c r="DA97" s="228">
        <v>26.65</v>
      </c>
      <c r="DB97" s="228">
        <v>0.77</v>
      </c>
      <c r="DC97" s="228">
        <v>0.77</v>
      </c>
      <c r="DD97" s="228">
        <v>30.76</v>
      </c>
      <c r="DE97" s="228">
        <v>30.77</v>
      </c>
      <c r="DF97" s="228">
        <v>-3.34</v>
      </c>
      <c r="DG97" s="228">
        <v>-0.01</v>
      </c>
      <c r="DH97" s="228">
        <v>28.29</v>
      </c>
      <c r="DI97" s="228">
        <v>27.5</v>
      </c>
      <c r="DJ97" s="228">
        <v>0.79</v>
      </c>
      <c r="DK97" s="228">
        <v>0.79</v>
      </c>
      <c r="DL97" s="228">
        <v>24.07</v>
      </c>
      <c r="DM97" s="228">
        <v>23.84</v>
      </c>
      <c r="DN97" s="228">
        <v>0.23</v>
      </c>
      <c r="DO97" s="228">
        <v>0.23</v>
      </c>
      <c r="DP97" s="228">
        <v>0.38</v>
      </c>
      <c r="DQ97" s="228">
        <v>0.39</v>
      </c>
      <c r="DR97" s="228">
        <v>-0.01</v>
      </c>
      <c r="DS97" s="229">
        <v>-2.5600000000000001E-2</v>
      </c>
      <c r="DT97" s="228">
        <v>700</v>
      </c>
      <c r="DU97" s="228">
        <v>600</v>
      </c>
      <c r="DV97" s="228">
        <v>0.26</v>
      </c>
      <c r="DW97" s="228">
        <v>0.3</v>
      </c>
      <c r="DX97" s="228">
        <v>-0.04</v>
      </c>
      <c r="DY97" s="229">
        <v>-0.1333</v>
      </c>
      <c r="DZ97" s="229">
        <v>4.2500000000000003E-2</v>
      </c>
      <c r="EA97" s="230">
        <v>468050</v>
      </c>
      <c r="EB97" s="229">
        <v>4.1999999999999997E-3</v>
      </c>
      <c r="EC97" s="229">
        <v>4.2500000000000003E-2</v>
      </c>
      <c r="ED97" s="228">
        <v>3.2</v>
      </c>
      <c r="EE97" s="229">
        <v>5.1000000000000004E-3</v>
      </c>
      <c r="EF97" s="230">
        <v>873149</v>
      </c>
      <c r="EG97" s="230">
        <v>957567</v>
      </c>
      <c r="EH97" s="229">
        <v>-8.8200000000000001E-2</v>
      </c>
      <c r="EI97" s="229">
        <v>0.58579999999999999</v>
      </c>
      <c r="EJ97" s="231">
        <v>73606.48</v>
      </c>
      <c r="EK97" s="231">
        <v>18208.02</v>
      </c>
      <c r="EL97" s="231">
        <v>20366.21</v>
      </c>
      <c r="EM97" s="228">
        <v>0</v>
      </c>
      <c r="EN97" s="231">
        <v>112180.71</v>
      </c>
      <c r="EO97" s="231">
        <v>73953.53</v>
      </c>
      <c r="EP97" s="231">
        <v>38227.18</v>
      </c>
      <c r="EQ97" s="229">
        <v>0.51690000000000003</v>
      </c>
      <c r="ER97" s="231">
        <v>60348</v>
      </c>
      <c r="ES97" s="231">
        <v>20935</v>
      </c>
      <c r="ET97" s="231">
        <v>92812</v>
      </c>
      <c r="EU97" s="231">
        <v>78039794</v>
      </c>
      <c r="EV97" s="231">
        <v>174095</v>
      </c>
      <c r="EW97" s="231">
        <v>171945</v>
      </c>
      <c r="EX97" s="231">
        <v>2150</v>
      </c>
      <c r="EY97" s="229">
        <v>1.2500000000000001E-2</v>
      </c>
      <c r="EZ97" s="229">
        <v>0.34560000000000002</v>
      </c>
      <c r="FA97" s="227" t="s">
        <v>567</v>
      </c>
      <c r="FB97" s="161">
        <f t="shared" si="1"/>
        <v>695600</v>
      </c>
    </row>
    <row r="98" spans="1:158" ht="17.25" thickBot="1" x14ac:dyDescent="0.3">
      <c r="A98" s="226">
        <v>45860</v>
      </c>
      <c r="B98" s="227" t="s">
        <v>188</v>
      </c>
      <c r="C98" s="227" t="s">
        <v>234</v>
      </c>
      <c r="D98" s="228">
        <v>71475</v>
      </c>
      <c r="E98" s="228">
        <v>7.39</v>
      </c>
      <c r="F98" s="228">
        <v>7.65</v>
      </c>
      <c r="G98" s="228">
        <v>-0.26</v>
      </c>
      <c r="H98" s="229">
        <v>-3.4000000000000002E-2</v>
      </c>
      <c r="I98" s="228">
        <v>7.37</v>
      </c>
      <c r="J98" s="228">
        <v>7.63</v>
      </c>
      <c r="K98" s="228">
        <v>-0.26</v>
      </c>
      <c r="L98" s="229">
        <v>-3.4099999999999998E-2</v>
      </c>
      <c r="M98" s="228">
        <v>7.39</v>
      </c>
      <c r="N98" s="228">
        <v>7.65</v>
      </c>
      <c r="O98" s="228">
        <v>-0.26</v>
      </c>
      <c r="P98" s="229">
        <v>-3.4000000000000002E-2</v>
      </c>
      <c r="Q98" s="228">
        <v>7.44</v>
      </c>
      <c r="R98" s="228">
        <v>7.7</v>
      </c>
      <c r="S98" s="228">
        <v>-0.26</v>
      </c>
      <c r="T98" s="229">
        <v>-3.3799999999999997E-2</v>
      </c>
      <c r="U98" s="228">
        <v>0</v>
      </c>
      <c r="V98" s="228">
        <v>0</v>
      </c>
      <c r="W98" s="228">
        <v>0</v>
      </c>
      <c r="X98" s="229">
        <v>0</v>
      </c>
      <c r="Y98" s="228">
        <v>0.02</v>
      </c>
      <c r="Z98" s="228">
        <v>0.02</v>
      </c>
      <c r="AA98" s="228">
        <v>0</v>
      </c>
      <c r="AB98" s="229">
        <v>2.7000000000000001E-3</v>
      </c>
      <c r="AC98" s="228">
        <v>0.02</v>
      </c>
      <c r="AD98" s="228">
        <v>0.02</v>
      </c>
      <c r="AE98" s="228">
        <v>0</v>
      </c>
      <c r="AF98" s="229">
        <v>2.7000000000000001E-3</v>
      </c>
      <c r="AG98" s="228">
        <v>7.0000000000000007E-2</v>
      </c>
      <c r="AH98" s="228">
        <v>7.0000000000000007E-2</v>
      </c>
      <c r="AI98" s="228">
        <v>0</v>
      </c>
      <c r="AJ98" s="229">
        <v>9.4999999999999998E-3</v>
      </c>
      <c r="AK98" s="228">
        <v>0</v>
      </c>
      <c r="AL98" s="228">
        <v>0</v>
      </c>
      <c r="AM98" s="228">
        <v>0</v>
      </c>
      <c r="AN98" s="229">
        <v>0</v>
      </c>
      <c r="AO98" s="228">
        <v>7.51</v>
      </c>
      <c r="AP98" s="228">
        <v>7.55</v>
      </c>
      <c r="AQ98" s="228">
        <v>0</v>
      </c>
      <c r="AR98" s="230">
        <v>543067050</v>
      </c>
      <c r="AS98" s="230">
        <v>618544650</v>
      </c>
      <c r="AT98" s="230">
        <v>-75477600</v>
      </c>
      <c r="AU98" s="229">
        <v>-0.122</v>
      </c>
      <c r="AV98" s="230">
        <v>423989700</v>
      </c>
      <c r="AW98" s="230">
        <v>390253500</v>
      </c>
      <c r="AX98" s="230">
        <v>33736200</v>
      </c>
      <c r="AY98" s="229">
        <v>8.6400000000000005E-2</v>
      </c>
      <c r="AZ98" s="230">
        <v>102638100</v>
      </c>
      <c r="BA98" s="230">
        <v>221643975</v>
      </c>
      <c r="BB98" s="230">
        <v>-119005875</v>
      </c>
      <c r="BC98" s="229">
        <v>-0.53690000000000004</v>
      </c>
      <c r="BD98" s="228">
        <v>0</v>
      </c>
      <c r="BE98" s="228">
        <v>0</v>
      </c>
      <c r="BF98" s="228">
        <v>0</v>
      </c>
      <c r="BG98" s="229">
        <v>0</v>
      </c>
      <c r="BH98" s="230">
        <v>571442625</v>
      </c>
      <c r="BI98" s="230">
        <v>242943525</v>
      </c>
      <c r="BJ98" s="230">
        <v>328499100</v>
      </c>
      <c r="BK98" s="229">
        <v>1.3522000000000001</v>
      </c>
      <c r="BL98" s="230">
        <v>91130625</v>
      </c>
      <c r="BM98" s="230">
        <v>59610150</v>
      </c>
      <c r="BN98" s="230">
        <v>31520475</v>
      </c>
      <c r="BO98" s="229">
        <v>0.52880000000000005</v>
      </c>
      <c r="BP98" s="230">
        <v>1205640300</v>
      </c>
      <c r="BQ98" s="230">
        <v>921098325</v>
      </c>
      <c r="BR98" s="230">
        <v>284541975</v>
      </c>
      <c r="BS98" s="229">
        <v>0.30890000000000001</v>
      </c>
      <c r="BT98" s="230">
        <v>356450097</v>
      </c>
      <c r="BU98" s="230">
        <v>257825041</v>
      </c>
      <c r="BV98" s="230">
        <v>98625056</v>
      </c>
      <c r="BW98" s="229">
        <v>0.38250000000000001</v>
      </c>
      <c r="BX98" s="230">
        <v>5320670475</v>
      </c>
      <c r="BY98" s="230">
        <v>5288077875</v>
      </c>
      <c r="BZ98" s="230">
        <v>32592600</v>
      </c>
      <c r="CA98" s="229">
        <v>6.1999999999999998E-3</v>
      </c>
      <c r="CB98" s="230">
        <v>4314731325</v>
      </c>
      <c r="CC98" s="230">
        <v>4334672850</v>
      </c>
      <c r="CD98" s="230">
        <v>-19941525</v>
      </c>
      <c r="CE98" s="229">
        <v>-4.5999999999999999E-3</v>
      </c>
      <c r="CF98" s="230">
        <v>921026850</v>
      </c>
      <c r="CG98" s="230">
        <v>873710400</v>
      </c>
      <c r="CH98" s="230">
        <v>47316450</v>
      </c>
      <c r="CI98" s="229">
        <v>5.4199999999999998E-2</v>
      </c>
      <c r="CJ98" s="228">
        <v>0</v>
      </c>
      <c r="CK98" s="228">
        <v>0</v>
      </c>
      <c r="CL98" s="228">
        <v>0</v>
      </c>
      <c r="CM98" s="229">
        <v>0</v>
      </c>
      <c r="CN98" s="230">
        <v>1432501950</v>
      </c>
      <c r="CO98" s="230">
        <v>1369818375</v>
      </c>
      <c r="CP98" s="230">
        <v>62683575</v>
      </c>
      <c r="CQ98" s="229">
        <v>4.58E-2</v>
      </c>
      <c r="CR98" s="230">
        <v>747842925</v>
      </c>
      <c r="CS98" s="230">
        <v>735406275</v>
      </c>
      <c r="CT98" s="230">
        <v>12436650</v>
      </c>
      <c r="CU98" s="229">
        <v>1.6899999999999998E-2</v>
      </c>
      <c r="CV98" s="230">
        <v>7501015350</v>
      </c>
      <c r="CW98" s="230">
        <v>7393302525</v>
      </c>
      <c r="CX98" s="230">
        <v>107712825</v>
      </c>
      <c r="CY98" s="229">
        <v>1.46E-2</v>
      </c>
      <c r="CZ98" s="228">
        <v>49.92</v>
      </c>
      <c r="DA98" s="228">
        <v>52.38</v>
      </c>
      <c r="DB98" s="228">
        <v>-2.46</v>
      </c>
      <c r="DC98" s="228">
        <v>-2.46</v>
      </c>
      <c r="DD98" s="228">
        <v>67.58</v>
      </c>
      <c r="DE98" s="228">
        <v>67.59</v>
      </c>
      <c r="DF98" s="228">
        <v>-17.66</v>
      </c>
      <c r="DG98" s="228">
        <v>-0.01</v>
      </c>
      <c r="DH98" s="228">
        <v>49.76</v>
      </c>
      <c r="DI98" s="228">
        <v>52.35</v>
      </c>
      <c r="DJ98" s="228">
        <v>-2.59</v>
      </c>
      <c r="DK98" s="228">
        <v>-2.59</v>
      </c>
      <c r="DL98" s="228">
        <v>50.97</v>
      </c>
      <c r="DM98" s="228">
        <v>52.48</v>
      </c>
      <c r="DN98" s="228">
        <v>-1.51</v>
      </c>
      <c r="DO98" s="228">
        <v>-1.51</v>
      </c>
      <c r="DP98" s="228">
        <v>0.52</v>
      </c>
      <c r="DQ98" s="228">
        <v>0.54</v>
      </c>
      <c r="DR98" s="228">
        <v>-0.02</v>
      </c>
      <c r="DS98" s="229">
        <v>-3.6999999999999998E-2</v>
      </c>
      <c r="DT98" s="228">
        <v>8</v>
      </c>
      <c r="DU98" s="228">
        <v>7</v>
      </c>
      <c r="DV98" s="228">
        <v>0.16</v>
      </c>
      <c r="DW98" s="228">
        <v>0.25</v>
      </c>
      <c r="DX98" s="228">
        <v>-0.09</v>
      </c>
      <c r="DY98" s="229">
        <v>-0.36</v>
      </c>
      <c r="DZ98" s="229">
        <v>0.1731</v>
      </c>
      <c r="EA98" s="230">
        <v>873710400</v>
      </c>
      <c r="EB98" s="229">
        <v>6.7999999999999996E-3</v>
      </c>
      <c r="EC98" s="229">
        <v>0.1731</v>
      </c>
      <c r="ED98" s="228">
        <v>0.04</v>
      </c>
      <c r="EE98" s="229">
        <v>5.3E-3</v>
      </c>
      <c r="EF98" s="230">
        <v>87586612</v>
      </c>
      <c r="EG98" s="230">
        <v>64168534</v>
      </c>
      <c r="EH98" s="229">
        <v>0.3649</v>
      </c>
      <c r="EI98" s="229">
        <v>0.2457</v>
      </c>
      <c r="EJ98" s="231">
        <v>45454.02</v>
      </c>
      <c r="EK98" s="231">
        <v>7667.69</v>
      </c>
      <c r="EL98" s="231">
        <v>40838.78</v>
      </c>
      <c r="EM98" s="228">
        <v>0</v>
      </c>
      <c r="EN98" s="231">
        <v>93960.49</v>
      </c>
      <c r="EO98" s="231">
        <v>72831.83</v>
      </c>
      <c r="EP98" s="231">
        <v>21128.66</v>
      </c>
      <c r="EQ98" s="229">
        <v>0.29010000000000002</v>
      </c>
      <c r="ER98" s="231">
        <v>119694</v>
      </c>
      <c r="ES98" s="231">
        <v>52780</v>
      </c>
      <c r="ET98" s="231">
        <v>393743</v>
      </c>
      <c r="EU98" s="231">
        <v>16128051291</v>
      </c>
      <c r="EV98" s="231">
        <v>566217</v>
      </c>
      <c r="EW98" s="231">
        <v>571473</v>
      </c>
      <c r="EX98" s="231">
        <v>-5256</v>
      </c>
      <c r="EY98" s="229">
        <v>-9.1999999999999998E-3</v>
      </c>
      <c r="EZ98" s="229">
        <v>0.46510000000000001</v>
      </c>
      <c r="FA98" s="227" t="s">
        <v>567</v>
      </c>
      <c r="FB98" s="161">
        <f t="shared" si="1"/>
        <v>1005939150</v>
      </c>
    </row>
    <row r="99" spans="1:158" ht="17.25" thickBot="1" x14ac:dyDescent="0.3">
      <c r="A99" s="226">
        <v>45860</v>
      </c>
      <c r="B99" s="227" t="s">
        <v>172</v>
      </c>
      <c r="C99" s="227" t="s">
        <v>235</v>
      </c>
      <c r="D99" s="228">
        <v>9275</v>
      </c>
      <c r="E99" s="228">
        <v>72.56</v>
      </c>
      <c r="F99" s="228">
        <v>74.06</v>
      </c>
      <c r="G99" s="228">
        <v>-1.5</v>
      </c>
      <c r="H99" s="229">
        <v>-2.0299999999999999E-2</v>
      </c>
      <c r="I99" s="228">
        <v>72.44</v>
      </c>
      <c r="J99" s="228">
        <v>73.989999999999995</v>
      </c>
      <c r="K99" s="228">
        <v>-1.55</v>
      </c>
      <c r="L99" s="229">
        <v>-2.0899999999999998E-2</v>
      </c>
      <c r="M99" s="228">
        <v>72.56</v>
      </c>
      <c r="N99" s="228">
        <v>74.06</v>
      </c>
      <c r="O99" s="228">
        <v>-1.5</v>
      </c>
      <c r="P99" s="229">
        <v>-2.0299999999999999E-2</v>
      </c>
      <c r="Q99" s="228">
        <v>72.92</v>
      </c>
      <c r="R99" s="228">
        <v>74.42</v>
      </c>
      <c r="S99" s="228">
        <v>-1.5</v>
      </c>
      <c r="T99" s="229">
        <v>-2.0199999999999999E-2</v>
      </c>
      <c r="U99" s="228">
        <v>0</v>
      </c>
      <c r="V99" s="228">
        <v>0</v>
      </c>
      <c r="W99" s="228">
        <v>0</v>
      </c>
      <c r="X99" s="229">
        <v>0</v>
      </c>
      <c r="Y99" s="228">
        <v>0.12</v>
      </c>
      <c r="Z99" s="228">
        <v>7.0000000000000007E-2</v>
      </c>
      <c r="AA99" s="228">
        <v>0.05</v>
      </c>
      <c r="AB99" s="229">
        <v>1.6999999999999999E-3</v>
      </c>
      <c r="AC99" s="228">
        <v>0.12</v>
      </c>
      <c r="AD99" s="228">
        <v>7.0000000000000007E-2</v>
      </c>
      <c r="AE99" s="228">
        <v>0.05</v>
      </c>
      <c r="AF99" s="229">
        <v>1.6999999999999999E-3</v>
      </c>
      <c r="AG99" s="228">
        <v>0.48</v>
      </c>
      <c r="AH99" s="228">
        <v>0.43</v>
      </c>
      <c r="AI99" s="228">
        <v>0.05</v>
      </c>
      <c r="AJ99" s="229">
        <v>6.6E-3</v>
      </c>
      <c r="AK99" s="228">
        <v>0</v>
      </c>
      <c r="AL99" s="228">
        <v>0</v>
      </c>
      <c r="AM99" s="228">
        <v>0</v>
      </c>
      <c r="AN99" s="229">
        <v>0</v>
      </c>
      <c r="AO99" s="228">
        <v>73.12</v>
      </c>
      <c r="AP99" s="228">
        <v>73.510000000000005</v>
      </c>
      <c r="AQ99" s="228">
        <v>0</v>
      </c>
      <c r="AR99" s="230">
        <v>49973700</v>
      </c>
      <c r="AS99" s="230">
        <v>115139850</v>
      </c>
      <c r="AT99" s="230">
        <v>-65166150</v>
      </c>
      <c r="AU99" s="229">
        <v>-0.56599999999999995</v>
      </c>
      <c r="AV99" s="230">
        <v>35152250</v>
      </c>
      <c r="AW99" s="230">
        <v>91358750</v>
      </c>
      <c r="AX99" s="230">
        <v>-56206500</v>
      </c>
      <c r="AY99" s="229">
        <v>-0.61519999999999997</v>
      </c>
      <c r="AZ99" s="230">
        <v>13624975</v>
      </c>
      <c r="BA99" s="230">
        <v>23020550</v>
      </c>
      <c r="BB99" s="230">
        <v>-9395575</v>
      </c>
      <c r="BC99" s="229">
        <v>-0.40810000000000002</v>
      </c>
      <c r="BD99" s="228">
        <v>0</v>
      </c>
      <c r="BE99" s="228">
        <v>0</v>
      </c>
      <c r="BF99" s="228">
        <v>0</v>
      </c>
      <c r="BG99" s="229">
        <v>0</v>
      </c>
      <c r="BH99" s="230">
        <v>88678275</v>
      </c>
      <c r="BI99" s="230">
        <v>172190375</v>
      </c>
      <c r="BJ99" s="230">
        <v>-83512100</v>
      </c>
      <c r="BK99" s="229">
        <v>-0.48499999999999999</v>
      </c>
      <c r="BL99" s="230">
        <v>37526650</v>
      </c>
      <c r="BM99" s="230">
        <v>74589550</v>
      </c>
      <c r="BN99" s="230">
        <v>-37062900</v>
      </c>
      <c r="BO99" s="229">
        <v>-0.49690000000000001</v>
      </c>
      <c r="BP99" s="230">
        <v>176178625</v>
      </c>
      <c r="BQ99" s="230">
        <v>361919775</v>
      </c>
      <c r="BR99" s="230">
        <v>-185741150</v>
      </c>
      <c r="BS99" s="229">
        <v>-0.51319999999999999</v>
      </c>
      <c r="BT99" s="230">
        <v>12927912</v>
      </c>
      <c r="BU99" s="230">
        <v>19755566</v>
      </c>
      <c r="BV99" s="230">
        <v>-6827654</v>
      </c>
      <c r="BW99" s="229">
        <v>-0.34560000000000002</v>
      </c>
      <c r="BX99" s="230">
        <v>378522025</v>
      </c>
      <c r="BY99" s="230">
        <v>376091975</v>
      </c>
      <c r="BZ99" s="230">
        <v>2430050</v>
      </c>
      <c r="CA99" s="229">
        <v>6.4999999999999997E-3</v>
      </c>
      <c r="CB99" s="230">
        <v>279789650</v>
      </c>
      <c r="CC99" s="230">
        <v>283425450</v>
      </c>
      <c r="CD99" s="230">
        <v>-3635800</v>
      </c>
      <c r="CE99" s="229">
        <v>-1.2800000000000001E-2</v>
      </c>
      <c r="CF99" s="230">
        <v>91674100</v>
      </c>
      <c r="CG99" s="230">
        <v>86276050</v>
      </c>
      <c r="CH99" s="230">
        <v>5398050</v>
      </c>
      <c r="CI99" s="229">
        <v>6.2600000000000003E-2</v>
      </c>
      <c r="CJ99" s="228">
        <v>0</v>
      </c>
      <c r="CK99" s="228">
        <v>0</v>
      </c>
      <c r="CL99" s="228">
        <v>0</v>
      </c>
      <c r="CM99" s="229">
        <v>0</v>
      </c>
      <c r="CN99" s="230">
        <v>146823250</v>
      </c>
      <c r="CO99" s="230">
        <v>141916775</v>
      </c>
      <c r="CP99" s="230">
        <v>4906475</v>
      </c>
      <c r="CQ99" s="229">
        <v>3.4599999999999999E-2</v>
      </c>
      <c r="CR99" s="230">
        <v>92722175</v>
      </c>
      <c r="CS99" s="230">
        <v>91905975</v>
      </c>
      <c r="CT99" s="230">
        <v>816200</v>
      </c>
      <c r="CU99" s="229">
        <v>8.8999999999999999E-3</v>
      </c>
      <c r="CV99" s="230">
        <v>618067450</v>
      </c>
      <c r="CW99" s="230">
        <v>609914725</v>
      </c>
      <c r="CX99" s="230">
        <v>8152725</v>
      </c>
      <c r="CY99" s="229">
        <v>1.34E-2</v>
      </c>
      <c r="CZ99" s="228">
        <v>38</v>
      </c>
      <c r="DA99" s="228">
        <v>36.020000000000003</v>
      </c>
      <c r="DB99" s="228">
        <v>1.98</v>
      </c>
      <c r="DC99" s="228">
        <v>1.98</v>
      </c>
      <c r="DD99" s="228">
        <v>36.56</v>
      </c>
      <c r="DE99" s="228">
        <v>36.54</v>
      </c>
      <c r="DF99" s="228">
        <v>1.44</v>
      </c>
      <c r="DG99" s="228">
        <v>0.02</v>
      </c>
      <c r="DH99" s="228">
        <v>38.76</v>
      </c>
      <c r="DI99" s="228">
        <v>36.6</v>
      </c>
      <c r="DJ99" s="228">
        <v>2.16</v>
      </c>
      <c r="DK99" s="228">
        <v>2.16</v>
      </c>
      <c r="DL99" s="228">
        <v>36.22</v>
      </c>
      <c r="DM99" s="228">
        <v>34.67</v>
      </c>
      <c r="DN99" s="228">
        <v>1.55</v>
      </c>
      <c r="DO99" s="228">
        <v>1.55</v>
      </c>
      <c r="DP99" s="228">
        <v>0.63</v>
      </c>
      <c r="DQ99" s="228">
        <v>0.65</v>
      </c>
      <c r="DR99" s="228">
        <v>-0.02</v>
      </c>
      <c r="DS99" s="229">
        <v>-3.0800000000000001E-2</v>
      </c>
      <c r="DT99" s="228">
        <v>80</v>
      </c>
      <c r="DU99" s="228">
        <v>70</v>
      </c>
      <c r="DV99" s="228">
        <v>0.42</v>
      </c>
      <c r="DW99" s="228">
        <v>0.43</v>
      </c>
      <c r="DX99" s="228">
        <v>-0.01</v>
      </c>
      <c r="DY99" s="229">
        <v>-2.3300000000000001E-2</v>
      </c>
      <c r="DZ99" s="229">
        <v>0.2422</v>
      </c>
      <c r="EA99" s="230">
        <v>86276050</v>
      </c>
      <c r="EB99" s="229">
        <v>5.0000000000000001E-3</v>
      </c>
      <c r="EC99" s="229">
        <v>0.2422</v>
      </c>
      <c r="ED99" s="228">
        <v>0.39</v>
      </c>
      <c r="EE99" s="229">
        <v>5.3E-3</v>
      </c>
      <c r="EF99" s="230">
        <v>5943939</v>
      </c>
      <c r="EG99" s="230">
        <v>7892216</v>
      </c>
      <c r="EH99" s="229">
        <v>-0.24690000000000001</v>
      </c>
      <c r="EI99" s="229">
        <v>0.45979999999999999</v>
      </c>
      <c r="EJ99" s="231">
        <v>68498.100000000006</v>
      </c>
      <c r="EK99" s="231">
        <v>27371.37</v>
      </c>
      <c r="EL99" s="231">
        <v>36604.339999999997</v>
      </c>
      <c r="EM99" s="228">
        <v>0</v>
      </c>
      <c r="EN99" s="231">
        <v>132473.81</v>
      </c>
      <c r="EO99" s="231">
        <v>273927.90999999997</v>
      </c>
      <c r="EP99" s="231">
        <v>-141454.1</v>
      </c>
      <c r="EQ99" s="229">
        <v>-0.51639999999999997</v>
      </c>
      <c r="ER99" s="231">
        <v>113905</v>
      </c>
      <c r="ES99" s="231">
        <v>66176</v>
      </c>
      <c r="ET99" s="231">
        <v>275041</v>
      </c>
      <c r="EU99" s="231">
        <v>1464421396</v>
      </c>
      <c r="EV99" s="231">
        <v>455122</v>
      </c>
      <c r="EW99" s="231">
        <v>454962</v>
      </c>
      <c r="EX99" s="228">
        <v>160</v>
      </c>
      <c r="EY99" s="229">
        <v>4.0000000000000002E-4</v>
      </c>
      <c r="EZ99" s="229">
        <v>0.42209999999999998</v>
      </c>
      <c r="FA99" s="227" t="s">
        <v>567</v>
      </c>
      <c r="FB99" s="161">
        <f t="shared" si="1"/>
        <v>98732375</v>
      </c>
    </row>
    <row r="100" spans="1:158" ht="17.25" thickBot="1" x14ac:dyDescent="0.3">
      <c r="A100" s="226">
        <v>45860</v>
      </c>
      <c r="B100" s="227" t="s">
        <v>161</v>
      </c>
      <c r="C100" s="227" t="s">
        <v>514</v>
      </c>
      <c r="D100" s="228">
        <v>3750</v>
      </c>
      <c r="E100" s="228">
        <v>192.61</v>
      </c>
      <c r="F100" s="228">
        <v>196.33</v>
      </c>
      <c r="G100" s="228">
        <v>-3.72</v>
      </c>
      <c r="H100" s="229">
        <v>-1.89E-2</v>
      </c>
      <c r="I100" s="228">
        <v>192.56</v>
      </c>
      <c r="J100" s="228">
        <v>195.99</v>
      </c>
      <c r="K100" s="228">
        <v>-3.43</v>
      </c>
      <c r="L100" s="229">
        <v>-1.7500000000000002E-2</v>
      </c>
      <c r="M100" s="228">
        <v>192.61</v>
      </c>
      <c r="N100" s="228">
        <v>196.33</v>
      </c>
      <c r="O100" s="228">
        <v>-3.72</v>
      </c>
      <c r="P100" s="229">
        <v>-1.89E-2</v>
      </c>
      <c r="Q100" s="228">
        <v>193.67</v>
      </c>
      <c r="R100" s="228">
        <v>197.22</v>
      </c>
      <c r="S100" s="228">
        <v>-3.55</v>
      </c>
      <c r="T100" s="229">
        <v>-1.7999999999999999E-2</v>
      </c>
      <c r="U100" s="228">
        <v>0</v>
      </c>
      <c r="V100" s="228">
        <v>0</v>
      </c>
      <c r="W100" s="228">
        <v>0</v>
      </c>
      <c r="X100" s="229">
        <v>0</v>
      </c>
      <c r="Y100" s="228">
        <v>0.05</v>
      </c>
      <c r="Z100" s="228">
        <v>0.34</v>
      </c>
      <c r="AA100" s="228">
        <v>-0.28999999999999998</v>
      </c>
      <c r="AB100" s="229">
        <v>2.9999999999999997E-4</v>
      </c>
      <c r="AC100" s="228">
        <v>0.05</v>
      </c>
      <c r="AD100" s="228">
        <v>0.34</v>
      </c>
      <c r="AE100" s="228">
        <v>-0.28999999999999998</v>
      </c>
      <c r="AF100" s="229">
        <v>2.9999999999999997E-4</v>
      </c>
      <c r="AG100" s="228">
        <v>1.1100000000000001</v>
      </c>
      <c r="AH100" s="228">
        <v>1.23</v>
      </c>
      <c r="AI100" s="228">
        <v>-0.12</v>
      </c>
      <c r="AJ100" s="229">
        <v>5.7999999999999996E-3</v>
      </c>
      <c r="AK100" s="228">
        <v>0</v>
      </c>
      <c r="AL100" s="228">
        <v>0</v>
      </c>
      <c r="AM100" s="228">
        <v>0</v>
      </c>
      <c r="AN100" s="229">
        <v>0</v>
      </c>
      <c r="AO100" s="228">
        <v>195.04</v>
      </c>
      <c r="AP100" s="228">
        <v>195.75</v>
      </c>
      <c r="AQ100" s="228">
        <v>0</v>
      </c>
      <c r="AR100" s="230">
        <v>40875000</v>
      </c>
      <c r="AS100" s="230">
        <v>26812500</v>
      </c>
      <c r="AT100" s="230">
        <v>14062500</v>
      </c>
      <c r="AU100" s="229">
        <v>0.52449999999999997</v>
      </c>
      <c r="AV100" s="230">
        <v>32583750</v>
      </c>
      <c r="AW100" s="230">
        <v>24183750</v>
      </c>
      <c r="AX100" s="230">
        <v>8400000</v>
      </c>
      <c r="AY100" s="229">
        <v>0.3473</v>
      </c>
      <c r="AZ100" s="230">
        <v>7935000</v>
      </c>
      <c r="BA100" s="230">
        <v>2426250</v>
      </c>
      <c r="BB100" s="230">
        <v>5508750</v>
      </c>
      <c r="BC100" s="229">
        <v>2.2705000000000002</v>
      </c>
      <c r="BD100" s="228">
        <v>0</v>
      </c>
      <c r="BE100" s="228">
        <v>0</v>
      </c>
      <c r="BF100" s="228">
        <v>0</v>
      </c>
      <c r="BG100" s="229">
        <v>0</v>
      </c>
      <c r="BH100" s="230">
        <v>119662500</v>
      </c>
      <c r="BI100" s="230">
        <v>59283750</v>
      </c>
      <c r="BJ100" s="230">
        <v>60378750</v>
      </c>
      <c r="BK100" s="229">
        <v>1.0185</v>
      </c>
      <c r="BL100" s="230">
        <v>258288750</v>
      </c>
      <c r="BM100" s="230">
        <v>154961250</v>
      </c>
      <c r="BN100" s="230">
        <v>103327500</v>
      </c>
      <c r="BO100" s="229">
        <v>0.66679999999999995</v>
      </c>
      <c r="BP100" s="230">
        <v>418826250</v>
      </c>
      <c r="BQ100" s="230">
        <v>241057500</v>
      </c>
      <c r="BR100" s="230">
        <v>177768750</v>
      </c>
      <c r="BS100" s="229">
        <v>0.73750000000000004</v>
      </c>
      <c r="BT100" s="230">
        <v>10160326</v>
      </c>
      <c r="BU100" s="230">
        <v>8151662</v>
      </c>
      <c r="BV100" s="230">
        <v>2008664</v>
      </c>
      <c r="BW100" s="229">
        <v>0.24640000000000001</v>
      </c>
      <c r="BX100" s="230">
        <v>51138750</v>
      </c>
      <c r="BY100" s="230">
        <v>40875000</v>
      </c>
      <c r="BZ100" s="230">
        <v>10263750</v>
      </c>
      <c r="CA100" s="229">
        <v>0.25109999999999999</v>
      </c>
      <c r="CB100" s="230">
        <v>42693750</v>
      </c>
      <c r="CC100" s="230">
        <v>36843750</v>
      </c>
      <c r="CD100" s="230">
        <v>5850000</v>
      </c>
      <c r="CE100" s="229">
        <v>0.1588</v>
      </c>
      <c r="CF100" s="230">
        <v>7758750</v>
      </c>
      <c r="CG100" s="230">
        <v>3506250</v>
      </c>
      <c r="CH100" s="230">
        <v>4252500</v>
      </c>
      <c r="CI100" s="229">
        <v>1.2128000000000001</v>
      </c>
      <c r="CJ100" s="228">
        <v>0</v>
      </c>
      <c r="CK100" s="228">
        <v>0</v>
      </c>
      <c r="CL100" s="228">
        <v>0</v>
      </c>
      <c r="CM100" s="229">
        <v>0</v>
      </c>
      <c r="CN100" s="230">
        <v>45723750</v>
      </c>
      <c r="CO100" s="230">
        <v>33408750</v>
      </c>
      <c r="CP100" s="230">
        <v>12315000</v>
      </c>
      <c r="CQ100" s="229">
        <v>0.36859999999999998</v>
      </c>
      <c r="CR100" s="230">
        <v>105390000</v>
      </c>
      <c r="CS100" s="230">
        <v>57491250</v>
      </c>
      <c r="CT100" s="230">
        <v>47898750</v>
      </c>
      <c r="CU100" s="229">
        <v>0.83309999999999995</v>
      </c>
      <c r="CV100" s="230">
        <v>202252500</v>
      </c>
      <c r="CW100" s="230">
        <v>131775000</v>
      </c>
      <c r="CX100" s="230">
        <v>70477500</v>
      </c>
      <c r="CY100" s="229">
        <v>0.53480000000000005</v>
      </c>
      <c r="CZ100" s="228">
        <v>67.400000000000006</v>
      </c>
      <c r="DA100" s="228">
        <v>56.98</v>
      </c>
      <c r="DB100" s="228">
        <v>10.42</v>
      </c>
      <c r="DC100" s="228">
        <v>10.42</v>
      </c>
      <c r="DD100" s="228">
        <v>42.42</v>
      </c>
      <c r="DE100" s="228">
        <v>42.45</v>
      </c>
      <c r="DF100" s="228">
        <v>24.98</v>
      </c>
      <c r="DG100" s="228">
        <v>-0.03</v>
      </c>
      <c r="DH100" s="228">
        <v>53.77</v>
      </c>
      <c r="DI100" s="228">
        <v>46.8</v>
      </c>
      <c r="DJ100" s="228">
        <v>6.97</v>
      </c>
      <c r="DK100" s="228">
        <v>6.97</v>
      </c>
      <c r="DL100" s="228">
        <v>73.72</v>
      </c>
      <c r="DM100" s="228">
        <v>60.87</v>
      </c>
      <c r="DN100" s="228">
        <v>12.85</v>
      </c>
      <c r="DO100" s="228">
        <v>12.85</v>
      </c>
      <c r="DP100" s="228">
        <v>2.2999999999999998</v>
      </c>
      <c r="DQ100" s="228">
        <v>1.72</v>
      </c>
      <c r="DR100" s="228">
        <v>0.57999999999999996</v>
      </c>
      <c r="DS100" s="229">
        <v>0.3372</v>
      </c>
      <c r="DT100" s="228">
        <v>210</v>
      </c>
      <c r="DU100" s="228">
        <v>180</v>
      </c>
      <c r="DV100" s="228">
        <v>2.16</v>
      </c>
      <c r="DW100" s="228">
        <v>2.61</v>
      </c>
      <c r="DX100" s="228">
        <v>-0.45</v>
      </c>
      <c r="DY100" s="229">
        <v>-0.1724</v>
      </c>
      <c r="DZ100" s="229">
        <v>0.1517</v>
      </c>
      <c r="EA100" s="230">
        <v>3506250</v>
      </c>
      <c r="EB100" s="229">
        <v>5.4999999999999997E-3</v>
      </c>
      <c r="EC100" s="229">
        <v>0.1517</v>
      </c>
      <c r="ED100" s="228">
        <v>0.71</v>
      </c>
      <c r="EE100" s="229">
        <v>3.5999999999999999E-3</v>
      </c>
      <c r="EF100" s="230">
        <v>3782955</v>
      </c>
      <c r="EG100" s="230">
        <v>3915858</v>
      </c>
      <c r="EH100" s="229">
        <v>-3.39E-2</v>
      </c>
      <c r="EI100" s="229">
        <v>0.37230000000000002</v>
      </c>
      <c r="EJ100" s="231">
        <v>249312.16</v>
      </c>
      <c r="EK100" s="231">
        <v>475658.6</v>
      </c>
      <c r="EL100" s="231">
        <v>79784.070000000007</v>
      </c>
      <c r="EM100" s="228">
        <v>0</v>
      </c>
      <c r="EN100" s="231">
        <v>804754.83</v>
      </c>
      <c r="EO100" s="231">
        <v>470296.86</v>
      </c>
      <c r="EP100" s="231">
        <v>334457.96999999997</v>
      </c>
      <c r="EQ100" s="229">
        <v>0.71120000000000005</v>
      </c>
      <c r="ER100" s="231">
        <v>94186</v>
      </c>
      <c r="ES100" s="231">
        <v>190930</v>
      </c>
      <c r="ET100" s="231">
        <v>98595</v>
      </c>
      <c r="EU100" s="231">
        <v>177849950</v>
      </c>
      <c r="EV100" s="231">
        <v>383711</v>
      </c>
      <c r="EW100" s="231">
        <v>256002</v>
      </c>
      <c r="EX100" s="231">
        <v>127709</v>
      </c>
      <c r="EY100" s="229">
        <v>0.49890000000000001</v>
      </c>
      <c r="EZ100" s="229">
        <v>1.1372</v>
      </c>
      <c r="FA100" s="227" t="s">
        <v>567</v>
      </c>
      <c r="FB100" s="161">
        <f t="shared" si="1"/>
        <v>8445000</v>
      </c>
    </row>
    <row r="101" spans="1:158" ht="17.25" thickBot="1" x14ac:dyDescent="0.3">
      <c r="A101" s="226">
        <v>45860</v>
      </c>
      <c r="B101" s="227" t="s">
        <v>193</v>
      </c>
      <c r="C101" s="227" t="s">
        <v>236</v>
      </c>
      <c r="D101" s="228">
        <v>2750</v>
      </c>
      <c r="E101" s="228">
        <v>213.5</v>
      </c>
      <c r="F101" s="228">
        <v>213.86</v>
      </c>
      <c r="G101" s="228">
        <v>-0.36</v>
      </c>
      <c r="H101" s="229">
        <v>-1.6999999999999999E-3</v>
      </c>
      <c r="I101" s="228">
        <v>212.88</v>
      </c>
      <c r="J101" s="228">
        <v>213.06</v>
      </c>
      <c r="K101" s="228">
        <v>-0.18</v>
      </c>
      <c r="L101" s="229">
        <v>-8.0000000000000004E-4</v>
      </c>
      <c r="M101" s="228">
        <v>213.5</v>
      </c>
      <c r="N101" s="228">
        <v>213.86</v>
      </c>
      <c r="O101" s="228">
        <v>-0.36</v>
      </c>
      <c r="P101" s="229">
        <v>-1.6999999999999999E-3</v>
      </c>
      <c r="Q101" s="228">
        <v>213.33</v>
      </c>
      <c r="R101" s="228">
        <v>214.2</v>
      </c>
      <c r="S101" s="228">
        <v>-0.87</v>
      </c>
      <c r="T101" s="229">
        <v>-4.1000000000000003E-3</v>
      </c>
      <c r="U101" s="228">
        <v>0</v>
      </c>
      <c r="V101" s="228">
        <v>0</v>
      </c>
      <c r="W101" s="228">
        <v>0</v>
      </c>
      <c r="X101" s="229">
        <v>0</v>
      </c>
      <c r="Y101" s="228">
        <v>0.62</v>
      </c>
      <c r="Z101" s="228">
        <v>0.8</v>
      </c>
      <c r="AA101" s="228">
        <v>-0.18</v>
      </c>
      <c r="AB101" s="229">
        <v>2.8999999999999998E-3</v>
      </c>
      <c r="AC101" s="228">
        <v>0.62</v>
      </c>
      <c r="AD101" s="228">
        <v>0.8</v>
      </c>
      <c r="AE101" s="228">
        <v>-0.18</v>
      </c>
      <c r="AF101" s="229">
        <v>2.8999999999999998E-3</v>
      </c>
      <c r="AG101" s="228">
        <v>0.45</v>
      </c>
      <c r="AH101" s="228">
        <v>1.1399999999999999</v>
      </c>
      <c r="AI101" s="228">
        <v>-0.69</v>
      </c>
      <c r="AJ101" s="229">
        <v>2.0999999999999999E-3</v>
      </c>
      <c r="AK101" s="228">
        <v>0</v>
      </c>
      <c r="AL101" s="228">
        <v>0</v>
      </c>
      <c r="AM101" s="228">
        <v>0</v>
      </c>
      <c r="AN101" s="229">
        <v>0</v>
      </c>
      <c r="AO101" s="228">
        <v>214.74</v>
      </c>
      <c r="AP101" s="228">
        <v>215.07</v>
      </c>
      <c r="AQ101" s="228">
        <v>0</v>
      </c>
      <c r="AR101" s="230">
        <v>10774500</v>
      </c>
      <c r="AS101" s="230">
        <v>4699750</v>
      </c>
      <c r="AT101" s="230">
        <v>6074750</v>
      </c>
      <c r="AU101" s="229">
        <v>1.2926</v>
      </c>
      <c r="AV101" s="230">
        <v>7889750</v>
      </c>
      <c r="AW101" s="230">
        <v>4050750</v>
      </c>
      <c r="AX101" s="230">
        <v>3839000</v>
      </c>
      <c r="AY101" s="229">
        <v>0.94769999999999999</v>
      </c>
      <c r="AZ101" s="230">
        <v>2805000</v>
      </c>
      <c r="BA101" s="230">
        <v>607750</v>
      </c>
      <c r="BB101" s="230">
        <v>2197250</v>
      </c>
      <c r="BC101" s="229">
        <v>3.6154000000000002</v>
      </c>
      <c r="BD101" s="228">
        <v>0</v>
      </c>
      <c r="BE101" s="228">
        <v>0</v>
      </c>
      <c r="BF101" s="228">
        <v>0</v>
      </c>
      <c r="BG101" s="229">
        <v>0</v>
      </c>
      <c r="BH101" s="230">
        <v>24805000</v>
      </c>
      <c r="BI101" s="230">
        <v>13051500</v>
      </c>
      <c r="BJ101" s="230">
        <v>11753500</v>
      </c>
      <c r="BK101" s="229">
        <v>0.90049999999999997</v>
      </c>
      <c r="BL101" s="230">
        <v>26419250</v>
      </c>
      <c r="BM101" s="230">
        <v>21026500</v>
      </c>
      <c r="BN101" s="230">
        <v>5392750</v>
      </c>
      <c r="BO101" s="229">
        <v>0.25650000000000001</v>
      </c>
      <c r="BP101" s="230">
        <v>61998750</v>
      </c>
      <c r="BQ101" s="230">
        <v>38777750</v>
      </c>
      <c r="BR101" s="230">
        <v>23221000</v>
      </c>
      <c r="BS101" s="229">
        <v>0.5988</v>
      </c>
      <c r="BT101" s="230">
        <v>4118872</v>
      </c>
      <c r="BU101" s="230">
        <v>1680399</v>
      </c>
      <c r="BV101" s="230">
        <v>2438473</v>
      </c>
      <c r="BW101" s="229">
        <v>1.4511000000000001</v>
      </c>
      <c r="BX101" s="230">
        <v>18788000</v>
      </c>
      <c r="BY101" s="230">
        <v>17415750</v>
      </c>
      <c r="BZ101" s="230">
        <v>1372250</v>
      </c>
      <c r="CA101" s="229">
        <v>7.8799999999999995E-2</v>
      </c>
      <c r="CB101" s="230">
        <v>15081000</v>
      </c>
      <c r="CC101" s="230">
        <v>14451250</v>
      </c>
      <c r="CD101" s="230">
        <v>629750</v>
      </c>
      <c r="CE101" s="229">
        <v>4.36E-2</v>
      </c>
      <c r="CF101" s="230">
        <v>3192750</v>
      </c>
      <c r="CG101" s="230">
        <v>2488750</v>
      </c>
      <c r="CH101" s="230">
        <v>704000</v>
      </c>
      <c r="CI101" s="229">
        <v>0.28289999999999998</v>
      </c>
      <c r="CJ101" s="228">
        <v>0</v>
      </c>
      <c r="CK101" s="228">
        <v>0</v>
      </c>
      <c r="CL101" s="228">
        <v>0</v>
      </c>
      <c r="CM101" s="229">
        <v>0</v>
      </c>
      <c r="CN101" s="230">
        <v>14971000</v>
      </c>
      <c r="CO101" s="230">
        <v>14451250</v>
      </c>
      <c r="CP101" s="230">
        <v>519750</v>
      </c>
      <c r="CQ101" s="229">
        <v>3.5999999999999997E-2</v>
      </c>
      <c r="CR101" s="230">
        <v>10243750</v>
      </c>
      <c r="CS101" s="230">
        <v>8860500</v>
      </c>
      <c r="CT101" s="230">
        <v>1383250</v>
      </c>
      <c r="CU101" s="229">
        <v>0.15609999999999999</v>
      </c>
      <c r="CV101" s="230">
        <v>44002750</v>
      </c>
      <c r="CW101" s="230">
        <v>40727500</v>
      </c>
      <c r="CX101" s="230">
        <v>3275250</v>
      </c>
      <c r="CY101" s="229">
        <v>8.0399999999999999E-2</v>
      </c>
      <c r="CZ101" s="228">
        <v>37.869999999999997</v>
      </c>
      <c r="DA101" s="228">
        <v>36.549999999999997</v>
      </c>
      <c r="DB101" s="228">
        <v>1.32</v>
      </c>
      <c r="DC101" s="228">
        <v>1.32</v>
      </c>
      <c r="DD101" s="228">
        <v>45.84</v>
      </c>
      <c r="DE101" s="228">
        <v>45.95</v>
      </c>
      <c r="DF101" s="228">
        <v>-7.97</v>
      </c>
      <c r="DG101" s="228">
        <v>-0.11</v>
      </c>
      <c r="DH101" s="228">
        <v>36.21</v>
      </c>
      <c r="DI101" s="228">
        <v>35.46</v>
      </c>
      <c r="DJ101" s="228">
        <v>0.75</v>
      </c>
      <c r="DK101" s="228">
        <v>0.75</v>
      </c>
      <c r="DL101" s="228">
        <v>39.43</v>
      </c>
      <c r="DM101" s="228">
        <v>37.22</v>
      </c>
      <c r="DN101" s="228">
        <v>2.21</v>
      </c>
      <c r="DO101" s="228">
        <v>2.21</v>
      </c>
      <c r="DP101" s="228">
        <v>0.68</v>
      </c>
      <c r="DQ101" s="228">
        <v>0.61</v>
      </c>
      <c r="DR101" s="228">
        <v>7.0000000000000007E-2</v>
      </c>
      <c r="DS101" s="229">
        <v>0.1148</v>
      </c>
      <c r="DT101" s="228">
        <v>220</v>
      </c>
      <c r="DU101" s="228">
        <v>200</v>
      </c>
      <c r="DV101" s="228">
        <v>1.07</v>
      </c>
      <c r="DW101" s="228">
        <v>1.61</v>
      </c>
      <c r="DX101" s="228">
        <v>-0.54</v>
      </c>
      <c r="DY101" s="229">
        <v>-0.33539999999999998</v>
      </c>
      <c r="DZ101" s="229">
        <v>0.1699</v>
      </c>
      <c r="EA101" s="230">
        <v>2488750</v>
      </c>
      <c r="EB101" s="229">
        <v>-8.0000000000000004E-4</v>
      </c>
      <c r="EC101" s="229">
        <v>0.1699</v>
      </c>
      <c r="ED101" s="228">
        <v>0.33</v>
      </c>
      <c r="EE101" s="229">
        <v>1.5E-3</v>
      </c>
      <c r="EF101" s="230">
        <v>1923793</v>
      </c>
      <c r="EG101" s="230">
        <v>654847</v>
      </c>
      <c r="EH101" s="229">
        <v>1.9378</v>
      </c>
      <c r="EI101" s="229">
        <v>0.46710000000000002</v>
      </c>
      <c r="EJ101" s="231">
        <v>55542.6</v>
      </c>
      <c r="EK101" s="231">
        <v>54245.279999999999</v>
      </c>
      <c r="EL101" s="231">
        <v>23145.9</v>
      </c>
      <c r="EM101" s="228">
        <v>0</v>
      </c>
      <c r="EN101" s="231">
        <v>132933.78</v>
      </c>
      <c r="EO101" s="231">
        <v>82934.460000000006</v>
      </c>
      <c r="EP101" s="231">
        <v>49999.32</v>
      </c>
      <c r="EQ101" s="229">
        <v>0.60289999999999999</v>
      </c>
      <c r="ER101" s="231">
        <v>33913</v>
      </c>
      <c r="ES101" s="231">
        <v>21073</v>
      </c>
      <c r="ET101" s="231">
        <v>40107</v>
      </c>
      <c r="EU101" s="231">
        <v>154000160</v>
      </c>
      <c r="EV101" s="231">
        <v>95093</v>
      </c>
      <c r="EW101" s="231">
        <v>88336</v>
      </c>
      <c r="EX101" s="231">
        <v>6757</v>
      </c>
      <c r="EY101" s="229">
        <v>7.6499999999999999E-2</v>
      </c>
      <c r="EZ101" s="229">
        <v>0.28570000000000001</v>
      </c>
      <c r="FA101" s="227" t="s">
        <v>567</v>
      </c>
      <c r="FB101" s="161">
        <f t="shared" si="1"/>
        <v>3707000</v>
      </c>
    </row>
    <row r="102" spans="1:158" ht="17.25" thickBot="1" x14ac:dyDescent="0.3">
      <c r="A102" s="226">
        <v>45860</v>
      </c>
      <c r="B102" s="227" t="s">
        <v>175</v>
      </c>
      <c r="C102" s="227" t="s">
        <v>668</v>
      </c>
      <c r="D102" s="228">
        <v>1650</v>
      </c>
      <c r="E102" s="228">
        <v>530</v>
      </c>
      <c r="F102" s="228">
        <v>538.29999999999995</v>
      </c>
      <c r="G102" s="228">
        <v>-8.3000000000000007</v>
      </c>
      <c r="H102" s="229">
        <v>-1.54E-2</v>
      </c>
      <c r="I102" s="228">
        <v>529.79999999999995</v>
      </c>
      <c r="J102" s="228">
        <v>536.45000000000005</v>
      </c>
      <c r="K102" s="228">
        <v>-6.65</v>
      </c>
      <c r="L102" s="229">
        <v>-1.24E-2</v>
      </c>
      <c r="M102" s="228">
        <v>530</v>
      </c>
      <c r="N102" s="228">
        <v>538.29999999999995</v>
      </c>
      <c r="O102" s="228">
        <v>-8.3000000000000007</v>
      </c>
      <c r="P102" s="229">
        <v>-1.54E-2</v>
      </c>
      <c r="Q102" s="228">
        <v>532.9</v>
      </c>
      <c r="R102" s="228">
        <v>540.85</v>
      </c>
      <c r="S102" s="228">
        <v>-7.95</v>
      </c>
      <c r="T102" s="229">
        <v>-1.47E-2</v>
      </c>
      <c r="U102" s="228">
        <v>0</v>
      </c>
      <c r="V102" s="228">
        <v>0</v>
      </c>
      <c r="W102" s="228">
        <v>0</v>
      </c>
      <c r="X102" s="229">
        <v>0</v>
      </c>
      <c r="Y102" s="228">
        <v>0.2</v>
      </c>
      <c r="Z102" s="228">
        <v>1.85</v>
      </c>
      <c r="AA102" s="228">
        <v>-1.65</v>
      </c>
      <c r="AB102" s="229">
        <v>4.0000000000000002E-4</v>
      </c>
      <c r="AC102" s="228">
        <v>0.2</v>
      </c>
      <c r="AD102" s="228">
        <v>1.85</v>
      </c>
      <c r="AE102" s="228">
        <v>-1.65</v>
      </c>
      <c r="AF102" s="229">
        <v>4.0000000000000002E-4</v>
      </c>
      <c r="AG102" s="228">
        <v>3.1</v>
      </c>
      <c r="AH102" s="228">
        <v>4.4000000000000004</v>
      </c>
      <c r="AI102" s="228">
        <v>-1.3</v>
      </c>
      <c r="AJ102" s="229">
        <v>5.8999999999999999E-3</v>
      </c>
      <c r="AK102" s="228">
        <v>0</v>
      </c>
      <c r="AL102" s="228">
        <v>0</v>
      </c>
      <c r="AM102" s="228">
        <v>0</v>
      </c>
      <c r="AN102" s="229">
        <v>0</v>
      </c>
      <c r="AO102" s="228">
        <v>532.08000000000004</v>
      </c>
      <c r="AP102" s="228">
        <v>535.52</v>
      </c>
      <c r="AQ102" s="228">
        <v>0</v>
      </c>
      <c r="AR102" s="230">
        <v>1720950</v>
      </c>
      <c r="AS102" s="230">
        <v>1448700</v>
      </c>
      <c r="AT102" s="230">
        <v>272250</v>
      </c>
      <c r="AU102" s="229">
        <v>0.18790000000000001</v>
      </c>
      <c r="AV102" s="230">
        <v>1438800</v>
      </c>
      <c r="AW102" s="230">
        <v>1303500</v>
      </c>
      <c r="AX102" s="230">
        <v>135300</v>
      </c>
      <c r="AY102" s="229">
        <v>0.1038</v>
      </c>
      <c r="AZ102" s="230">
        <v>278850</v>
      </c>
      <c r="BA102" s="230">
        <v>143550</v>
      </c>
      <c r="BB102" s="230">
        <v>135300</v>
      </c>
      <c r="BC102" s="229">
        <v>0.9425</v>
      </c>
      <c r="BD102" s="228">
        <v>0</v>
      </c>
      <c r="BE102" s="228">
        <v>0</v>
      </c>
      <c r="BF102" s="228">
        <v>0</v>
      </c>
      <c r="BG102" s="229">
        <v>0</v>
      </c>
      <c r="BH102" s="230">
        <v>3564000</v>
      </c>
      <c r="BI102" s="230">
        <v>2803350</v>
      </c>
      <c r="BJ102" s="230">
        <v>760650</v>
      </c>
      <c r="BK102" s="229">
        <v>0.27129999999999999</v>
      </c>
      <c r="BL102" s="230">
        <v>2569050</v>
      </c>
      <c r="BM102" s="230">
        <v>1846350</v>
      </c>
      <c r="BN102" s="230">
        <v>722700</v>
      </c>
      <c r="BO102" s="229">
        <v>0.39140000000000003</v>
      </c>
      <c r="BP102" s="230">
        <v>7854000</v>
      </c>
      <c r="BQ102" s="230">
        <v>6098400</v>
      </c>
      <c r="BR102" s="230">
        <v>1755600</v>
      </c>
      <c r="BS102" s="229">
        <v>0.28789999999999999</v>
      </c>
      <c r="BT102" s="230">
        <v>1297751</v>
      </c>
      <c r="BU102" s="230">
        <v>956266</v>
      </c>
      <c r="BV102" s="230">
        <v>341485</v>
      </c>
      <c r="BW102" s="229">
        <v>0.35709999999999997</v>
      </c>
      <c r="BX102" s="230">
        <v>16326750</v>
      </c>
      <c r="BY102" s="230">
        <v>16589100</v>
      </c>
      <c r="BZ102" s="230">
        <v>-262350</v>
      </c>
      <c r="CA102" s="229">
        <v>-1.5800000000000002E-2</v>
      </c>
      <c r="CB102" s="230">
        <v>15402750</v>
      </c>
      <c r="CC102" s="230">
        <v>15737700</v>
      </c>
      <c r="CD102" s="230">
        <v>-334950</v>
      </c>
      <c r="CE102" s="229">
        <v>-2.1299999999999999E-2</v>
      </c>
      <c r="CF102" s="230">
        <v>859650</v>
      </c>
      <c r="CG102" s="230">
        <v>787050</v>
      </c>
      <c r="CH102" s="230">
        <v>72600</v>
      </c>
      <c r="CI102" s="229">
        <v>9.2200000000000004E-2</v>
      </c>
      <c r="CJ102" s="228">
        <v>0</v>
      </c>
      <c r="CK102" s="228">
        <v>0</v>
      </c>
      <c r="CL102" s="228">
        <v>0</v>
      </c>
      <c r="CM102" s="229">
        <v>0</v>
      </c>
      <c r="CN102" s="230">
        <v>4060650</v>
      </c>
      <c r="CO102" s="230">
        <v>4357650</v>
      </c>
      <c r="CP102" s="230">
        <v>-297000</v>
      </c>
      <c r="CQ102" s="229">
        <v>-6.8199999999999997E-2</v>
      </c>
      <c r="CR102" s="230">
        <v>3255450</v>
      </c>
      <c r="CS102" s="230">
        <v>3623400</v>
      </c>
      <c r="CT102" s="230">
        <v>-367950</v>
      </c>
      <c r="CU102" s="229">
        <v>-0.10150000000000001</v>
      </c>
      <c r="CV102" s="230">
        <v>23642850</v>
      </c>
      <c r="CW102" s="230">
        <v>24570150</v>
      </c>
      <c r="CX102" s="230">
        <v>-927300</v>
      </c>
      <c r="CY102" s="229">
        <v>-3.7699999999999997E-2</v>
      </c>
      <c r="CZ102" s="228">
        <v>28.34</v>
      </c>
      <c r="DA102" s="228">
        <v>28.06</v>
      </c>
      <c r="DB102" s="228">
        <v>0.28000000000000003</v>
      </c>
      <c r="DC102" s="228">
        <v>0.28000000000000003</v>
      </c>
      <c r="DD102" s="228">
        <v>53.19</v>
      </c>
      <c r="DE102" s="228">
        <v>53.3</v>
      </c>
      <c r="DF102" s="228">
        <v>-24.85</v>
      </c>
      <c r="DG102" s="228">
        <v>-0.11</v>
      </c>
      <c r="DH102" s="228">
        <v>27.25</v>
      </c>
      <c r="DI102" s="228">
        <v>26.83</v>
      </c>
      <c r="DJ102" s="228">
        <v>0.42</v>
      </c>
      <c r="DK102" s="228">
        <v>0.42</v>
      </c>
      <c r="DL102" s="228">
        <v>29.84</v>
      </c>
      <c r="DM102" s="228">
        <v>29.93</v>
      </c>
      <c r="DN102" s="228">
        <v>-0.09</v>
      </c>
      <c r="DO102" s="228">
        <v>-0.09</v>
      </c>
      <c r="DP102" s="228">
        <v>0.8</v>
      </c>
      <c r="DQ102" s="228">
        <v>0.83</v>
      </c>
      <c r="DR102" s="228">
        <v>-0.03</v>
      </c>
      <c r="DS102" s="229">
        <v>-3.61E-2</v>
      </c>
      <c r="DT102" s="228">
        <v>540</v>
      </c>
      <c r="DU102" s="228">
        <v>530</v>
      </c>
      <c r="DV102" s="228">
        <v>0.72</v>
      </c>
      <c r="DW102" s="228">
        <v>0.66</v>
      </c>
      <c r="DX102" s="228">
        <v>0.06</v>
      </c>
      <c r="DY102" s="229">
        <v>9.0899999999999995E-2</v>
      </c>
      <c r="DZ102" s="229">
        <v>5.2699999999999997E-2</v>
      </c>
      <c r="EA102" s="230">
        <v>787050</v>
      </c>
      <c r="EB102" s="229">
        <v>5.4999999999999997E-3</v>
      </c>
      <c r="EC102" s="229">
        <v>5.2699999999999997E-2</v>
      </c>
      <c r="ED102" s="228">
        <v>3.44</v>
      </c>
      <c r="EE102" s="229">
        <v>6.4999999999999997E-3</v>
      </c>
      <c r="EF102" s="230">
        <v>792509</v>
      </c>
      <c r="EG102" s="230">
        <v>507537</v>
      </c>
      <c r="EH102" s="229">
        <v>0.5615</v>
      </c>
      <c r="EI102" s="229">
        <v>0.61070000000000002</v>
      </c>
      <c r="EJ102" s="231">
        <v>19577.71</v>
      </c>
      <c r="EK102" s="231">
        <v>13281.54</v>
      </c>
      <c r="EL102" s="231">
        <v>9166.6</v>
      </c>
      <c r="EM102" s="228">
        <v>0</v>
      </c>
      <c r="EN102" s="231">
        <v>42025.85</v>
      </c>
      <c r="EO102" s="231">
        <v>32705.39</v>
      </c>
      <c r="EP102" s="231">
        <v>9320.4599999999991</v>
      </c>
      <c r="EQ102" s="229">
        <v>0.28499999999999998</v>
      </c>
      <c r="ER102" s="231">
        <v>21194</v>
      </c>
      <c r="ES102" s="231">
        <v>16059</v>
      </c>
      <c r="ET102" s="231">
        <v>86561</v>
      </c>
      <c r="EU102" s="231">
        <v>63768380</v>
      </c>
      <c r="EV102" s="231">
        <v>123813</v>
      </c>
      <c r="EW102" s="231">
        <v>129961</v>
      </c>
      <c r="EX102" s="231">
        <v>-6148</v>
      </c>
      <c r="EY102" s="229">
        <v>-4.7300000000000002E-2</v>
      </c>
      <c r="EZ102" s="229">
        <v>0.37080000000000002</v>
      </c>
      <c r="FA102" s="227" t="s">
        <v>568</v>
      </c>
      <c r="FB102" s="161">
        <f t="shared" si="1"/>
        <v>924000</v>
      </c>
    </row>
    <row r="103" spans="1:158" ht="17.25" thickBot="1" x14ac:dyDescent="0.3">
      <c r="A103" s="226">
        <v>45860</v>
      </c>
      <c r="B103" s="227" t="s">
        <v>206</v>
      </c>
      <c r="C103" s="227" t="s">
        <v>501</v>
      </c>
      <c r="D103" s="228">
        <v>1000</v>
      </c>
      <c r="E103" s="228">
        <v>757.55</v>
      </c>
      <c r="F103" s="228">
        <v>773.4</v>
      </c>
      <c r="G103" s="228">
        <v>-15.85</v>
      </c>
      <c r="H103" s="229">
        <v>-2.0500000000000001E-2</v>
      </c>
      <c r="I103" s="228">
        <v>756.3</v>
      </c>
      <c r="J103" s="228">
        <v>771.7</v>
      </c>
      <c r="K103" s="228">
        <v>-15.4</v>
      </c>
      <c r="L103" s="229">
        <v>-0.02</v>
      </c>
      <c r="M103" s="228">
        <v>757.55</v>
      </c>
      <c r="N103" s="228">
        <v>773.4</v>
      </c>
      <c r="O103" s="228">
        <v>-15.85</v>
      </c>
      <c r="P103" s="229">
        <v>-2.0500000000000001E-2</v>
      </c>
      <c r="Q103" s="228">
        <v>761.9</v>
      </c>
      <c r="R103" s="228">
        <v>777</v>
      </c>
      <c r="S103" s="228">
        <v>-15.1</v>
      </c>
      <c r="T103" s="229">
        <v>-1.9400000000000001E-2</v>
      </c>
      <c r="U103" s="228">
        <v>0</v>
      </c>
      <c r="V103" s="228">
        <v>0</v>
      </c>
      <c r="W103" s="228">
        <v>0</v>
      </c>
      <c r="X103" s="229">
        <v>0</v>
      </c>
      <c r="Y103" s="228">
        <v>1.25</v>
      </c>
      <c r="Z103" s="228">
        <v>1.7</v>
      </c>
      <c r="AA103" s="228">
        <v>-0.45</v>
      </c>
      <c r="AB103" s="229">
        <v>1.6999999999999999E-3</v>
      </c>
      <c r="AC103" s="228">
        <v>1.25</v>
      </c>
      <c r="AD103" s="228">
        <v>1.7</v>
      </c>
      <c r="AE103" s="228">
        <v>-0.45</v>
      </c>
      <c r="AF103" s="229">
        <v>1.6999999999999999E-3</v>
      </c>
      <c r="AG103" s="228">
        <v>5.6</v>
      </c>
      <c r="AH103" s="228">
        <v>5.3</v>
      </c>
      <c r="AI103" s="228">
        <v>0.3</v>
      </c>
      <c r="AJ103" s="229">
        <v>7.4000000000000003E-3</v>
      </c>
      <c r="AK103" s="228">
        <v>0</v>
      </c>
      <c r="AL103" s="228">
        <v>0</v>
      </c>
      <c r="AM103" s="228">
        <v>0</v>
      </c>
      <c r="AN103" s="229">
        <v>0</v>
      </c>
      <c r="AO103" s="228">
        <v>763.86</v>
      </c>
      <c r="AP103" s="228">
        <v>767.93</v>
      </c>
      <c r="AQ103" s="228">
        <v>0</v>
      </c>
      <c r="AR103" s="230">
        <v>4505000</v>
      </c>
      <c r="AS103" s="230">
        <v>4449000</v>
      </c>
      <c r="AT103" s="230">
        <v>56000</v>
      </c>
      <c r="AU103" s="229">
        <v>1.26E-2</v>
      </c>
      <c r="AV103" s="230">
        <v>3521000</v>
      </c>
      <c r="AW103" s="230">
        <v>3614000</v>
      </c>
      <c r="AX103" s="230">
        <v>-93000</v>
      </c>
      <c r="AY103" s="229">
        <v>-2.5700000000000001E-2</v>
      </c>
      <c r="AZ103" s="230">
        <v>891000</v>
      </c>
      <c r="BA103" s="230">
        <v>733000</v>
      </c>
      <c r="BB103" s="230">
        <v>158000</v>
      </c>
      <c r="BC103" s="229">
        <v>0.21560000000000001</v>
      </c>
      <c r="BD103" s="228">
        <v>0</v>
      </c>
      <c r="BE103" s="228">
        <v>0</v>
      </c>
      <c r="BF103" s="228">
        <v>0</v>
      </c>
      <c r="BG103" s="229">
        <v>0</v>
      </c>
      <c r="BH103" s="230">
        <v>13913000</v>
      </c>
      <c r="BI103" s="230">
        <v>21154000</v>
      </c>
      <c r="BJ103" s="230">
        <v>-7241000</v>
      </c>
      <c r="BK103" s="229">
        <v>-0.34229999999999999</v>
      </c>
      <c r="BL103" s="230">
        <v>6762000</v>
      </c>
      <c r="BM103" s="230">
        <v>9829000</v>
      </c>
      <c r="BN103" s="230">
        <v>-3067000</v>
      </c>
      <c r="BO103" s="229">
        <v>-0.312</v>
      </c>
      <c r="BP103" s="230">
        <v>25180000</v>
      </c>
      <c r="BQ103" s="230">
        <v>35432000</v>
      </c>
      <c r="BR103" s="230">
        <v>-10252000</v>
      </c>
      <c r="BS103" s="229">
        <v>-0.2893</v>
      </c>
      <c r="BT103" s="230">
        <v>2726079</v>
      </c>
      <c r="BU103" s="230">
        <v>3206502</v>
      </c>
      <c r="BV103" s="230">
        <v>-480423</v>
      </c>
      <c r="BW103" s="229">
        <v>-0.14979999999999999</v>
      </c>
      <c r="BX103" s="230">
        <v>29077000</v>
      </c>
      <c r="BY103" s="230">
        <v>28352000</v>
      </c>
      <c r="BZ103" s="230">
        <v>725000</v>
      </c>
      <c r="CA103" s="229">
        <v>2.5600000000000001E-2</v>
      </c>
      <c r="CB103" s="230">
        <v>26803000</v>
      </c>
      <c r="CC103" s="230">
        <v>26472000</v>
      </c>
      <c r="CD103" s="230">
        <v>331000</v>
      </c>
      <c r="CE103" s="229">
        <v>1.2500000000000001E-2</v>
      </c>
      <c r="CF103" s="230">
        <v>2102000</v>
      </c>
      <c r="CG103" s="230">
        <v>1745000</v>
      </c>
      <c r="CH103" s="230">
        <v>357000</v>
      </c>
      <c r="CI103" s="229">
        <v>0.2046</v>
      </c>
      <c r="CJ103" s="228">
        <v>0</v>
      </c>
      <c r="CK103" s="228">
        <v>0</v>
      </c>
      <c r="CL103" s="228">
        <v>0</v>
      </c>
      <c r="CM103" s="229">
        <v>0</v>
      </c>
      <c r="CN103" s="230">
        <v>11053000</v>
      </c>
      <c r="CO103" s="230">
        <v>10492000</v>
      </c>
      <c r="CP103" s="230">
        <v>561000</v>
      </c>
      <c r="CQ103" s="229">
        <v>5.3499999999999999E-2</v>
      </c>
      <c r="CR103" s="230">
        <v>6859000</v>
      </c>
      <c r="CS103" s="230">
        <v>7108000</v>
      </c>
      <c r="CT103" s="230">
        <v>-249000</v>
      </c>
      <c r="CU103" s="229">
        <v>-3.5000000000000003E-2</v>
      </c>
      <c r="CV103" s="230">
        <v>46989000</v>
      </c>
      <c r="CW103" s="230">
        <v>45952000</v>
      </c>
      <c r="CX103" s="230">
        <v>1037000</v>
      </c>
      <c r="CY103" s="229">
        <v>2.2599999999999999E-2</v>
      </c>
      <c r="CZ103" s="228">
        <v>25.37</v>
      </c>
      <c r="DA103" s="228">
        <v>24.22</v>
      </c>
      <c r="DB103" s="228">
        <v>1.1499999999999999</v>
      </c>
      <c r="DC103" s="228">
        <v>1.1499999999999999</v>
      </c>
      <c r="DD103" s="228">
        <v>39.06</v>
      </c>
      <c r="DE103" s="228">
        <v>39.06</v>
      </c>
      <c r="DF103" s="228">
        <v>-13.69</v>
      </c>
      <c r="DG103" s="228">
        <v>0</v>
      </c>
      <c r="DH103" s="228">
        <v>26.2</v>
      </c>
      <c r="DI103" s="228">
        <v>23.89</v>
      </c>
      <c r="DJ103" s="228">
        <v>2.31</v>
      </c>
      <c r="DK103" s="228">
        <v>2.31</v>
      </c>
      <c r="DL103" s="228">
        <v>23.65</v>
      </c>
      <c r="DM103" s="228">
        <v>24.94</v>
      </c>
      <c r="DN103" s="228">
        <v>-1.29</v>
      </c>
      <c r="DO103" s="228">
        <v>-1.29</v>
      </c>
      <c r="DP103" s="228">
        <v>0.62</v>
      </c>
      <c r="DQ103" s="228">
        <v>0.68</v>
      </c>
      <c r="DR103" s="228">
        <v>-0.06</v>
      </c>
      <c r="DS103" s="229">
        <v>-8.8200000000000001E-2</v>
      </c>
      <c r="DT103" s="228">
        <v>800</v>
      </c>
      <c r="DU103" s="228">
        <v>740</v>
      </c>
      <c r="DV103" s="228">
        <v>0.49</v>
      </c>
      <c r="DW103" s="228">
        <v>0.46</v>
      </c>
      <c r="DX103" s="228">
        <v>0.03</v>
      </c>
      <c r="DY103" s="229">
        <v>6.5199999999999994E-2</v>
      </c>
      <c r="DZ103" s="229">
        <v>7.2300000000000003E-2</v>
      </c>
      <c r="EA103" s="230">
        <v>1745000</v>
      </c>
      <c r="EB103" s="229">
        <v>5.7000000000000002E-3</v>
      </c>
      <c r="EC103" s="229">
        <v>7.2300000000000003E-2</v>
      </c>
      <c r="ED103" s="228">
        <v>4.07</v>
      </c>
      <c r="EE103" s="229">
        <v>5.3E-3</v>
      </c>
      <c r="EF103" s="230">
        <v>1645775</v>
      </c>
      <c r="EG103" s="230">
        <v>1602297</v>
      </c>
      <c r="EH103" s="229">
        <v>2.7099999999999999E-2</v>
      </c>
      <c r="EI103" s="229">
        <v>0.60370000000000001</v>
      </c>
      <c r="EJ103" s="231">
        <v>110212.65</v>
      </c>
      <c r="EK103" s="231">
        <v>51269.599999999999</v>
      </c>
      <c r="EL103" s="231">
        <v>34456.300000000003</v>
      </c>
      <c r="EM103" s="228">
        <v>0</v>
      </c>
      <c r="EN103" s="231">
        <v>195938.55</v>
      </c>
      <c r="EO103" s="231">
        <v>276993.96000000002</v>
      </c>
      <c r="EP103" s="231">
        <v>-81055.41</v>
      </c>
      <c r="EQ103" s="229">
        <v>-0.29260000000000003</v>
      </c>
      <c r="ER103" s="231">
        <v>87467</v>
      </c>
      <c r="ES103" s="231">
        <v>50948</v>
      </c>
      <c r="ET103" s="231">
        <v>220378</v>
      </c>
      <c r="EU103" s="231">
        <v>176174897</v>
      </c>
      <c r="EV103" s="231">
        <v>358794</v>
      </c>
      <c r="EW103" s="231">
        <v>355331</v>
      </c>
      <c r="EX103" s="231">
        <v>3463</v>
      </c>
      <c r="EY103" s="229">
        <v>9.7000000000000003E-3</v>
      </c>
      <c r="EZ103" s="229">
        <v>0.26669999999999999</v>
      </c>
      <c r="FA103" s="227" t="s">
        <v>567</v>
      </c>
      <c r="FB103" s="161">
        <f t="shared" si="1"/>
        <v>2274000</v>
      </c>
    </row>
    <row r="104" spans="1:158" ht="17.25" thickBot="1" x14ac:dyDescent="0.3">
      <c r="A104" s="226">
        <v>45860</v>
      </c>
      <c r="B104" s="227" t="s">
        <v>172</v>
      </c>
      <c r="C104" s="227" t="s">
        <v>579</v>
      </c>
      <c r="D104" s="228">
        <v>1000</v>
      </c>
      <c r="E104" s="228">
        <v>628.95000000000005</v>
      </c>
      <c r="F104" s="228">
        <v>635.65</v>
      </c>
      <c r="G104" s="228">
        <v>-6.7</v>
      </c>
      <c r="H104" s="229">
        <v>-1.0500000000000001E-2</v>
      </c>
      <c r="I104" s="228">
        <v>627.9</v>
      </c>
      <c r="J104" s="228">
        <v>634.75</v>
      </c>
      <c r="K104" s="228">
        <v>-6.85</v>
      </c>
      <c r="L104" s="229">
        <v>-1.0800000000000001E-2</v>
      </c>
      <c r="M104" s="228">
        <v>628.95000000000005</v>
      </c>
      <c r="N104" s="228">
        <v>635.65</v>
      </c>
      <c r="O104" s="228">
        <v>-6.7</v>
      </c>
      <c r="P104" s="229">
        <v>-1.0500000000000001E-2</v>
      </c>
      <c r="Q104" s="228">
        <v>630.35</v>
      </c>
      <c r="R104" s="228">
        <v>637.54999999999995</v>
      </c>
      <c r="S104" s="228">
        <v>-7.2</v>
      </c>
      <c r="T104" s="229">
        <v>-1.1299999999999999E-2</v>
      </c>
      <c r="U104" s="228">
        <v>0</v>
      </c>
      <c r="V104" s="228">
        <v>0</v>
      </c>
      <c r="W104" s="228">
        <v>0</v>
      </c>
      <c r="X104" s="229">
        <v>0</v>
      </c>
      <c r="Y104" s="228">
        <v>1.05</v>
      </c>
      <c r="Z104" s="228">
        <v>0.9</v>
      </c>
      <c r="AA104" s="228">
        <v>0.15</v>
      </c>
      <c r="AB104" s="229">
        <v>1.6999999999999999E-3</v>
      </c>
      <c r="AC104" s="228">
        <v>1.05</v>
      </c>
      <c r="AD104" s="228">
        <v>0.9</v>
      </c>
      <c r="AE104" s="228">
        <v>0.15</v>
      </c>
      <c r="AF104" s="229">
        <v>1.6999999999999999E-3</v>
      </c>
      <c r="AG104" s="228">
        <v>2.4500000000000002</v>
      </c>
      <c r="AH104" s="228">
        <v>2.8</v>
      </c>
      <c r="AI104" s="228">
        <v>-0.35</v>
      </c>
      <c r="AJ104" s="229">
        <v>3.8999999999999998E-3</v>
      </c>
      <c r="AK104" s="228">
        <v>0</v>
      </c>
      <c r="AL104" s="228">
        <v>0</v>
      </c>
      <c r="AM104" s="228">
        <v>0</v>
      </c>
      <c r="AN104" s="229">
        <v>0</v>
      </c>
      <c r="AO104" s="228">
        <v>631.51</v>
      </c>
      <c r="AP104" s="228">
        <v>633.24</v>
      </c>
      <c r="AQ104" s="228">
        <v>0</v>
      </c>
      <c r="AR104" s="230">
        <v>1191000</v>
      </c>
      <c r="AS104" s="230">
        <v>1180000</v>
      </c>
      <c r="AT104" s="230">
        <v>11000</v>
      </c>
      <c r="AU104" s="229">
        <v>9.2999999999999992E-3</v>
      </c>
      <c r="AV104" s="230">
        <v>999000</v>
      </c>
      <c r="AW104" s="230">
        <v>1087000</v>
      </c>
      <c r="AX104" s="230">
        <v>-88000</v>
      </c>
      <c r="AY104" s="229">
        <v>-8.1000000000000003E-2</v>
      </c>
      <c r="AZ104" s="230">
        <v>192000</v>
      </c>
      <c r="BA104" s="230">
        <v>93000</v>
      </c>
      <c r="BB104" s="230">
        <v>99000</v>
      </c>
      <c r="BC104" s="229">
        <v>1.0645</v>
      </c>
      <c r="BD104" s="228">
        <v>0</v>
      </c>
      <c r="BE104" s="228">
        <v>0</v>
      </c>
      <c r="BF104" s="228">
        <v>0</v>
      </c>
      <c r="BG104" s="229">
        <v>0</v>
      </c>
      <c r="BH104" s="230">
        <v>640000</v>
      </c>
      <c r="BI104" s="230">
        <v>1153000</v>
      </c>
      <c r="BJ104" s="230">
        <v>-513000</v>
      </c>
      <c r="BK104" s="229">
        <v>-0.44490000000000002</v>
      </c>
      <c r="BL104" s="230">
        <v>343000</v>
      </c>
      <c r="BM104" s="230">
        <v>584000</v>
      </c>
      <c r="BN104" s="230">
        <v>-241000</v>
      </c>
      <c r="BO104" s="229">
        <v>-0.41270000000000001</v>
      </c>
      <c r="BP104" s="230">
        <v>2174000</v>
      </c>
      <c r="BQ104" s="230">
        <v>2917000</v>
      </c>
      <c r="BR104" s="230">
        <v>-743000</v>
      </c>
      <c r="BS104" s="229">
        <v>-0.25469999999999998</v>
      </c>
      <c r="BT104" s="230">
        <v>1574456</v>
      </c>
      <c r="BU104" s="230">
        <v>867871</v>
      </c>
      <c r="BV104" s="230">
        <v>706585</v>
      </c>
      <c r="BW104" s="229">
        <v>0.81420000000000003</v>
      </c>
      <c r="BX104" s="230">
        <v>6665000</v>
      </c>
      <c r="BY104" s="230">
        <v>6614000</v>
      </c>
      <c r="BZ104" s="230">
        <v>51000</v>
      </c>
      <c r="CA104" s="229">
        <v>7.7000000000000002E-3</v>
      </c>
      <c r="CB104" s="230">
        <v>6195000</v>
      </c>
      <c r="CC104" s="230">
        <v>6253000</v>
      </c>
      <c r="CD104" s="230">
        <v>-58000</v>
      </c>
      <c r="CE104" s="229">
        <v>-9.2999999999999992E-3</v>
      </c>
      <c r="CF104" s="230">
        <v>418000</v>
      </c>
      <c r="CG104" s="230">
        <v>309000</v>
      </c>
      <c r="CH104" s="230">
        <v>109000</v>
      </c>
      <c r="CI104" s="229">
        <v>0.3528</v>
      </c>
      <c r="CJ104" s="228">
        <v>0</v>
      </c>
      <c r="CK104" s="228">
        <v>0</v>
      </c>
      <c r="CL104" s="228">
        <v>0</v>
      </c>
      <c r="CM104" s="229">
        <v>0</v>
      </c>
      <c r="CN104" s="230">
        <v>2731000</v>
      </c>
      <c r="CO104" s="230">
        <v>2772000</v>
      </c>
      <c r="CP104" s="230">
        <v>-41000</v>
      </c>
      <c r="CQ104" s="229">
        <v>-1.4800000000000001E-2</v>
      </c>
      <c r="CR104" s="230">
        <v>1836000</v>
      </c>
      <c r="CS104" s="230">
        <v>1822000</v>
      </c>
      <c r="CT104" s="230">
        <v>14000</v>
      </c>
      <c r="CU104" s="229">
        <v>7.7000000000000002E-3</v>
      </c>
      <c r="CV104" s="230">
        <v>11232000</v>
      </c>
      <c r="CW104" s="230">
        <v>11208000</v>
      </c>
      <c r="CX104" s="230">
        <v>24000</v>
      </c>
      <c r="CY104" s="229">
        <v>2.0999999999999999E-3</v>
      </c>
      <c r="CZ104" s="228">
        <v>39.380000000000003</v>
      </c>
      <c r="DA104" s="228">
        <v>39.119999999999997</v>
      </c>
      <c r="DB104" s="228">
        <v>0.26</v>
      </c>
      <c r="DC104" s="228">
        <v>0.26</v>
      </c>
      <c r="DD104" s="228">
        <v>41.12</v>
      </c>
      <c r="DE104" s="228">
        <v>41.2</v>
      </c>
      <c r="DF104" s="228">
        <v>-1.74</v>
      </c>
      <c r="DG104" s="228">
        <v>-0.08</v>
      </c>
      <c r="DH104" s="228">
        <v>39.83</v>
      </c>
      <c r="DI104" s="228">
        <v>39.33</v>
      </c>
      <c r="DJ104" s="228">
        <v>0.5</v>
      </c>
      <c r="DK104" s="228">
        <v>0.5</v>
      </c>
      <c r="DL104" s="228">
        <v>38.54</v>
      </c>
      <c r="DM104" s="228">
        <v>38.71</v>
      </c>
      <c r="DN104" s="228">
        <v>-0.17</v>
      </c>
      <c r="DO104" s="228">
        <v>-0.17</v>
      </c>
      <c r="DP104" s="228">
        <v>0.67</v>
      </c>
      <c r="DQ104" s="228">
        <v>0.66</v>
      </c>
      <c r="DR104" s="228">
        <v>0.01</v>
      </c>
      <c r="DS104" s="229">
        <v>1.52E-2</v>
      </c>
      <c r="DT104" s="228">
        <v>660</v>
      </c>
      <c r="DU104" s="228">
        <v>600</v>
      </c>
      <c r="DV104" s="228">
        <v>0.54</v>
      </c>
      <c r="DW104" s="228">
        <v>0.51</v>
      </c>
      <c r="DX104" s="228">
        <v>0.03</v>
      </c>
      <c r="DY104" s="229">
        <v>5.8799999999999998E-2</v>
      </c>
      <c r="DZ104" s="229">
        <v>6.2700000000000006E-2</v>
      </c>
      <c r="EA104" s="230">
        <v>309000</v>
      </c>
      <c r="EB104" s="229">
        <v>2.2000000000000001E-3</v>
      </c>
      <c r="EC104" s="229">
        <v>6.2700000000000006E-2</v>
      </c>
      <c r="ED104" s="228">
        <v>1.73</v>
      </c>
      <c r="EE104" s="229">
        <v>2.7000000000000001E-3</v>
      </c>
      <c r="EF104" s="230">
        <v>1033041</v>
      </c>
      <c r="EG104" s="230">
        <v>389450</v>
      </c>
      <c r="EH104" s="229">
        <v>1.6526000000000001</v>
      </c>
      <c r="EI104" s="229">
        <v>0.65610000000000002</v>
      </c>
      <c r="EJ104" s="231">
        <v>4259.16</v>
      </c>
      <c r="EK104" s="231">
        <v>2129.5</v>
      </c>
      <c r="EL104" s="231">
        <v>7524.66</v>
      </c>
      <c r="EM104" s="228">
        <v>0</v>
      </c>
      <c r="EN104" s="231">
        <v>13913.32</v>
      </c>
      <c r="EO104" s="231">
        <v>18810.099999999999</v>
      </c>
      <c r="EP104" s="231">
        <v>-4896.78</v>
      </c>
      <c r="EQ104" s="229">
        <v>-0.26029999999999998</v>
      </c>
      <c r="ER104" s="231">
        <v>18097</v>
      </c>
      <c r="ES104" s="231">
        <v>11242</v>
      </c>
      <c r="ET104" s="231">
        <v>41932</v>
      </c>
      <c r="EU104" s="231">
        <v>70482876</v>
      </c>
      <c r="EV104" s="231">
        <v>71272</v>
      </c>
      <c r="EW104" s="231">
        <v>71595</v>
      </c>
      <c r="EX104" s="228">
        <v>-323</v>
      </c>
      <c r="EY104" s="229">
        <v>-4.4999999999999997E-3</v>
      </c>
      <c r="EZ104" s="229">
        <v>0.15939999999999999</v>
      </c>
      <c r="FA104" s="227" t="s">
        <v>567</v>
      </c>
      <c r="FB104" s="161">
        <f t="shared" si="1"/>
        <v>470000</v>
      </c>
    </row>
    <row r="105" spans="1:158" ht="17.25" thickBot="1" x14ac:dyDescent="0.3">
      <c r="A105" s="226">
        <v>45860</v>
      </c>
      <c r="B105" s="227" t="s">
        <v>181</v>
      </c>
      <c r="C105" s="227" t="s">
        <v>570</v>
      </c>
      <c r="D105" s="228">
        <v>1</v>
      </c>
      <c r="E105" s="228">
        <v>10.75</v>
      </c>
      <c r="F105" s="228">
        <v>11.2</v>
      </c>
      <c r="G105" s="228">
        <v>-0.45</v>
      </c>
      <c r="H105" s="229">
        <v>-0.04</v>
      </c>
      <c r="I105" s="228">
        <v>10.75</v>
      </c>
      <c r="J105" s="228">
        <v>11.2</v>
      </c>
      <c r="K105" s="228">
        <v>-0.45</v>
      </c>
      <c r="L105" s="229">
        <v>-0.04</v>
      </c>
      <c r="M105" s="228">
        <v>0</v>
      </c>
      <c r="N105" s="228">
        <v>0</v>
      </c>
      <c r="O105" s="228">
        <v>0</v>
      </c>
      <c r="P105" s="229">
        <v>0</v>
      </c>
      <c r="Q105" s="228">
        <v>0</v>
      </c>
      <c r="R105" s="228">
        <v>0</v>
      </c>
      <c r="S105" s="228">
        <v>0</v>
      </c>
      <c r="T105" s="229">
        <v>0</v>
      </c>
      <c r="U105" s="228">
        <v>0</v>
      </c>
      <c r="V105" s="228">
        <v>0</v>
      </c>
      <c r="W105" s="228">
        <v>0</v>
      </c>
      <c r="X105" s="229">
        <v>0</v>
      </c>
      <c r="Y105" s="228">
        <v>0</v>
      </c>
      <c r="Z105" s="228">
        <v>0</v>
      </c>
      <c r="AA105" s="228">
        <v>0</v>
      </c>
      <c r="AB105" s="229">
        <v>0</v>
      </c>
      <c r="AC105" s="228">
        <v>0</v>
      </c>
      <c r="AD105" s="228">
        <v>0</v>
      </c>
      <c r="AE105" s="228">
        <v>0</v>
      </c>
      <c r="AF105" s="229">
        <v>0</v>
      </c>
      <c r="AG105" s="228">
        <v>0</v>
      </c>
      <c r="AH105" s="228">
        <v>0</v>
      </c>
      <c r="AI105" s="228">
        <v>0</v>
      </c>
      <c r="AJ105" s="229">
        <v>0</v>
      </c>
      <c r="AK105" s="228">
        <v>0</v>
      </c>
      <c r="AL105" s="228">
        <v>0</v>
      </c>
      <c r="AM105" s="228">
        <v>0</v>
      </c>
      <c r="AN105" s="229">
        <v>0</v>
      </c>
      <c r="AO105" s="228">
        <v>0</v>
      </c>
      <c r="AP105" s="228">
        <v>0</v>
      </c>
      <c r="AQ105" s="228">
        <v>0</v>
      </c>
      <c r="AR105" s="228">
        <v>0</v>
      </c>
      <c r="AS105" s="228">
        <v>0</v>
      </c>
      <c r="AT105" s="228">
        <v>0</v>
      </c>
      <c r="AU105" s="229">
        <v>0</v>
      </c>
      <c r="AV105" s="228">
        <v>0</v>
      </c>
      <c r="AW105" s="228">
        <v>0</v>
      </c>
      <c r="AX105" s="228">
        <v>0</v>
      </c>
      <c r="AY105" s="229">
        <v>0</v>
      </c>
      <c r="AZ105" s="228">
        <v>0</v>
      </c>
      <c r="BA105" s="228">
        <v>0</v>
      </c>
      <c r="BB105" s="228">
        <v>0</v>
      </c>
      <c r="BC105" s="229">
        <v>0</v>
      </c>
      <c r="BD105" s="228">
        <v>0</v>
      </c>
      <c r="BE105" s="228">
        <v>0</v>
      </c>
      <c r="BF105" s="228">
        <v>0</v>
      </c>
      <c r="BG105" s="229">
        <v>0</v>
      </c>
      <c r="BH105" s="228">
        <v>0</v>
      </c>
      <c r="BI105" s="228">
        <v>0</v>
      </c>
      <c r="BJ105" s="228">
        <v>0</v>
      </c>
      <c r="BK105" s="229">
        <v>0</v>
      </c>
      <c r="BL105" s="228">
        <v>0</v>
      </c>
      <c r="BM105" s="228">
        <v>0</v>
      </c>
      <c r="BN105" s="228">
        <v>0</v>
      </c>
      <c r="BO105" s="229">
        <v>0</v>
      </c>
      <c r="BP105" s="228">
        <v>0</v>
      </c>
      <c r="BQ105" s="228">
        <v>0</v>
      </c>
      <c r="BR105" s="228">
        <v>0</v>
      </c>
      <c r="BS105" s="229">
        <v>0</v>
      </c>
      <c r="BT105" s="228">
        <v>0</v>
      </c>
      <c r="BU105" s="228">
        <v>0</v>
      </c>
      <c r="BV105" s="228">
        <v>0</v>
      </c>
      <c r="BW105" s="229">
        <v>0</v>
      </c>
      <c r="BX105" s="228">
        <v>0</v>
      </c>
      <c r="BY105" s="228">
        <v>0</v>
      </c>
      <c r="BZ105" s="228">
        <v>0</v>
      </c>
      <c r="CA105" s="229">
        <v>0</v>
      </c>
      <c r="CB105" s="228">
        <v>0</v>
      </c>
      <c r="CC105" s="228">
        <v>0</v>
      </c>
      <c r="CD105" s="228">
        <v>0</v>
      </c>
      <c r="CE105" s="229">
        <v>0</v>
      </c>
      <c r="CF105" s="228">
        <v>0</v>
      </c>
      <c r="CG105" s="228">
        <v>0</v>
      </c>
      <c r="CH105" s="228">
        <v>0</v>
      </c>
      <c r="CI105" s="229">
        <v>0</v>
      </c>
      <c r="CJ105" s="228">
        <v>0</v>
      </c>
      <c r="CK105" s="228">
        <v>0</v>
      </c>
      <c r="CL105" s="228">
        <v>0</v>
      </c>
      <c r="CM105" s="229">
        <v>0</v>
      </c>
      <c r="CN105" s="228">
        <v>0</v>
      </c>
      <c r="CO105" s="228">
        <v>0</v>
      </c>
      <c r="CP105" s="228">
        <v>0</v>
      </c>
      <c r="CQ105" s="229">
        <v>0</v>
      </c>
      <c r="CR105" s="228">
        <v>0</v>
      </c>
      <c r="CS105" s="228">
        <v>0</v>
      </c>
      <c r="CT105" s="228">
        <v>0</v>
      </c>
      <c r="CU105" s="229">
        <v>0</v>
      </c>
      <c r="CV105" s="228">
        <v>0</v>
      </c>
      <c r="CW105" s="228">
        <v>0</v>
      </c>
      <c r="CX105" s="228">
        <v>0</v>
      </c>
      <c r="CY105" s="229">
        <v>0</v>
      </c>
      <c r="CZ105" s="228">
        <v>0</v>
      </c>
      <c r="DA105" s="228">
        <v>0</v>
      </c>
      <c r="DB105" s="228">
        <v>0</v>
      </c>
      <c r="DC105" s="228">
        <v>0</v>
      </c>
      <c r="DD105" s="228">
        <v>0</v>
      </c>
      <c r="DE105" s="228">
        <v>0</v>
      </c>
      <c r="DF105" s="228">
        <v>0</v>
      </c>
      <c r="DG105" s="228">
        <v>0</v>
      </c>
      <c r="DH105" s="228">
        <v>0</v>
      </c>
      <c r="DI105" s="228">
        <v>0</v>
      </c>
      <c r="DJ105" s="228">
        <v>0</v>
      </c>
      <c r="DK105" s="228">
        <v>0</v>
      </c>
      <c r="DL105" s="228">
        <v>0</v>
      </c>
      <c r="DM105" s="228">
        <v>0</v>
      </c>
      <c r="DN105" s="228">
        <v>0</v>
      </c>
      <c r="DO105" s="228">
        <v>0</v>
      </c>
      <c r="DP105" s="228">
        <v>0</v>
      </c>
      <c r="DQ105" s="228">
        <v>0</v>
      </c>
      <c r="DR105" s="228">
        <v>0</v>
      </c>
      <c r="DS105" s="229">
        <v>0</v>
      </c>
      <c r="DT105" s="228">
        <v>0</v>
      </c>
      <c r="DU105" s="228">
        <v>0</v>
      </c>
      <c r="DV105" s="228">
        <v>0</v>
      </c>
      <c r="DW105" s="228">
        <v>0</v>
      </c>
      <c r="DX105" s="228">
        <v>0</v>
      </c>
      <c r="DY105" s="229">
        <v>0</v>
      </c>
      <c r="DZ105" s="229">
        <v>0</v>
      </c>
      <c r="EA105" s="228">
        <v>0</v>
      </c>
      <c r="EB105" s="229">
        <v>0</v>
      </c>
      <c r="EC105" s="229">
        <v>0</v>
      </c>
      <c r="ED105" s="228">
        <v>0</v>
      </c>
      <c r="EE105" s="229">
        <v>0</v>
      </c>
      <c r="EF105" s="228">
        <v>0</v>
      </c>
      <c r="EG105" s="228">
        <v>0</v>
      </c>
      <c r="EH105" s="229">
        <v>0</v>
      </c>
      <c r="EI105" s="229">
        <v>0</v>
      </c>
      <c r="EJ105" s="228">
        <v>0</v>
      </c>
      <c r="EK105" s="228">
        <v>0</v>
      </c>
      <c r="EL105" s="228">
        <v>0</v>
      </c>
      <c r="EM105" s="228">
        <v>0</v>
      </c>
      <c r="EN105" s="228">
        <v>0</v>
      </c>
      <c r="EO105" s="228">
        <v>0</v>
      </c>
      <c r="EP105" s="228">
        <v>0</v>
      </c>
      <c r="EQ105" s="229">
        <v>0</v>
      </c>
      <c r="ER105" s="228">
        <v>0</v>
      </c>
      <c r="ES105" s="228">
        <v>0</v>
      </c>
      <c r="ET105" s="228">
        <v>0</v>
      </c>
      <c r="EU105" s="228">
        <v>0</v>
      </c>
      <c r="EV105" s="228">
        <v>0</v>
      </c>
      <c r="EW105" s="228">
        <v>0</v>
      </c>
      <c r="EX105" s="228">
        <v>0</v>
      </c>
      <c r="EY105" s="229">
        <v>0</v>
      </c>
      <c r="EZ105" s="229">
        <v>0</v>
      </c>
      <c r="FA105" s="227" t="s">
        <v>237</v>
      </c>
      <c r="FB105" s="161">
        <f t="shared" si="1"/>
        <v>0</v>
      </c>
    </row>
    <row r="106" spans="1:158" ht="17.25" thickBot="1" x14ac:dyDescent="0.3">
      <c r="A106" s="226">
        <v>45860</v>
      </c>
      <c r="B106" s="227" t="s">
        <v>215</v>
      </c>
      <c r="C106" s="227" t="s">
        <v>238</v>
      </c>
      <c r="D106" s="228">
        <v>150</v>
      </c>
      <c r="E106" s="231">
        <v>5938.5</v>
      </c>
      <c r="F106" s="231">
        <v>5871.5</v>
      </c>
      <c r="G106" s="228">
        <v>67</v>
      </c>
      <c r="H106" s="229">
        <v>1.14E-2</v>
      </c>
      <c r="I106" s="231">
        <v>5948</v>
      </c>
      <c r="J106" s="231">
        <v>5878</v>
      </c>
      <c r="K106" s="228">
        <v>70</v>
      </c>
      <c r="L106" s="229">
        <v>1.1900000000000001E-2</v>
      </c>
      <c r="M106" s="231">
        <v>5938.5</v>
      </c>
      <c r="N106" s="231">
        <v>5871.5</v>
      </c>
      <c r="O106" s="228">
        <v>67</v>
      </c>
      <c r="P106" s="229">
        <v>1.14E-2</v>
      </c>
      <c r="Q106" s="231">
        <v>5957</v>
      </c>
      <c r="R106" s="231">
        <v>5896</v>
      </c>
      <c r="S106" s="228">
        <v>61</v>
      </c>
      <c r="T106" s="229">
        <v>1.03E-2</v>
      </c>
      <c r="U106" s="228">
        <v>0</v>
      </c>
      <c r="V106" s="228">
        <v>0</v>
      </c>
      <c r="W106" s="228">
        <v>0</v>
      </c>
      <c r="X106" s="229">
        <v>0</v>
      </c>
      <c r="Y106" s="228">
        <v>-9.5</v>
      </c>
      <c r="Z106" s="228">
        <v>-6.5</v>
      </c>
      <c r="AA106" s="228">
        <v>-3</v>
      </c>
      <c r="AB106" s="229">
        <v>-1.6000000000000001E-3</v>
      </c>
      <c r="AC106" s="228">
        <v>-9.5</v>
      </c>
      <c r="AD106" s="228">
        <v>-6.5</v>
      </c>
      <c r="AE106" s="228">
        <v>-3</v>
      </c>
      <c r="AF106" s="229">
        <v>-1.6000000000000001E-3</v>
      </c>
      <c r="AG106" s="228">
        <v>9</v>
      </c>
      <c r="AH106" s="228">
        <v>18</v>
      </c>
      <c r="AI106" s="228">
        <v>-9</v>
      </c>
      <c r="AJ106" s="229">
        <v>1.5E-3</v>
      </c>
      <c r="AK106" s="228">
        <v>0</v>
      </c>
      <c r="AL106" s="228">
        <v>0</v>
      </c>
      <c r="AM106" s="228">
        <v>0</v>
      </c>
      <c r="AN106" s="229">
        <v>0</v>
      </c>
      <c r="AO106" s="231">
        <v>5911.81</v>
      </c>
      <c r="AP106" s="231">
        <v>5932.04</v>
      </c>
      <c r="AQ106" s="228">
        <v>0</v>
      </c>
      <c r="AR106" s="230">
        <v>971250</v>
      </c>
      <c r="AS106" s="230">
        <v>665250</v>
      </c>
      <c r="AT106" s="230">
        <v>306000</v>
      </c>
      <c r="AU106" s="229">
        <v>0.46</v>
      </c>
      <c r="AV106" s="230">
        <v>745650</v>
      </c>
      <c r="AW106" s="230">
        <v>553050</v>
      </c>
      <c r="AX106" s="230">
        <v>192600</v>
      </c>
      <c r="AY106" s="229">
        <v>0.3483</v>
      </c>
      <c r="AZ106" s="230">
        <v>216900</v>
      </c>
      <c r="BA106" s="230">
        <v>106650</v>
      </c>
      <c r="BB106" s="230">
        <v>110250</v>
      </c>
      <c r="BC106" s="229">
        <v>1.0338000000000001</v>
      </c>
      <c r="BD106" s="228">
        <v>0</v>
      </c>
      <c r="BE106" s="228">
        <v>0</v>
      </c>
      <c r="BF106" s="228">
        <v>0</v>
      </c>
      <c r="BG106" s="229">
        <v>0</v>
      </c>
      <c r="BH106" s="230">
        <v>3222600</v>
      </c>
      <c r="BI106" s="230">
        <v>2098500</v>
      </c>
      <c r="BJ106" s="230">
        <v>1124100</v>
      </c>
      <c r="BK106" s="229">
        <v>0.53569999999999995</v>
      </c>
      <c r="BL106" s="230">
        <v>1334100</v>
      </c>
      <c r="BM106" s="230">
        <v>1019850</v>
      </c>
      <c r="BN106" s="230">
        <v>314250</v>
      </c>
      <c r="BO106" s="229">
        <v>0.30809999999999998</v>
      </c>
      <c r="BP106" s="230">
        <v>5527950</v>
      </c>
      <c r="BQ106" s="230">
        <v>3783600</v>
      </c>
      <c r="BR106" s="230">
        <v>1744350</v>
      </c>
      <c r="BS106" s="229">
        <v>0.46100000000000002</v>
      </c>
      <c r="BT106" s="230">
        <v>534019</v>
      </c>
      <c r="BU106" s="230">
        <v>508121</v>
      </c>
      <c r="BV106" s="230">
        <v>25898</v>
      </c>
      <c r="BW106" s="229">
        <v>5.0999999999999997E-2</v>
      </c>
      <c r="BX106" s="230">
        <v>7466100</v>
      </c>
      <c r="BY106" s="230">
        <v>7397250</v>
      </c>
      <c r="BZ106" s="230">
        <v>68850</v>
      </c>
      <c r="CA106" s="229">
        <v>9.2999999999999992E-3</v>
      </c>
      <c r="CB106" s="230">
        <v>7118100</v>
      </c>
      <c r="CC106" s="230">
        <v>7152900</v>
      </c>
      <c r="CD106" s="230">
        <v>-34800</v>
      </c>
      <c r="CE106" s="229">
        <v>-4.8999999999999998E-3</v>
      </c>
      <c r="CF106" s="230">
        <v>318150</v>
      </c>
      <c r="CG106" s="230">
        <v>216150</v>
      </c>
      <c r="CH106" s="230">
        <v>102000</v>
      </c>
      <c r="CI106" s="229">
        <v>0.47189999999999999</v>
      </c>
      <c r="CJ106" s="228">
        <v>0</v>
      </c>
      <c r="CK106" s="228">
        <v>0</v>
      </c>
      <c r="CL106" s="228">
        <v>0</v>
      </c>
      <c r="CM106" s="229">
        <v>0</v>
      </c>
      <c r="CN106" s="230">
        <v>3321900</v>
      </c>
      <c r="CO106" s="230">
        <v>3357900</v>
      </c>
      <c r="CP106" s="230">
        <v>-36000</v>
      </c>
      <c r="CQ106" s="229">
        <v>-1.0699999999999999E-2</v>
      </c>
      <c r="CR106" s="230">
        <v>2714400</v>
      </c>
      <c r="CS106" s="230">
        <v>2664750</v>
      </c>
      <c r="CT106" s="230">
        <v>49650</v>
      </c>
      <c r="CU106" s="229">
        <v>1.8599999999999998E-2</v>
      </c>
      <c r="CV106" s="230">
        <v>13502400</v>
      </c>
      <c r="CW106" s="230">
        <v>13419900</v>
      </c>
      <c r="CX106" s="230">
        <v>82500</v>
      </c>
      <c r="CY106" s="229">
        <v>6.1000000000000004E-3</v>
      </c>
      <c r="CZ106" s="228">
        <v>28.75</v>
      </c>
      <c r="DA106" s="228">
        <v>27.79</v>
      </c>
      <c r="DB106" s="228">
        <v>0.96</v>
      </c>
      <c r="DC106" s="228">
        <v>0.96</v>
      </c>
      <c r="DD106" s="228">
        <v>35.04</v>
      </c>
      <c r="DE106" s="228">
        <v>35.090000000000003</v>
      </c>
      <c r="DF106" s="228">
        <v>-6.29</v>
      </c>
      <c r="DG106" s="228">
        <v>-0.05</v>
      </c>
      <c r="DH106" s="228">
        <v>26.85</v>
      </c>
      <c r="DI106" s="228">
        <v>26.16</v>
      </c>
      <c r="DJ106" s="228">
        <v>0.69</v>
      </c>
      <c r="DK106" s="228">
        <v>0.69</v>
      </c>
      <c r="DL106" s="228">
        <v>33.35</v>
      </c>
      <c r="DM106" s="228">
        <v>31.14</v>
      </c>
      <c r="DN106" s="228">
        <v>2.21</v>
      </c>
      <c r="DO106" s="228">
        <v>2.21</v>
      </c>
      <c r="DP106" s="228">
        <v>0.82</v>
      </c>
      <c r="DQ106" s="228">
        <v>0.79</v>
      </c>
      <c r="DR106" s="228">
        <v>0.03</v>
      </c>
      <c r="DS106" s="229">
        <v>3.7999999999999999E-2</v>
      </c>
      <c r="DT106" s="231">
        <v>6100</v>
      </c>
      <c r="DU106" s="231">
        <v>5700</v>
      </c>
      <c r="DV106" s="228">
        <v>0.41</v>
      </c>
      <c r="DW106" s="228">
        <v>0.49</v>
      </c>
      <c r="DX106" s="228">
        <v>-0.08</v>
      </c>
      <c r="DY106" s="229">
        <v>-0.1633</v>
      </c>
      <c r="DZ106" s="229">
        <v>4.2599999999999999E-2</v>
      </c>
      <c r="EA106" s="230">
        <v>216150</v>
      </c>
      <c r="EB106" s="229">
        <v>3.0999999999999999E-3</v>
      </c>
      <c r="EC106" s="229">
        <v>4.2599999999999999E-2</v>
      </c>
      <c r="ED106" s="228">
        <v>20.23</v>
      </c>
      <c r="EE106" s="229">
        <v>3.3999999999999998E-3</v>
      </c>
      <c r="EF106" s="230">
        <v>351083</v>
      </c>
      <c r="EG106" s="230">
        <v>306269</v>
      </c>
      <c r="EH106" s="229">
        <v>0.14630000000000001</v>
      </c>
      <c r="EI106" s="229">
        <v>0.65739999999999998</v>
      </c>
      <c r="EJ106" s="231">
        <v>196189.51</v>
      </c>
      <c r="EK106" s="231">
        <v>76542.06</v>
      </c>
      <c r="EL106" s="231">
        <v>57466.32</v>
      </c>
      <c r="EM106" s="228">
        <v>0</v>
      </c>
      <c r="EN106" s="231">
        <v>330197.89</v>
      </c>
      <c r="EO106" s="231">
        <v>225242.29</v>
      </c>
      <c r="EP106" s="231">
        <v>104955.6</v>
      </c>
      <c r="EQ106" s="229">
        <v>0.46600000000000003</v>
      </c>
      <c r="ER106" s="231">
        <v>199804</v>
      </c>
      <c r="ES106" s="231">
        <v>152085</v>
      </c>
      <c r="ET106" s="231">
        <v>443448</v>
      </c>
      <c r="EU106" s="231">
        <v>39206614</v>
      </c>
      <c r="EV106" s="231">
        <v>795337</v>
      </c>
      <c r="EW106" s="231">
        <v>785665</v>
      </c>
      <c r="EX106" s="231">
        <v>9672</v>
      </c>
      <c r="EY106" s="229">
        <v>1.23E-2</v>
      </c>
      <c r="EZ106" s="229">
        <v>0.34439999999999998</v>
      </c>
      <c r="FA106" s="227" t="s">
        <v>555</v>
      </c>
      <c r="FB106" s="161">
        <f t="shared" si="1"/>
        <v>348000</v>
      </c>
    </row>
    <row r="107" spans="1:158" ht="17.25" thickBot="1" x14ac:dyDescent="0.3">
      <c r="A107" s="226">
        <v>45860</v>
      </c>
      <c r="B107" s="227" t="s">
        <v>172</v>
      </c>
      <c r="C107" s="227" t="s">
        <v>239</v>
      </c>
      <c r="D107" s="228">
        <v>700</v>
      </c>
      <c r="E107" s="228">
        <v>845.4</v>
      </c>
      <c r="F107" s="228">
        <v>858.9</v>
      </c>
      <c r="G107" s="228">
        <v>-13.5</v>
      </c>
      <c r="H107" s="229">
        <v>-1.5699999999999999E-2</v>
      </c>
      <c r="I107" s="228">
        <v>843.2</v>
      </c>
      <c r="J107" s="228">
        <v>858.8</v>
      </c>
      <c r="K107" s="228">
        <v>-15.6</v>
      </c>
      <c r="L107" s="229">
        <v>-1.8200000000000001E-2</v>
      </c>
      <c r="M107" s="228">
        <v>845.4</v>
      </c>
      <c r="N107" s="228">
        <v>858.9</v>
      </c>
      <c r="O107" s="228">
        <v>-13.5</v>
      </c>
      <c r="P107" s="229">
        <v>-1.5699999999999999E-2</v>
      </c>
      <c r="Q107" s="228">
        <v>849.15</v>
      </c>
      <c r="R107" s="228">
        <v>863.15</v>
      </c>
      <c r="S107" s="228">
        <v>-14</v>
      </c>
      <c r="T107" s="229">
        <v>-1.6199999999999999E-2</v>
      </c>
      <c r="U107" s="228">
        <v>0</v>
      </c>
      <c r="V107" s="228">
        <v>0</v>
      </c>
      <c r="W107" s="228">
        <v>0</v>
      </c>
      <c r="X107" s="229">
        <v>0</v>
      </c>
      <c r="Y107" s="228">
        <v>2.2000000000000002</v>
      </c>
      <c r="Z107" s="228">
        <v>0.1</v>
      </c>
      <c r="AA107" s="228">
        <v>2.1</v>
      </c>
      <c r="AB107" s="229">
        <v>2.5999999999999999E-3</v>
      </c>
      <c r="AC107" s="228">
        <v>2.2000000000000002</v>
      </c>
      <c r="AD107" s="228">
        <v>0.1</v>
      </c>
      <c r="AE107" s="228">
        <v>2.1</v>
      </c>
      <c r="AF107" s="229">
        <v>2.5999999999999999E-3</v>
      </c>
      <c r="AG107" s="228">
        <v>5.95</v>
      </c>
      <c r="AH107" s="228">
        <v>4.3499999999999996</v>
      </c>
      <c r="AI107" s="228">
        <v>1.6</v>
      </c>
      <c r="AJ107" s="229">
        <v>7.1000000000000004E-3</v>
      </c>
      <c r="AK107" s="228">
        <v>0</v>
      </c>
      <c r="AL107" s="228">
        <v>0</v>
      </c>
      <c r="AM107" s="228">
        <v>0</v>
      </c>
      <c r="AN107" s="229">
        <v>0</v>
      </c>
      <c r="AO107" s="228">
        <v>855.82</v>
      </c>
      <c r="AP107" s="228">
        <v>857.11</v>
      </c>
      <c r="AQ107" s="228">
        <v>0</v>
      </c>
      <c r="AR107" s="230">
        <v>18471600</v>
      </c>
      <c r="AS107" s="230">
        <v>17206000</v>
      </c>
      <c r="AT107" s="230">
        <v>1265600</v>
      </c>
      <c r="AU107" s="229">
        <v>7.3599999999999999E-2</v>
      </c>
      <c r="AV107" s="230">
        <v>14501200</v>
      </c>
      <c r="AW107" s="230">
        <v>14436800</v>
      </c>
      <c r="AX107" s="230">
        <v>64400</v>
      </c>
      <c r="AY107" s="229">
        <v>4.4999999999999997E-3</v>
      </c>
      <c r="AZ107" s="230">
        <v>3853500</v>
      </c>
      <c r="BA107" s="230">
        <v>2672600</v>
      </c>
      <c r="BB107" s="230">
        <v>1180900</v>
      </c>
      <c r="BC107" s="229">
        <v>0.44190000000000002</v>
      </c>
      <c r="BD107" s="228">
        <v>0</v>
      </c>
      <c r="BE107" s="228">
        <v>0</v>
      </c>
      <c r="BF107" s="228">
        <v>0</v>
      </c>
      <c r="BG107" s="229">
        <v>0</v>
      </c>
      <c r="BH107" s="230">
        <v>34292300</v>
      </c>
      <c r="BI107" s="230">
        <v>50890000</v>
      </c>
      <c r="BJ107" s="230">
        <v>-16597700</v>
      </c>
      <c r="BK107" s="229">
        <v>-0.3261</v>
      </c>
      <c r="BL107" s="230">
        <v>23033500</v>
      </c>
      <c r="BM107" s="230">
        <v>38254300</v>
      </c>
      <c r="BN107" s="230">
        <v>-15220800</v>
      </c>
      <c r="BO107" s="229">
        <v>-0.39789999999999998</v>
      </c>
      <c r="BP107" s="230">
        <v>75797400</v>
      </c>
      <c r="BQ107" s="230">
        <v>106350300</v>
      </c>
      <c r="BR107" s="230">
        <v>-30552900</v>
      </c>
      <c r="BS107" s="229">
        <v>-0.2873</v>
      </c>
      <c r="BT107" s="230">
        <v>7865402</v>
      </c>
      <c r="BU107" s="230">
        <v>7052334</v>
      </c>
      <c r="BV107" s="230">
        <v>813068</v>
      </c>
      <c r="BW107" s="229">
        <v>0.1153</v>
      </c>
      <c r="BX107" s="230">
        <v>43044400</v>
      </c>
      <c r="BY107" s="230">
        <v>41598200</v>
      </c>
      <c r="BZ107" s="230">
        <v>1446200</v>
      </c>
      <c r="CA107" s="229">
        <v>3.4799999999999998E-2</v>
      </c>
      <c r="CB107" s="230">
        <v>35925400</v>
      </c>
      <c r="CC107" s="230">
        <v>36370600</v>
      </c>
      <c r="CD107" s="230">
        <v>-445200</v>
      </c>
      <c r="CE107" s="229">
        <v>-1.2200000000000001E-2</v>
      </c>
      <c r="CF107" s="230">
        <v>6708100</v>
      </c>
      <c r="CG107" s="230">
        <v>4885300</v>
      </c>
      <c r="CH107" s="230">
        <v>1822800</v>
      </c>
      <c r="CI107" s="229">
        <v>0.37309999999999999</v>
      </c>
      <c r="CJ107" s="228">
        <v>0</v>
      </c>
      <c r="CK107" s="228">
        <v>0</v>
      </c>
      <c r="CL107" s="228">
        <v>0</v>
      </c>
      <c r="CM107" s="229">
        <v>0</v>
      </c>
      <c r="CN107" s="230">
        <v>20682200</v>
      </c>
      <c r="CO107" s="230">
        <v>19307400</v>
      </c>
      <c r="CP107" s="230">
        <v>1374800</v>
      </c>
      <c r="CQ107" s="229">
        <v>7.1199999999999999E-2</v>
      </c>
      <c r="CR107" s="230">
        <v>10781400</v>
      </c>
      <c r="CS107" s="230">
        <v>10883600</v>
      </c>
      <c r="CT107" s="230">
        <v>-102200</v>
      </c>
      <c r="CU107" s="229">
        <v>-9.4000000000000004E-3</v>
      </c>
      <c r="CV107" s="230">
        <v>74508000</v>
      </c>
      <c r="CW107" s="230">
        <v>71789200</v>
      </c>
      <c r="CX107" s="230">
        <v>2718800</v>
      </c>
      <c r="CY107" s="229">
        <v>3.7900000000000003E-2</v>
      </c>
      <c r="CZ107" s="228">
        <v>39.99</v>
      </c>
      <c r="DA107" s="228">
        <v>36.96</v>
      </c>
      <c r="DB107" s="228">
        <v>3.03</v>
      </c>
      <c r="DC107" s="228">
        <v>3.03</v>
      </c>
      <c r="DD107" s="228">
        <v>52.19</v>
      </c>
      <c r="DE107" s="228">
        <v>52.27</v>
      </c>
      <c r="DF107" s="228">
        <v>-12.2</v>
      </c>
      <c r="DG107" s="228">
        <v>-0.08</v>
      </c>
      <c r="DH107" s="228">
        <v>39.94</v>
      </c>
      <c r="DI107" s="228">
        <v>36.4</v>
      </c>
      <c r="DJ107" s="228">
        <v>3.54</v>
      </c>
      <c r="DK107" s="228">
        <v>3.54</v>
      </c>
      <c r="DL107" s="228">
        <v>40.07</v>
      </c>
      <c r="DM107" s="228">
        <v>37.71</v>
      </c>
      <c r="DN107" s="228">
        <v>2.36</v>
      </c>
      <c r="DO107" s="228">
        <v>2.36</v>
      </c>
      <c r="DP107" s="228">
        <v>0.52</v>
      </c>
      <c r="DQ107" s="228">
        <v>0.56000000000000005</v>
      </c>
      <c r="DR107" s="228">
        <v>-0.04</v>
      </c>
      <c r="DS107" s="229">
        <v>-7.1400000000000005E-2</v>
      </c>
      <c r="DT107" s="228">
        <v>900</v>
      </c>
      <c r="DU107" s="228">
        <v>800</v>
      </c>
      <c r="DV107" s="228">
        <v>0.67</v>
      </c>
      <c r="DW107" s="228">
        <v>0.75</v>
      </c>
      <c r="DX107" s="228">
        <v>-0.08</v>
      </c>
      <c r="DY107" s="229">
        <v>-0.1067</v>
      </c>
      <c r="DZ107" s="229">
        <v>0.15579999999999999</v>
      </c>
      <c r="EA107" s="230">
        <v>4885300</v>
      </c>
      <c r="EB107" s="229">
        <v>4.4000000000000003E-3</v>
      </c>
      <c r="EC107" s="229">
        <v>0.15579999999999999</v>
      </c>
      <c r="ED107" s="228">
        <v>1.29</v>
      </c>
      <c r="EE107" s="229">
        <v>1.5E-3</v>
      </c>
      <c r="EF107" s="230">
        <v>2514811</v>
      </c>
      <c r="EG107" s="230">
        <v>1527190</v>
      </c>
      <c r="EH107" s="229">
        <v>0.64670000000000005</v>
      </c>
      <c r="EI107" s="229">
        <v>0.31969999999999998</v>
      </c>
      <c r="EJ107" s="231">
        <v>306890.63</v>
      </c>
      <c r="EK107" s="231">
        <v>197405.29</v>
      </c>
      <c r="EL107" s="231">
        <v>158141.32</v>
      </c>
      <c r="EM107" s="228">
        <v>0</v>
      </c>
      <c r="EN107" s="231">
        <v>662437.24</v>
      </c>
      <c r="EO107" s="231">
        <v>923073.71</v>
      </c>
      <c r="EP107" s="231">
        <v>-260636.47</v>
      </c>
      <c r="EQ107" s="229">
        <v>-0.28239999999999998</v>
      </c>
      <c r="ER107" s="231">
        <v>184333</v>
      </c>
      <c r="ES107" s="231">
        <v>89397</v>
      </c>
      <c r="ET107" s="231">
        <v>364180</v>
      </c>
      <c r="EU107" s="231">
        <v>125014099</v>
      </c>
      <c r="EV107" s="231">
        <v>637911</v>
      </c>
      <c r="EW107" s="231">
        <v>620208</v>
      </c>
      <c r="EX107" s="231">
        <v>17703</v>
      </c>
      <c r="EY107" s="229">
        <v>2.8500000000000001E-2</v>
      </c>
      <c r="EZ107" s="229">
        <v>0.59599999999999997</v>
      </c>
      <c r="FA107" s="227" t="s">
        <v>567</v>
      </c>
      <c r="FB107" s="161">
        <f t="shared" si="1"/>
        <v>7119000</v>
      </c>
    </row>
    <row r="108" spans="1:158" ht="17.25" thickBot="1" x14ac:dyDescent="0.3">
      <c r="A108" s="226">
        <v>45860</v>
      </c>
      <c r="B108" s="227" t="s">
        <v>188</v>
      </c>
      <c r="C108" s="227" t="s">
        <v>473</v>
      </c>
      <c r="D108" s="228">
        <v>1700</v>
      </c>
      <c r="E108" s="228">
        <v>396.65</v>
      </c>
      <c r="F108" s="228">
        <v>405.15</v>
      </c>
      <c r="G108" s="228">
        <v>-8.5</v>
      </c>
      <c r="H108" s="229">
        <v>-2.1000000000000001E-2</v>
      </c>
      <c r="I108" s="228">
        <v>396.3</v>
      </c>
      <c r="J108" s="228">
        <v>404.15</v>
      </c>
      <c r="K108" s="228">
        <v>-7.85</v>
      </c>
      <c r="L108" s="229">
        <v>-1.9400000000000001E-2</v>
      </c>
      <c r="M108" s="228">
        <v>396.65</v>
      </c>
      <c r="N108" s="228">
        <v>405.15</v>
      </c>
      <c r="O108" s="228">
        <v>-8.5</v>
      </c>
      <c r="P108" s="229">
        <v>-2.1000000000000001E-2</v>
      </c>
      <c r="Q108" s="228">
        <v>398.65</v>
      </c>
      <c r="R108" s="228">
        <v>407.25</v>
      </c>
      <c r="S108" s="228">
        <v>-8.6</v>
      </c>
      <c r="T108" s="229">
        <v>-2.1100000000000001E-2</v>
      </c>
      <c r="U108" s="228">
        <v>0</v>
      </c>
      <c r="V108" s="228">
        <v>0</v>
      </c>
      <c r="W108" s="228">
        <v>0</v>
      </c>
      <c r="X108" s="229">
        <v>0</v>
      </c>
      <c r="Y108" s="228">
        <v>0.35</v>
      </c>
      <c r="Z108" s="228">
        <v>1</v>
      </c>
      <c r="AA108" s="228">
        <v>-0.65</v>
      </c>
      <c r="AB108" s="229">
        <v>8.9999999999999998E-4</v>
      </c>
      <c r="AC108" s="228">
        <v>0.35</v>
      </c>
      <c r="AD108" s="228">
        <v>1</v>
      </c>
      <c r="AE108" s="228">
        <v>-0.65</v>
      </c>
      <c r="AF108" s="229">
        <v>8.9999999999999998E-4</v>
      </c>
      <c r="AG108" s="228">
        <v>2.35</v>
      </c>
      <c r="AH108" s="228">
        <v>3.1</v>
      </c>
      <c r="AI108" s="228">
        <v>-0.75</v>
      </c>
      <c r="AJ108" s="229">
        <v>5.8999999999999999E-3</v>
      </c>
      <c r="AK108" s="228">
        <v>0</v>
      </c>
      <c r="AL108" s="228">
        <v>0</v>
      </c>
      <c r="AM108" s="228">
        <v>0</v>
      </c>
      <c r="AN108" s="229">
        <v>0</v>
      </c>
      <c r="AO108" s="228">
        <v>398.86</v>
      </c>
      <c r="AP108" s="228">
        <v>401.28</v>
      </c>
      <c r="AQ108" s="228">
        <v>0</v>
      </c>
      <c r="AR108" s="230">
        <v>5664400</v>
      </c>
      <c r="AS108" s="230">
        <v>5174800</v>
      </c>
      <c r="AT108" s="230">
        <v>489600</v>
      </c>
      <c r="AU108" s="229">
        <v>9.4600000000000004E-2</v>
      </c>
      <c r="AV108" s="230">
        <v>4406400</v>
      </c>
      <c r="AW108" s="230">
        <v>4078300</v>
      </c>
      <c r="AX108" s="230">
        <v>328100</v>
      </c>
      <c r="AY108" s="229">
        <v>8.0500000000000002E-2</v>
      </c>
      <c r="AZ108" s="230">
        <v>1173000</v>
      </c>
      <c r="BA108" s="230">
        <v>1077800</v>
      </c>
      <c r="BB108" s="230">
        <v>95200</v>
      </c>
      <c r="BC108" s="229">
        <v>8.8300000000000003E-2</v>
      </c>
      <c r="BD108" s="228">
        <v>0</v>
      </c>
      <c r="BE108" s="228">
        <v>0</v>
      </c>
      <c r="BF108" s="228">
        <v>0</v>
      </c>
      <c r="BG108" s="229">
        <v>0</v>
      </c>
      <c r="BH108" s="230">
        <v>10840900</v>
      </c>
      <c r="BI108" s="230">
        <v>10281600</v>
      </c>
      <c r="BJ108" s="230">
        <v>559300</v>
      </c>
      <c r="BK108" s="229">
        <v>5.4399999999999997E-2</v>
      </c>
      <c r="BL108" s="230">
        <v>4669900</v>
      </c>
      <c r="BM108" s="230">
        <v>4268700</v>
      </c>
      <c r="BN108" s="230">
        <v>401200</v>
      </c>
      <c r="BO108" s="229">
        <v>9.4E-2</v>
      </c>
      <c r="BP108" s="230">
        <v>21175200</v>
      </c>
      <c r="BQ108" s="230">
        <v>19725100</v>
      </c>
      <c r="BR108" s="230">
        <v>1450100</v>
      </c>
      <c r="BS108" s="229">
        <v>7.3499999999999996E-2</v>
      </c>
      <c r="BT108" s="230">
        <v>4963126</v>
      </c>
      <c r="BU108" s="230">
        <v>4344171</v>
      </c>
      <c r="BV108" s="230">
        <v>618955</v>
      </c>
      <c r="BW108" s="229">
        <v>0.14249999999999999</v>
      </c>
      <c r="BX108" s="230">
        <v>62546400</v>
      </c>
      <c r="BY108" s="230">
        <v>62405300</v>
      </c>
      <c r="BZ108" s="230">
        <v>141100</v>
      </c>
      <c r="CA108" s="229">
        <v>2.3E-3</v>
      </c>
      <c r="CB108" s="230">
        <v>59704000</v>
      </c>
      <c r="CC108" s="230">
        <v>60181700</v>
      </c>
      <c r="CD108" s="230">
        <v>-477700</v>
      </c>
      <c r="CE108" s="229">
        <v>-7.9000000000000008E-3</v>
      </c>
      <c r="CF108" s="230">
        <v>2657100</v>
      </c>
      <c r="CG108" s="230">
        <v>2065500</v>
      </c>
      <c r="CH108" s="230">
        <v>591600</v>
      </c>
      <c r="CI108" s="229">
        <v>0.28639999999999999</v>
      </c>
      <c r="CJ108" s="228">
        <v>0</v>
      </c>
      <c r="CK108" s="228">
        <v>0</v>
      </c>
      <c r="CL108" s="228">
        <v>0</v>
      </c>
      <c r="CM108" s="229">
        <v>0</v>
      </c>
      <c r="CN108" s="230">
        <v>16204400</v>
      </c>
      <c r="CO108" s="230">
        <v>15923900</v>
      </c>
      <c r="CP108" s="230">
        <v>280500</v>
      </c>
      <c r="CQ108" s="229">
        <v>1.7600000000000001E-2</v>
      </c>
      <c r="CR108" s="230">
        <v>9395900</v>
      </c>
      <c r="CS108" s="230">
        <v>9069500</v>
      </c>
      <c r="CT108" s="230">
        <v>326400</v>
      </c>
      <c r="CU108" s="229">
        <v>3.5999999999999997E-2</v>
      </c>
      <c r="CV108" s="230">
        <v>88146700</v>
      </c>
      <c r="CW108" s="230">
        <v>87398700</v>
      </c>
      <c r="CX108" s="230">
        <v>748000</v>
      </c>
      <c r="CY108" s="229">
        <v>8.6E-3</v>
      </c>
      <c r="CZ108" s="228">
        <v>30.98</v>
      </c>
      <c r="DA108" s="228">
        <v>28.93</v>
      </c>
      <c r="DB108" s="228">
        <v>2.0499999999999998</v>
      </c>
      <c r="DC108" s="228">
        <v>2.0499999999999998</v>
      </c>
      <c r="DD108" s="228">
        <v>41.61</v>
      </c>
      <c r="DE108" s="228">
        <v>41.63</v>
      </c>
      <c r="DF108" s="228">
        <v>-10.63</v>
      </c>
      <c r="DG108" s="228">
        <v>-0.02</v>
      </c>
      <c r="DH108" s="228">
        <v>31.8</v>
      </c>
      <c r="DI108" s="228">
        <v>29.02</v>
      </c>
      <c r="DJ108" s="228">
        <v>2.78</v>
      </c>
      <c r="DK108" s="228">
        <v>2.78</v>
      </c>
      <c r="DL108" s="228">
        <v>29.09</v>
      </c>
      <c r="DM108" s="228">
        <v>28.73</v>
      </c>
      <c r="DN108" s="228">
        <v>0.36</v>
      </c>
      <c r="DO108" s="228">
        <v>0.36</v>
      </c>
      <c r="DP108" s="228">
        <v>0.57999999999999996</v>
      </c>
      <c r="DQ108" s="228">
        <v>0.56999999999999995</v>
      </c>
      <c r="DR108" s="228">
        <v>0.01</v>
      </c>
      <c r="DS108" s="229">
        <v>1.7500000000000002E-2</v>
      </c>
      <c r="DT108" s="228">
        <v>450</v>
      </c>
      <c r="DU108" s="228">
        <v>400</v>
      </c>
      <c r="DV108" s="228">
        <v>0.43</v>
      </c>
      <c r="DW108" s="228">
        <v>0.42</v>
      </c>
      <c r="DX108" s="228">
        <v>0.01</v>
      </c>
      <c r="DY108" s="229">
        <v>2.3800000000000002E-2</v>
      </c>
      <c r="DZ108" s="229">
        <v>4.2500000000000003E-2</v>
      </c>
      <c r="EA108" s="230">
        <v>2065500</v>
      </c>
      <c r="EB108" s="229">
        <v>5.0000000000000001E-3</v>
      </c>
      <c r="EC108" s="229">
        <v>4.2500000000000003E-2</v>
      </c>
      <c r="ED108" s="228">
        <v>2.42</v>
      </c>
      <c r="EE108" s="229">
        <v>6.1000000000000004E-3</v>
      </c>
      <c r="EF108" s="230">
        <v>3128163</v>
      </c>
      <c r="EG108" s="230">
        <v>2657563</v>
      </c>
      <c r="EH108" s="229">
        <v>0.17710000000000001</v>
      </c>
      <c r="EI108" s="229">
        <v>0.63029999999999997</v>
      </c>
      <c r="EJ108" s="231">
        <v>45441.91</v>
      </c>
      <c r="EK108" s="231">
        <v>18687.22</v>
      </c>
      <c r="EL108" s="231">
        <v>22625.21</v>
      </c>
      <c r="EM108" s="228">
        <v>0</v>
      </c>
      <c r="EN108" s="231">
        <v>86754.34</v>
      </c>
      <c r="EO108" s="231">
        <v>81220.070000000007</v>
      </c>
      <c r="EP108" s="231">
        <v>5534.27</v>
      </c>
      <c r="EQ108" s="229">
        <v>6.8099999999999994E-2</v>
      </c>
      <c r="ER108" s="231">
        <v>68738</v>
      </c>
      <c r="ES108" s="231">
        <v>36962</v>
      </c>
      <c r="ET108" s="231">
        <v>248152</v>
      </c>
      <c r="EU108" s="231">
        <v>263606423</v>
      </c>
      <c r="EV108" s="231">
        <v>353851</v>
      </c>
      <c r="EW108" s="231">
        <v>356287</v>
      </c>
      <c r="EX108" s="231">
        <v>-2436</v>
      </c>
      <c r="EY108" s="229">
        <v>-6.7999999999999996E-3</v>
      </c>
      <c r="EZ108" s="229">
        <v>0.33439999999999998</v>
      </c>
      <c r="FA108" s="227" t="s">
        <v>567</v>
      </c>
      <c r="FB108" s="161">
        <f t="shared" si="1"/>
        <v>2842400</v>
      </c>
    </row>
    <row r="109" spans="1:158" ht="17.25" thickBot="1" x14ac:dyDescent="0.3">
      <c r="A109" s="226">
        <v>45860</v>
      </c>
      <c r="B109" s="227" t="s">
        <v>221</v>
      </c>
      <c r="C109" s="227" t="s">
        <v>240</v>
      </c>
      <c r="D109" s="228">
        <v>400</v>
      </c>
      <c r="E109" s="231">
        <v>1576.5</v>
      </c>
      <c r="F109" s="231">
        <v>1588.3</v>
      </c>
      <c r="G109" s="228">
        <v>-11.8</v>
      </c>
      <c r="H109" s="229">
        <v>-7.4000000000000003E-3</v>
      </c>
      <c r="I109" s="231">
        <v>1570.9</v>
      </c>
      <c r="J109" s="231">
        <v>1584.3</v>
      </c>
      <c r="K109" s="228">
        <v>-13.4</v>
      </c>
      <c r="L109" s="229">
        <v>-8.5000000000000006E-3</v>
      </c>
      <c r="M109" s="231">
        <v>1576.5</v>
      </c>
      <c r="N109" s="231">
        <v>1588.3</v>
      </c>
      <c r="O109" s="228">
        <v>-11.8</v>
      </c>
      <c r="P109" s="229">
        <v>-7.4000000000000003E-3</v>
      </c>
      <c r="Q109" s="231">
        <v>1583.6</v>
      </c>
      <c r="R109" s="231">
        <v>1596.1</v>
      </c>
      <c r="S109" s="228">
        <v>-12.5</v>
      </c>
      <c r="T109" s="229">
        <v>-7.7999999999999996E-3</v>
      </c>
      <c r="U109" s="228">
        <v>0</v>
      </c>
      <c r="V109" s="228">
        <v>0</v>
      </c>
      <c r="W109" s="228">
        <v>0</v>
      </c>
      <c r="X109" s="229">
        <v>0</v>
      </c>
      <c r="Y109" s="228">
        <v>5.6</v>
      </c>
      <c r="Z109" s="228">
        <v>4</v>
      </c>
      <c r="AA109" s="228">
        <v>1.6</v>
      </c>
      <c r="AB109" s="229">
        <v>3.5999999999999999E-3</v>
      </c>
      <c r="AC109" s="228">
        <v>5.6</v>
      </c>
      <c r="AD109" s="228">
        <v>4</v>
      </c>
      <c r="AE109" s="228">
        <v>1.6</v>
      </c>
      <c r="AF109" s="229">
        <v>3.5999999999999999E-3</v>
      </c>
      <c r="AG109" s="228">
        <v>12.7</v>
      </c>
      <c r="AH109" s="228">
        <v>11.8</v>
      </c>
      <c r="AI109" s="228">
        <v>0.9</v>
      </c>
      <c r="AJ109" s="229">
        <v>8.0999999999999996E-3</v>
      </c>
      <c r="AK109" s="228">
        <v>0</v>
      </c>
      <c r="AL109" s="228">
        <v>0</v>
      </c>
      <c r="AM109" s="228">
        <v>0</v>
      </c>
      <c r="AN109" s="229">
        <v>0</v>
      </c>
      <c r="AO109" s="231">
        <v>1580.54</v>
      </c>
      <c r="AP109" s="231">
        <v>1586.94</v>
      </c>
      <c r="AQ109" s="228">
        <v>0</v>
      </c>
      <c r="AR109" s="230">
        <v>10107200</v>
      </c>
      <c r="AS109" s="230">
        <v>6476800</v>
      </c>
      <c r="AT109" s="230">
        <v>3630400</v>
      </c>
      <c r="AU109" s="229">
        <v>0.5605</v>
      </c>
      <c r="AV109" s="230">
        <v>8248000</v>
      </c>
      <c r="AW109" s="230">
        <v>5755600</v>
      </c>
      <c r="AX109" s="230">
        <v>2492400</v>
      </c>
      <c r="AY109" s="229">
        <v>0.433</v>
      </c>
      <c r="AZ109" s="230">
        <v>1814400</v>
      </c>
      <c r="BA109" s="230">
        <v>686800</v>
      </c>
      <c r="BB109" s="230">
        <v>1127600</v>
      </c>
      <c r="BC109" s="229">
        <v>1.6417999999999999</v>
      </c>
      <c r="BD109" s="228">
        <v>0</v>
      </c>
      <c r="BE109" s="228">
        <v>0</v>
      </c>
      <c r="BF109" s="228">
        <v>0</v>
      </c>
      <c r="BG109" s="229">
        <v>0</v>
      </c>
      <c r="BH109" s="230">
        <v>26110000</v>
      </c>
      <c r="BI109" s="230">
        <v>16598400</v>
      </c>
      <c r="BJ109" s="230">
        <v>9511600</v>
      </c>
      <c r="BK109" s="229">
        <v>0.57299999999999995</v>
      </c>
      <c r="BL109" s="230">
        <v>14481600</v>
      </c>
      <c r="BM109" s="230">
        <v>8774400</v>
      </c>
      <c r="BN109" s="230">
        <v>5707200</v>
      </c>
      <c r="BO109" s="229">
        <v>0.65039999999999998</v>
      </c>
      <c r="BP109" s="230">
        <v>50698800</v>
      </c>
      <c r="BQ109" s="230">
        <v>31849600</v>
      </c>
      <c r="BR109" s="230">
        <v>18849200</v>
      </c>
      <c r="BS109" s="229">
        <v>0.59179999999999999</v>
      </c>
      <c r="BT109" s="230">
        <v>9045240</v>
      </c>
      <c r="BU109" s="230">
        <v>3803133</v>
      </c>
      <c r="BV109" s="230">
        <v>5242107</v>
      </c>
      <c r="BW109" s="229">
        <v>1.3784000000000001</v>
      </c>
      <c r="BX109" s="230">
        <v>75992000</v>
      </c>
      <c r="BY109" s="230">
        <v>73894400</v>
      </c>
      <c r="BZ109" s="230">
        <v>2097600</v>
      </c>
      <c r="CA109" s="229">
        <v>2.8400000000000002E-2</v>
      </c>
      <c r="CB109" s="230">
        <v>68068400</v>
      </c>
      <c r="CC109" s="230">
        <v>66703600</v>
      </c>
      <c r="CD109" s="230">
        <v>1364800</v>
      </c>
      <c r="CE109" s="229">
        <v>2.0500000000000001E-2</v>
      </c>
      <c r="CF109" s="230">
        <v>4928800</v>
      </c>
      <c r="CG109" s="230">
        <v>4212000</v>
      </c>
      <c r="CH109" s="230">
        <v>716800</v>
      </c>
      <c r="CI109" s="229">
        <v>0.17019999999999999</v>
      </c>
      <c r="CJ109" s="228">
        <v>0</v>
      </c>
      <c r="CK109" s="228">
        <v>0</v>
      </c>
      <c r="CL109" s="228">
        <v>0</v>
      </c>
      <c r="CM109" s="229">
        <v>0</v>
      </c>
      <c r="CN109" s="230">
        <v>28663200</v>
      </c>
      <c r="CO109" s="230">
        <v>26497600</v>
      </c>
      <c r="CP109" s="230">
        <v>2165600</v>
      </c>
      <c r="CQ109" s="229">
        <v>8.1699999999999995E-2</v>
      </c>
      <c r="CR109" s="230">
        <v>15308000</v>
      </c>
      <c r="CS109" s="230">
        <v>13906800</v>
      </c>
      <c r="CT109" s="230">
        <v>1401200</v>
      </c>
      <c r="CU109" s="229">
        <v>0.1008</v>
      </c>
      <c r="CV109" s="230">
        <v>119963200</v>
      </c>
      <c r="CW109" s="230">
        <v>114298800</v>
      </c>
      <c r="CX109" s="230">
        <v>5664400</v>
      </c>
      <c r="CY109" s="229">
        <v>4.9599999999999998E-2</v>
      </c>
      <c r="CZ109" s="228">
        <v>38.380000000000003</v>
      </c>
      <c r="DA109" s="228">
        <v>34.86</v>
      </c>
      <c r="DB109" s="228">
        <v>3.52</v>
      </c>
      <c r="DC109" s="228">
        <v>3.52</v>
      </c>
      <c r="DD109" s="228">
        <v>29.64</v>
      </c>
      <c r="DE109" s="228">
        <v>29.7</v>
      </c>
      <c r="DF109" s="228">
        <v>8.74</v>
      </c>
      <c r="DG109" s="228">
        <v>-0.06</v>
      </c>
      <c r="DH109" s="228">
        <v>37.64</v>
      </c>
      <c r="DI109" s="228">
        <v>34.06</v>
      </c>
      <c r="DJ109" s="228">
        <v>3.58</v>
      </c>
      <c r="DK109" s="228">
        <v>3.58</v>
      </c>
      <c r="DL109" s="228">
        <v>39.71</v>
      </c>
      <c r="DM109" s="228">
        <v>36.36</v>
      </c>
      <c r="DN109" s="228">
        <v>3.35</v>
      </c>
      <c r="DO109" s="228">
        <v>3.35</v>
      </c>
      <c r="DP109" s="228">
        <v>0.53</v>
      </c>
      <c r="DQ109" s="228">
        <v>0.52</v>
      </c>
      <c r="DR109" s="228">
        <v>0.01</v>
      </c>
      <c r="DS109" s="229">
        <v>1.9199999999999998E-2</v>
      </c>
      <c r="DT109" s="231">
        <v>1600</v>
      </c>
      <c r="DU109" s="231">
        <v>1600</v>
      </c>
      <c r="DV109" s="228">
        <v>0.55000000000000004</v>
      </c>
      <c r="DW109" s="228">
        <v>0.53</v>
      </c>
      <c r="DX109" s="228">
        <v>0.02</v>
      </c>
      <c r="DY109" s="229">
        <v>3.7699999999999997E-2</v>
      </c>
      <c r="DZ109" s="229">
        <v>6.4899999999999999E-2</v>
      </c>
      <c r="EA109" s="230">
        <v>4212000</v>
      </c>
      <c r="EB109" s="229">
        <v>4.4999999999999997E-3</v>
      </c>
      <c r="EC109" s="229">
        <v>6.4899999999999999E-2</v>
      </c>
      <c r="ED109" s="228">
        <v>6.4</v>
      </c>
      <c r="EE109" s="229">
        <v>4.0000000000000001E-3</v>
      </c>
      <c r="EF109" s="230">
        <v>6200412</v>
      </c>
      <c r="EG109" s="230">
        <v>2266194</v>
      </c>
      <c r="EH109" s="229">
        <v>1.736</v>
      </c>
      <c r="EI109" s="229">
        <v>0.6855</v>
      </c>
      <c r="EJ109" s="231">
        <v>433256.24</v>
      </c>
      <c r="EK109" s="231">
        <v>224934.67</v>
      </c>
      <c r="EL109" s="231">
        <v>159871.73000000001</v>
      </c>
      <c r="EM109" s="228">
        <v>0</v>
      </c>
      <c r="EN109" s="231">
        <v>818062.64</v>
      </c>
      <c r="EO109" s="231">
        <v>514874.08</v>
      </c>
      <c r="EP109" s="231">
        <v>303188.56</v>
      </c>
      <c r="EQ109" s="229">
        <v>0.58889999999999998</v>
      </c>
      <c r="ER109" s="231">
        <v>475156</v>
      </c>
      <c r="ES109" s="231">
        <v>235974</v>
      </c>
      <c r="ET109" s="231">
        <v>1198909</v>
      </c>
      <c r="EU109" s="231">
        <v>632343512</v>
      </c>
      <c r="EV109" s="231">
        <v>1910039</v>
      </c>
      <c r="EW109" s="231">
        <v>1829776</v>
      </c>
      <c r="EX109" s="231">
        <v>80263</v>
      </c>
      <c r="EY109" s="229">
        <v>4.3900000000000002E-2</v>
      </c>
      <c r="EZ109" s="229">
        <v>0.18970000000000001</v>
      </c>
      <c r="FA109" s="227" t="s">
        <v>567</v>
      </c>
      <c r="FB109" s="161">
        <f t="shared" si="1"/>
        <v>7923600</v>
      </c>
    </row>
    <row r="110" spans="1:158" ht="17.25" thickBot="1" x14ac:dyDescent="0.3">
      <c r="A110" s="226">
        <v>45860</v>
      </c>
      <c r="B110" s="227" t="s">
        <v>161</v>
      </c>
      <c r="C110" s="227" t="s">
        <v>671</v>
      </c>
      <c r="D110" s="228">
        <v>3225</v>
      </c>
      <c r="E110" s="228">
        <v>165.8</v>
      </c>
      <c r="F110" s="228">
        <v>167.51</v>
      </c>
      <c r="G110" s="228">
        <v>-1.71</v>
      </c>
      <c r="H110" s="229">
        <v>-1.0200000000000001E-2</v>
      </c>
      <c r="I110" s="228">
        <v>165.53</v>
      </c>
      <c r="J110" s="228">
        <v>166.85</v>
      </c>
      <c r="K110" s="228">
        <v>-1.32</v>
      </c>
      <c r="L110" s="229">
        <v>-7.9000000000000008E-3</v>
      </c>
      <c r="M110" s="228">
        <v>165.8</v>
      </c>
      <c r="N110" s="228">
        <v>167.51</v>
      </c>
      <c r="O110" s="228">
        <v>-1.71</v>
      </c>
      <c r="P110" s="229">
        <v>-1.0200000000000001E-2</v>
      </c>
      <c r="Q110" s="228">
        <v>166.13</v>
      </c>
      <c r="R110" s="228">
        <v>167.67</v>
      </c>
      <c r="S110" s="228">
        <v>-1.54</v>
      </c>
      <c r="T110" s="229">
        <v>-9.1999999999999998E-3</v>
      </c>
      <c r="U110" s="228">
        <v>0</v>
      </c>
      <c r="V110" s="228">
        <v>0</v>
      </c>
      <c r="W110" s="228">
        <v>0</v>
      </c>
      <c r="X110" s="229">
        <v>0</v>
      </c>
      <c r="Y110" s="228">
        <v>0.27</v>
      </c>
      <c r="Z110" s="228">
        <v>0.66</v>
      </c>
      <c r="AA110" s="228">
        <v>-0.39</v>
      </c>
      <c r="AB110" s="229">
        <v>1.6000000000000001E-3</v>
      </c>
      <c r="AC110" s="228">
        <v>0.27</v>
      </c>
      <c r="AD110" s="228">
        <v>0.66</v>
      </c>
      <c r="AE110" s="228">
        <v>-0.39</v>
      </c>
      <c r="AF110" s="229">
        <v>1.6000000000000001E-3</v>
      </c>
      <c r="AG110" s="228">
        <v>0.6</v>
      </c>
      <c r="AH110" s="228">
        <v>0.82</v>
      </c>
      <c r="AI110" s="228">
        <v>-0.22</v>
      </c>
      <c r="AJ110" s="229">
        <v>3.5999999999999999E-3</v>
      </c>
      <c r="AK110" s="228">
        <v>0</v>
      </c>
      <c r="AL110" s="228">
        <v>0</v>
      </c>
      <c r="AM110" s="228">
        <v>0</v>
      </c>
      <c r="AN110" s="229">
        <v>0</v>
      </c>
      <c r="AO110" s="228">
        <v>166.05</v>
      </c>
      <c r="AP110" s="228">
        <v>165.99</v>
      </c>
      <c r="AQ110" s="228">
        <v>0</v>
      </c>
      <c r="AR110" s="230">
        <v>5259975</v>
      </c>
      <c r="AS110" s="230">
        <v>5766300</v>
      </c>
      <c r="AT110" s="230">
        <v>-506325</v>
      </c>
      <c r="AU110" s="229">
        <v>-8.7800000000000003E-2</v>
      </c>
      <c r="AV110" s="230">
        <v>3786150</v>
      </c>
      <c r="AW110" s="230">
        <v>4592400</v>
      </c>
      <c r="AX110" s="230">
        <v>-806250</v>
      </c>
      <c r="AY110" s="229">
        <v>-0.17560000000000001</v>
      </c>
      <c r="AZ110" s="230">
        <v>1457700</v>
      </c>
      <c r="BA110" s="230">
        <v>1135200</v>
      </c>
      <c r="BB110" s="230">
        <v>322500</v>
      </c>
      <c r="BC110" s="229">
        <v>0.28410000000000002</v>
      </c>
      <c r="BD110" s="228">
        <v>0</v>
      </c>
      <c r="BE110" s="228">
        <v>0</v>
      </c>
      <c r="BF110" s="228">
        <v>0</v>
      </c>
      <c r="BG110" s="229">
        <v>0</v>
      </c>
      <c r="BH110" s="230">
        <v>5401875</v>
      </c>
      <c r="BI110" s="230">
        <v>8610750</v>
      </c>
      <c r="BJ110" s="230">
        <v>-3208875</v>
      </c>
      <c r="BK110" s="229">
        <v>-0.37269999999999998</v>
      </c>
      <c r="BL110" s="230">
        <v>4779450</v>
      </c>
      <c r="BM110" s="230">
        <v>4592400</v>
      </c>
      <c r="BN110" s="230">
        <v>187050</v>
      </c>
      <c r="BO110" s="229">
        <v>4.07E-2</v>
      </c>
      <c r="BP110" s="230">
        <v>15441300</v>
      </c>
      <c r="BQ110" s="230">
        <v>18969450</v>
      </c>
      <c r="BR110" s="230">
        <v>-3528150</v>
      </c>
      <c r="BS110" s="229">
        <v>-0.186</v>
      </c>
      <c r="BT110" s="230">
        <v>3142514</v>
      </c>
      <c r="BU110" s="230">
        <v>4751376</v>
      </c>
      <c r="BV110" s="230">
        <v>-1608862</v>
      </c>
      <c r="BW110" s="229">
        <v>-0.33860000000000001</v>
      </c>
      <c r="BX110" s="230">
        <v>45617625</v>
      </c>
      <c r="BY110" s="230">
        <v>44991975</v>
      </c>
      <c r="BZ110" s="230">
        <v>625650</v>
      </c>
      <c r="CA110" s="229">
        <v>1.3899999999999999E-2</v>
      </c>
      <c r="CB110" s="230">
        <v>38158200</v>
      </c>
      <c r="CC110" s="230">
        <v>38022750</v>
      </c>
      <c r="CD110" s="230">
        <v>135450</v>
      </c>
      <c r="CE110" s="229">
        <v>3.5999999999999999E-3</v>
      </c>
      <c r="CF110" s="230">
        <v>6904725</v>
      </c>
      <c r="CG110" s="230">
        <v>6414525</v>
      </c>
      <c r="CH110" s="230">
        <v>490200</v>
      </c>
      <c r="CI110" s="229">
        <v>7.6399999999999996E-2</v>
      </c>
      <c r="CJ110" s="228">
        <v>0</v>
      </c>
      <c r="CK110" s="228">
        <v>0</v>
      </c>
      <c r="CL110" s="228">
        <v>0</v>
      </c>
      <c r="CM110" s="229">
        <v>0</v>
      </c>
      <c r="CN110" s="230">
        <v>18975900</v>
      </c>
      <c r="CO110" s="230">
        <v>20053050</v>
      </c>
      <c r="CP110" s="230">
        <v>-1077150</v>
      </c>
      <c r="CQ110" s="229">
        <v>-5.3699999999999998E-2</v>
      </c>
      <c r="CR110" s="230">
        <v>9881400</v>
      </c>
      <c r="CS110" s="230">
        <v>9255750</v>
      </c>
      <c r="CT110" s="230">
        <v>625650</v>
      </c>
      <c r="CU110" s="229">
        <v>6.7599999999999993E-2</v>
      </c>
      <c r="CV110" s="230">
        <v>74474925</v>
      </c>
      <c r="CW110" s="230">
        <v>74300775</v>
      </c>
      <c r="CX110" s="230">
        <v>174150</v>
      </c>
      <c r="CY110" s="229">
        <v>2.3E-3</v>
      </c>
      <c r="CZ110" s="228">
        <v>37.200000000000003</v>
      </c>
      <c r="DA110" s="228">
        <v>35.61</v>
      </c>
      <c r="DB110" s="228">
        <v>1.59</v>
      </c>
      <c r="DC110" s="228">
        <v>1.59</v>
      </c>
      <c r="DD110" s="228">
        <v>62.93</v>
      </c>
      <c r="DE110" s="228">
        <v>63.08</v>
      </c>
      <c r="DF110" s="228">
        <v>-25.73</v>
      </c>
      <c r="DG110" s="228">
        <v>-0.15</v>
      </c>
      <c r="DH110" s="228">
        <v>37.18</v>
      </c>
      <c r="DI110" s="228">
        <v>35.9</v>
      </c>
      <c r="DJ110" s="228">
        <v>1.28</v>
      </c>
      <c r="DK110" s="228">
        <v>1.28</v>
      </c>
      <c r="DL110" s="228">
        <v>37.22</v>
      </c>
      <c r="DM110" s="228">
        <v>35.049999999999997</v>
      </c>
      <c r="DN110" s="228">
        <v>2.17</v>
      </c>
      <c r="DO110" s="228">
        <v>2.17</v>
      </c>
      <c r="DP110" s="228">
        <v>0.52</v>
      </c>
      <c r="DQ110" s="228">
        <v>0.46</v>
      </c>
      <c r="DR110" s="228">
        <v>0.06</v>
      </c>
      <c r="DS110" s="229">
        <v>0.13039999999999999</v>
      </c>
      <c r="DT110" s="228">
        <v>180</v>
      </c>
      <c r="DU110" s="228">
        <v>160</v>
      </c>
      <c r="DV110" s="228">
        <v>0.88</v>
      </c>
      <c r="DW110" s="228">
        <v>0.53</v>
      </c>
      <c r="DX110" s="228">
        <v>0.35</v>
      </c>
      <c r="DY110" s="229">
        <v>0.66039999999999999</v>
      </c>
      <c r="DZ110" s="229">
        <v>0.15140000000000001</v>
      </c>
      <c r="EA110" s="230">
        <v>6414525</v>
      </c>
      <c r="EB110" s="229">
        <v>2E-3</v>
      </c>
      <c r="EC110" s="229">
        <v>0.15140000000000001</v>
      </c>
      <c r="ED110" s="228">
        <v>-0.06</v>
      </c>
      <c r="EE110" s="229">
        <v>-4.0000000000000002E-4</v>
      </c>
      <c r="EF110" s="230">
        <v>1583557</v>
      </c>
      <c r="EG110" s="230">
        <v>1771520</v>
      </c>
      <c r="EH110" s="229">
        <v>-0.1061</v>
      </c>
      <c r="EI110" s="229">
        <v>0.50390000000000001</v>
      </c>
      <c r="EJ110" s="231">
        <v>9596.86</v>
      </c>
      <c r="EK110" s="231">
        <v>7805.35</v>
      </c>
      <c r="EL110" s="231">
        <v>8733.36</v>
      </c>
      <c r="EM110" s="228">
        <v>0</v>
      </c>
      <c r="EN110" s="231">
        <v>26135.57</v>
      </c>
      <c r="EO110" s="231">
        <v>32387.94</v>
      </c>
      <c r="EP110" s="231">
        <v>-6252.37</v>
      </c>
      <c r="EQ110" s="229">
        <v>-0.193</v>
      </c>
      <c r="ER110" s="231">
        <v>34725</v>
      </c>
      <c r="ES110" s="231">
        <v>16599</v>
      </c>
      <c r="ET110" s="231">
        <v>75660</v>
      </c>
      <c r="EU110" s="231">
        <v>134884086</v>
      </c>
      <c r="EV110" s="231">
        <v>126983</v>
      </c>
      <c r="EW110" s="231">
        <v>127677</v>
      </c>
      <c r="EX110" s="228">
        <v>-694</v>
      </c>
      <c r="EY110" s="229">
        <v>-5.4000000000000003E-3</v>
      </c>
      <c r="EZ110" s="229">
        <v>0.55210000000000004</v>
      </c>
      <c r="FA110" s="227" t="s">
        <v>567</v>
      </c>
      <c r="FB110" s="161">
        <f t="shared" si="1"/>
        <v>7459425</v>
      </c>
    </row>
    <row r="111" spans="1:158" ht="17.25" thickBot="1" x14ac:dyDescent="0.3">
      <c r="A111" s="226">
        <v>45860</v>
      </c>
      <c r="B111" s="227" t="s">
        <v>193</v>
      </c>
      <c r="C111" s="227" t="s">
        <v>241</v>
      </c>
      <c r="D111" s="228">
        <v>4875</v>
      </c>
      <c r="E111" s="228">
        <v>152.01</v>
      </c>
      <c r="F111" s="228">
        <v>151.19</v>
      </c>
      <c r="G111" s="228">
        <v>0.82</v>
      </c>
      <c r="H111" s="229">
        <v>5.4000000000000003E-3</v>
      </c>
      <c r="I111" s="228">
        <v>151.97999999999999</v>
      </c>
      <c r="J111" s="228">
        <v>151.07</v>
      </c>
      <c r="K111" s="228">
        <v>0.91</v>
      </c>
      <c r="L111" s="229">
        <v>6.0000000000000001E-3</v>
      </c>
      <c r="M111" s="228">
        <v>152.01</v>
      </c>
      <c r="N111" s="228">
        <v>151.19</v>
      </c>
      <c r="O111" s="228">
        <v>0.82</v>
      </c>
      <c r="P111" s="229">
        <v>5.4000000000000003E-3</v>
      </c>
      <c r="Q111" s="228">
        <v>152.6</v>
      </c>
      <c r="R111" s="228">
        <v>151.77000000000001</v>
      </c>
      <c r="S111" s="228">
        <v>0.83</v>
      </c>
      <c r="T111" s="229">
        <v>5.4999999999999997E-3</v>
      </c>
      <c r="U111" s="228">
        <v>0</v>
      </c>
      <c r="V111" s="228">
        <v>0</v>
      </c>
      <c r="W111" s="228">
        <v>0</v>
      </c>
      <c r="X111" s="229">
        <v>0</v>
      </c>
      <c r="Y111" s="228">
        <v>0.03</v>
      </c>
      <c r="Z111" s="228">
        <v>0.12</v>
      </c>
      <c r="AA111" s="228">
        <v>-0.09</v>
      </c>
      <c r="AB111" s="229">
        <v>2.0000000000000001E-4</v>
      </c>
      <c r="AC111" s="228">
        <v>0.03</v>
      </c>
      <c r="AD111" s="228">
        <v>0.12</v>
      </c>
      <c r="AE111" s="228">
        <v>-0.09</v>
      </c>
      <c r="AF111" s="229">
        <v>2.0000000000000001E-4</v>
      </c>
      <c r="AG111" s="228">
        <v>0.62</v>
      </c>
      <c r="AH111" s="228">
        <v>0.7</v>
      </c>
      <c r="AI111" s="228">
        <v>-0.08</v>
      </c>
      <c r="AJ111" s="229">
        <v>4.1000000000000003E-3</v>
      </c>
      <c r="AK111" s="228">
        <v>0</v>
      </c>
      <c r="AL111" s="228">
        <v>0</v>
      </c>
      <c r="AM111" s="228">
        <v>0</v>
      </c>
      <c r="AN111" s="229">
        <v>0</v>
      </c>
      <c r="AO111" s="228">
        <v>151.85</v>
      </c>
      <c r="AP111" s="228">
        <v>152.36000000000001</v>
      </c>
      <c r="AQ111" s="228">
        <v>0</v>
      </c>
      <c r="AR111" s="230">
        <v>15785250</v>
      </c>
      <c r="AS111" s="230">
        <v>9389250</v>
      </c>
      <c r="AT111" s="230">
        <v>6396000</v>
      </c>
      <c r="AU111" s="229">
        <v>0.68120000000000003</v>
      </c>
      <c r="AV111" s="230">
        <v>12192375</v>
      </c>
      <c r="AW111" s="230">
        <v>6683625</v>
      </c>
      <c r="AX111" s="230">
        <v>5508750</v>
      </c>
      <c r="AY111" s="229">
        <v>0.82420000000000004</v>
      </c>
      <c r="AZ111" s="230">
        <v>3402750</v>
      </c>
      <c r="BA111" s="230">
        <v>2174250</v>
      </c>
      <c r="BB111" s="230">
        <v>1228500</v>
      </c>
      <c r="BC111" s="229">
        <v>0.56499999999999995</v>
      </c>
      <c r="BD111" s="228">
        <v>0</v>
      </c>
      <c r="BE111" s="228">
        <v>0</v>
      </c>
      <c r="BF111" s="228">
        <v>0</v>
      </c>
      <c r="BG111" s="229">
        <v>0</v>
      </c>
      <c r="BH111" s="230">
        <v>46371000</v>
      </c>
      <c r="BI111" s="230">
        <v>28494375</v>
      </c>
      <c r="BJ111" s="230">
        <v>17876625</v>
      </c>
      <c r="BK111" s="229">
        <v>0.62739999999999996</v>
      </c>
      <c r="BL111" s="230">
        <v>34753875</v>
      </c>
      <c r="BM111" s="230">
        <v>16350750</v>
      </c>
      <c r="BN111" s="230">
        <v>18403125</v>
      </c>
      <c r="BO111" s="229">
        <v>1.1254999999999999</v>
      </c>
      <c r="BP111" s="230">
        <v>96910125</v>
      </c>
      <c r="BQ111" s="230">
        <v>54234375</v>
      </c>
      <c r="BR111" s="230">
        <v>42675750</v>
      </c>
      <c r="BS111" s="229">
        <v>0.78690000000000004</v>
      </c>
      <c r="BT111" s="230">
        <v>11756919</v>
      </c>
      <c r="BU111" s="230">
        <v>5386748</v>
      </c>
      <c r="BV111" s="230">
        <v>6370171</v>
      </c>
      <c r="BW111" s="229">
        <v>1.1826000000000001</v>
      </c>
      <c r="BX111" s="230">
        <v>92810250</v>
      </c>
      <c r="BY111" s="230">
        <v>93205125</v>
      </c>
      <c r="BZ111" s="230">
        <v>-394875</v>
      </c>
      <c r="CA111" s="229">
        <v>-4.1999999999999997E-3</v>
      </c>
      <c r="CB111" s="230">
        <v>81763500</v>
      </c>
      <c r="CC111" s="230">
        <v>83820750</v>
      </c>
      <c r="CD111" s="230">
        <v>-2057250</v>
      </c>
      <c r="CE111" s="229">
        <v>-2.4500000000000001E-2</v>
      </c>
      <c r="CF111" s="230">
        <v>9901125</v>
      </c>
      <c r="CG111" s="230">
        <v>8204625</v>
      </c>
      <c r="CH111" s="230">
        <v>1696500</v>
      </c>
      <c r="CI111" s="229">
        <v>0.20680000000000001</v>
      </c>
      <c r="CJ111" s="228">
        <v>0</v>
      </c>
      <c r="CK111" s="228">
        <v>0</v>
      </c>
      <c r="CL111" s="228">
        <v>0</v>
      </c>
      <c r="CM111" s="229">
        <v>0</v>
      </c>
      <c r="CN111" s="230">
        <v>67435875</v>
      </c>
      <c r="CO111" s="230">
        <v>67650375</v>
      </c>
      <c r="CP111" s="230">
        <v>-214500</v>
      </c>
      <c r="CQ111" s="229">
        <v>-3.2000000000000002E-3</v>
      </c>
      <c r="CR111" s="230">
        <v>46546500</v>
      </c>
      <c r="CS111" s="230">
        <v>46127250</v>
      </c>
      <c r="CT111" s="230">
        <v>419250</v>
      </c>
      <c r="CU111" s="229">
        <v>9.1000000000000004E-3</v>
      </c>
      <c r="CV111" s="230">
        <v>206792625</v>
      </c>
      <c r="CW111" s="230">
        <v>206982750</v>
      </c>
      <c r="CX111" s="230">
        <v>-190125</v>
      </c>
      <c r="CY111" s="229">
        <v>-8.9999999999999998E-4</v>
      </c>
      <c r="CZ111" s="228">
        <v>27.21</v>
      </c>
      <c r="DA111" s="228">
        <v>28.39</v>
      </c>
      <c r="DB111" s="228">
        <v>-1.18</v>
      </c>
      <c r="DC111" s="228">
        <v>-1.18</v>
      </c>
      <c r="DD111" s="228">
        <v>34.78</v>
      </c>
      <c r="DE111" s="228">
        <v>34.86</v>
      </c>
      <c r="DF111" s="228">
        <v>-7.57</v>
      </c>
      <c r="DG111" s="228">
        <v>-0.08</v>
      </c>
      <c r="DH111" s="228">
        <v>27.04</v>
      </c>
      <c r="DI111" s="228">
        <v>28.41</v>
      </c>
      <c r="DJ111" s="228">
        <v>-1.37</v>
      </c>
      <c r="DK111" s="228">
        <v>-1.37</v>
      </c>
      <c r="DL111" s="228">
        <v>27.43</v>
      </c>
      <c r="DM111" s="228">
        <v>28.35</v>
      </c>
      <c r="DN111" s="228">
        <v>-0.92</v>
      </c>
      <c r="DO111" s="228">
        <v>-0.92</v>
      </c>
      <c r="DP111" s="228">
        <v>0.69</v>
      </c>
      <c r="DQ111" s="228">
        <v>0.68</v>
      </c>
      <c r="DR111" s="228">
        <v>0.01</v>
      </c>
      <c r="DS111" s="229">
        <v>1.47E-2</v>
      </c>
      <c r="DT111" s="228">
        <v>155</v>
      </c>
      <c r="DU111" s="228">
        <v>150</v>
      </c>
      <c r="DV111" s="228">
        <v>0.75</v>
      </c>
      <c r="DW111" s="228">
        <v>0.56999999999999995</v>
      </c>
      <c r="DX111" s="228">
        <v>0.18</v>
      </c>
      <c r="DY111" s="229">
        <v>0.31580000000000003</v>
      </c>
      <c r="DZ111" s="229">
        <v>0.1067</v>
      </c>
      <c r="EA111" s="230">
        <v>8204625</v>
      </c>
      <c r="EB111" s="229">
        <v>3.8999999999999998E-3</v>
      </c>
      <c r="EC111" s="229">
        <v>0.1067</v>
      </c>
      <c r="ED111" s="228">
        <v>0.51</v>
      </c>
      <c r="EE111" s="229">
        <v>3.3999999999999998E-3</v>
      </c>
      <c r="EF111" s="230">
        <v>7723414</v>
      </c>
      <c r="EG111" s="230">
        <v>2804418</v>
      </c>
      <c r="EH111" s="229">
        <v>1.754</v>
      </c>
      <c r="EI111" s="229">
        <v>0.65690000000000004</v>
      </c>
      <c r="EJ111" s="231">
        <v>72687.759999999995</v>
      </c>
      <c r="EK111" s="231">
        <v>52395.35</v>
      </c>
      <c r="EL111" s="231">
        <v>23990.080000000002</v>
      </c>
      <c r="EM111" s="228">
        <v>0</v>
      </c>
      <c r="EN111" s="231">
        <v>149073.19</v>
      </c>
      <c r="EO111" s="231">
        <v>83365.3</v>
      </c>
      <c r="EP111" s="231">
        <v>65707.89</v>
      </c>
      <c r="EQ111" s="229">
        <v>0.78820000000000001</v>
      </c>
      <c r="ER111" s="231">
        <v>104671</v>
      </c>
      <c r="ES111" s="231">
        <v>67444</v>
      </c>
      <c r="ET111" s="231">
        <v>141155</v>
      </c>
      <c r="EU111" s="231">
        <v>1369807723</v>
      </c>
      <c r="EV111" s="231">
        <v>313271</v>
      </c>
      <c r="EW111" s="231">
        <v>312470</v>
      </c>
      <c r="EX111" s="228">
        <v>801</v>
      </c>
      <c r="EY111" s="229">
        <v>2.5999999999999999E-3</v>
      </c>
      <c r="EZ111" s="229">
        <v>0.151</v>
      </c>
      <c r="FA111" s="227" t="s">
        <v>556</v>
      </c>
      <c r="FB111" s="161">
        <f t="shared" si="1"/>
        <v>11046750</v>
      </c>
    </row>
    <row r="112" spans="1:158" ht="17.25" thickBot="1" x14ac:dyDescent="0.3">
      <c r="A112" s="226">
        <v>45860</v>
      </c>
      <c r="B112" s="227" t="s">
        <v>215</v>
      </c>
      <c r="C112" s="227" t="s">
        <v>595</v>
      </c>
      <c r="D112" s="228">
        <v>11675</v>
      </c>
      <c r="E112" s="228">
        <v>48.37</v>
      </c>
      <c r="F112" s="228">
        <v>48.54</v>
      </c>
      <c r="G112" s="228">
        <v>-0.17</v>
      </c>
      <c r="H112" s="229">
        <v>-3.5000000000000001E-3</v>
      </c>
      <c r="I112" s="228">
        <v>48.36</v>
      </c>
      <c r="J112" s="228">
        <v>48.52</v>
      </c>
      <c r="K112" s="228">
        <v>-0.16</v>
      </c>
      <c r="L112" s="229">
        <v>-3.3E-3</v>
      </c>
      <c r="M112" s="228">
        <v>48.37</v>
      </c>
      <c r="N112" s="228">
        <v>48.54</v>
      </c>
      <c r="O112" s="228">
        <v>-0.17</v>
      </c>
      <c r="P112" s="229">
        <v>-3.5000000000000001E-3</v>
      </c>
      <c r="Q112" s="228">
        <v>48.58</v>
      </c>
      <c r="R112" s="228">
        <v>48.77</v>
      </c>
      <c r="S112" s="228">
        <v>-0.19</v>
      </c>
      <c r="T112" s="229">
        <v>-3.8999999999999998E-3</v>
      </c>
      <c r="U112" s="228">
        <v>0</v>
      </c>
      <c r="V112" s="228">
        <v>0</v>
      </c>
      <c r="W112" s="228">
        <v>0</v>
      </c>
      <c r="X112" s="229">
        <v>0</v>
      </c>
      <c r="Y112" s="228">
        <v>0.01</v>
      </c>
      <c r="Z112" s="228">
        <v>0.02</v>
      </c>
      <c r="AA112" s="228">
        <v>-0.01</v>
      </c>
      <c r="AB112" s="229">
        <v>2.0000000000000001E-4</v>
      </c>
      <c r="AC112" s="228">
        <v>0.01</v>
      </c>
      <c r="AD112" s="228">
        <v>0.02</v>
      </c>
      <c r="AE112" s="228">
        <v>-0.01</v>
      </c>
      <c r="AF112" s="229">
        <v>2.0000000000000001E-4</v>
      </c>
      <c r="AG112" s="228">
        <v>0.22</v>
      </c>
      <c r="AH112" s="228">
        <v>0.25</v>
      </c>
      <c r="AI112" s="228">
        <v>-0.03</v>
      </c>
      <c r="AJ112" s="229">
        <v>4.4999999999999997E-3</v>
      </c>
      <c r="AK112" s="228">
        <v>0</v>
      </c>
      <c r="AL112" s="228">
        <v>0</v>
      </c>
      <c r="AM112" s="228">
        <v>0</v>
      </c>
      <c r="AN112" s="229">
        <v>0</v>
      </c>
      <c r="AO112" s="228">
        <v>48.35</v>
      </c>
      <c r="AP112" s="228">
        <v>48.53</v>
      </c>
      <c r="AQ112" s="228">
        <v>0</v>
      </c>
      <c r="AR112" s="230">
        <v>9643550</v>
      </c>
      <c r="AS112" s="230">
        <v>12655700</v>
      </c>
      <c r="AT112" s="230">
        <v>-3012150</v>
      </c>
      <c r="AU112" s="229">
        <v>-0.23799999999999999</v>
      </c>
      <c r="AV112" s="230">
        <v>8359300</v>
      </c>
      <c r="AW112" s="230">
        <v>8674525</v>
      </c>
      <c r="AX112" s="230">
        <v>-315225</v>
      </c>
      <c r="AY112" s="229">
        <v>-3.6299999999999999E-2</v>
      </c>
      <c r="AZ112" s="230">
        <v>1284250</v>
      </c>
      <c r="BA112" s="230">
        <v>3981175</v>
      </c>
      <c r="BB112" s="230">
        <v>-2696925</v>
      </c>
      <c r="BC112" s="229">
        <v>-0.6774</v>
      </c>
      <c r="BD112" s="228">
        <v>0</v>
      </c>
      <c r="BE112" s="228">
        <v>0</v>
      </c>
      <c r="BF112" s="228">
        <v>0</v>
      </c>
      <c r="BG112" s="229">
        <v>0</v>
      </c>
      <c r="BH112" s="230">
        <v>21692150</v>
      </c>
      <c r="BI112" s="230">
        <v>14873950</v>
      </c>
      <c r="BJ112" s="230">
        <v>6818200</v>
      </c>
      <c r="BK112" s="229">
        <v>0.45839999999999997</v>
      </c>
      <c r="BL112" s="230">
        <v>2066475</v>
      </c>
      <c r="BM112" s="230">
        <v>3642600</v>
      </c>
      <c r="BN112" s="230">
        <v>-1576125</v>
      </c>
      <c r="BO112" s="229">
        <v>-0.43269999999999997</v>
      </c>
      <c r="BP112" s="230">
        <v>33402175</v>
      </c>
      <c r="BQ112" s="230">
        <v>31172250</v>
      </c>
      <c r="BR112" s="230">
        <v>2229925</v>
      </c>
      <c r="BS112" s="229">
        <v>7.1499999999999994E-2</v>
      </c>
      <c r="BT112" s="230">
        <v>8185220</v>
      </c>
      <c r="BU112" s="230">
        <v>8775543</v>
      </c>
      <c r="BV112" s="230">
        <v>-590323</v>
      </c>
      <c r="BW112" s="229">
        <v>-6.7299999999999999E-2</v>
      </c>
      <c r="BX112" s="230">
        <v>98863900</v>
      </c>
      <c r="BY112" s="230">
        <v>97883200</v>
      </c>
      <c r="BZ112" s="230">
        <v>980700</v>
      </c>
      <c r="CA112" s="229">
        <v>0.01</v>
      </c>
      <c r="CB112" s="230">
        <v>88087875</v>
      </c>
      <c r="CC112" s="230">
        <v>87632550</v>
      </c>
      <c r="CD112" s="230">
        <v>455325</v>
      </c>
      <c r="CE112" s="229">
        <v>5.1999999999999998E-3</v>
      </c>
      <c r="CF112" s="230">
        <v>10776025</v>
      </c>
      <c r="CG112" s="230">
        <v>10250650</v>
      </c>
      <c r="CH112" s="230">
        <v>525375</v>
      </c>
      <c r="CI112" s="229">
        <v>5.1299999999999998E-2</v>
      </c>
      <c r="CJ112" s="228">
        <v>0</v>
      </c>
      <c r="CK112" s="228">
        <v>0</v>
      </c>
      <c r="CL112" s="228">
        <v>0</v>
      </c>
      <c r="CM112" s="229">
        <v>0</v>
      </c>
      <c r="CN112" s="230">
        <v>33518925</v>
      </c>
      <c r="CO112" s="230">
        <v>38994500</v>
      </c>
      <c r="CP112" s="230">
        <v>-5475575</v>
      </c>
      <c r="CQ112" s="229">
        <v>-0.1404</v>
      </c>
      <c r="CR112" s="230">
        <v>14430300</v>
      </c>
      <c r="CS112" s="230">
        <v>14348575</v>
      </c>
      <c r="CT112" s="230">
        <v>81725</v>
      </c>
      <c r="CU112" s="229">
        <v>5.7000000000000002E-3</v>
      </c>
      <c r="CV112" s="230">
        <v>146813125</v>
      </c>
      <c r="CW112" s="230">
        <v>151226275</v>
      </c>
      <c r="CX112" s="230">
        <v>-4413150</v>
      </c>
      <c r="CY112" s="229">
        <v>-2.92E-2</v>
      </c>
      <c r="CZ112" s="228">
        <v>38.69</v>
      </c>
      <c r="DA112" s="228">
        <v>33.869999999999997</v>
      </c>
      <c r="DB112" s="228">
        <v>4.82</v>
      </c>
      <c r="DC112" s="228">
        <v>4.82</v>
      </c>
      <c r="DD112" s="228">
        <v>50.07</v>
      </c>
      <c r="DE112" s="228">
        <v>50.19</v>
      </c>
      <c r="DF112" s="228">
        <v>-11.38</v>
      </c>
      <c r="DG112" s="228">
        <v>-0.12</v>
      </c>
      <c r="DH112" s="228">
        <v>39.17</v>
      </c>
      <c r="DI112" s="228">
        <v>34.229999999999997</v>
      </c>
      <c r="DJ112" s="228">
        <v>4.9400000000000004</v>
      </c>
      <c r="DK112" s="228">
        <v>4.9400000000000004</v>
      </c>
      <c r="DL112" s="228">
        <v>33.68</v>
      </c>
      <c r="DM112" s="228">
        <v>32.4</v>
      </c>
      <c r="DN112" s="228">
        <v>1.28</v>
      </c>
      <c r="DO112" s="228">
        <v>1.28</v>
      </c>
      <c r="DP112" s="228">
        <v>0.43</v>
      </c>
      <c r="DQ112" s="228">
        <v>0.37</v>
      </c>
      <c r="DR112" s="228">
        <v>0.06</v>
      </c>
      <c r="DS112" s="229">
        <v>0.16220000000000001</v>
      </c>
      <c r="DT112" s="228">
        <v>50</v>
      </c>
      <c r="DU112" s="228">
        <v>50</v>
      </c>
      <c r="DV112" s="228">
        <v>0.1</v>
      </c>
      <c r="DW112" s="228">
        <v>0.24</v>
      </c>
      <c r="DX112" s="228">
        <v>-0.14000000000000001</v>
      </c>
      <c r="DY112" s="229">
        <v>-0.58330000000000004</v>
      </c>
      <c r="DZ112" s="229">
        <v>0.109</v>
      </c>
      <c r="EA112" s="230">
        <v>10250650</v>
      </c>
      <c r="EB112" s="229">
        <v>4.3E-3</v>
      </c>
      <c r="EC112" s="229">
        <v>0.109</v>
      </c>
      <c r="ED112" s="228">
        <v>0.18</v>
      </c>
      <c r="EE112" s="229">
        <v>3.7000000000000002E-3</v>
      </c>
      <c r="EF112" s="230">
        <v>3959906</v>
      </c>
      <c r="EG112" s="230">
        <v>4059194</v>
      </c>
      <c r="EH112" s="229">
        <v>-2.4500000000000001E-2</v>
      </c>
      <c r="EI112" s="229">
        <v>0.48380000000000001</v>
      </c>
      <c r="EJ112" s="231">
        <v>11054.35</v>
      </c>
      <c r="EK112" s="228">
        <v>997.94</v>
      </c>
      <c r="EL112" s="231">
        <v>4664.66</v>
      </c>
      <c r="EM112" s="228">
        <v>0</v>
      </c>
      <c r="EN112" s="231">
        <v>16716.95</v>
      </c>
      <c r="EO112" s="231">
        <v>15387.42</v>
      </c>
      <c r="EP112" s="231">
        <v>1329.53</v>
      </c>
      <c r="EQ112" s="229">
        <v>8.6400000000000005E-2</v>
      </c>
      <c r="ER112" s="231">
        <v>17286</v>
      </c>
      <c r="ES112" s="231">
        <v>7002</v>
      </c>
      <c r="ET112" s="231">
        <v>47843</v>
      </c>
      <c r="EU112" s="231">
        <v>840388804</v>
      </c>
      <c r="EV112" s="231">
        <v>72131</v>
      </c>
      <c r="EW112" s="231">
        <v>74539</v>
      </c>
      <c r="EX112" s="231">
        <v>-2408</v>
      </c>
      <c r="EY112" s="229">
        <v>-3.2300000000000002E-2</v>
      </c>
      <c r="EZ112" s="229">
        <v>0.17469999999999999</v>
      </c>
      <c r="FA112" s="227" t="s">
        <v>567</v>
      </c>
      <c r="FB112" s="161">
        <f t="shared" si="1"/>
        <v>10776025</v>
      </c>
    </row>
    <row r="113" spans="1:158" ht="17.25" thickBot="1" x14ac:dyDescent="0.3">
      <c r="A113" s="226">
        <v>45860</v>
      </c>
      <c r="B113" s="227" t="s">
        <v>215</v>
      </c>
      <c r="C113" s="227" t="s">
        <v>490</v>
      </c>
      <c r="D113" s="228">
        <v>875</v>
      </c>
      <c r="E113" s="228">
        <v>760.8</v>
      </c>
      <c r="F113" s="228">
        <v>772</v>
      </c>
      <c r="G113" s="228">
        <v>-11.2</v>
      </c>
      <c r="H113" s="229">
        <v>-1.4500000000000001E-2</v>
      </c>
      <c r="I113" s="228">
        <v>760.6</v>
      </c>
      <c r="J113" s="228">
        <v>770.45</v>
      </c>
      <c r="K113" s="228">
        <v>-9.85</v>
      </c>
      <c r="L113" s="229">
        <v>-1.2800000000000001E-2</v>
      </c>
      <c r="M113" s="228">
        <v>760.8</v>
      </c>
      <c r="N113" s="228">
        <v>772</v>
      </c>
      <c r="O113" s="228">
        <v>-11.2</v>
      </c>
      <c r="P113" s="229">
        <v>-1.4500000000000001E-2</v>
      </c>
      <c r="Q113" s="228">
        <v>764.05</v>
      </c>
      <c r="R113" s="228">
        <v>775.25</v>
      </c>
      <c r="S113" s="228">
        <v>-11.2</v>
      </c>
      <c r="T113" s="229">
        <v>-1.44E-2</v>
      </c>
      <c r="U113" s="228">
        <v>0</v>
      </c>
      <c r="V113" s="228">
        <v>0</v>
      </c>
      <c r="W113" s="228">
        <v>0</v>
      </c>
      <c r="X113" s="229">
        <v>0</v>
      </c>
      <c r="Y113" s="228">
        <v>0.2</v>
      </c>
      <c r="Z113" s="228">
        <v>1.55</v>
      </c>
      <c r="AA113" s="228">
        <v>-1.35</v>
      </c>
      <c r="AB113" s="229">
        <v>2.9999999999999997E-4</v>
      </c>
      <c r="AC113" s="228">
        <v>0.2</v>
      </c>
      <c r="AD113" s="228">
        <v>1.55</v>
      </c>
      <c r="AE113" s="228">
        <v>-1.35</v>
      </c>
      <c r="AF113" s="229">
        <v>2.9999999999999997E-4</v>
      </c>
      <c r="AG113" s="228">
        <v>3.45</v>
      </c>
      <c r="AH113" s="228">
        <v>4.8</v>
      </c>
      <c r="AI113" s="228">
        <v>-1.35</v>
      </c>
      <c r="AJ113" s="229">
        <v>4.4999999999999997E-3</v>
      </c>
      <c r="AK113" s="228">
        <v>0</v>
      </c>
      <c r="AL113" s="228">
        <v>0</v>
      </c>
      <c r="AM113" s="228">
        <v>0</v>
      </c>
      <c r="AN113" s="229">
        <v>0</v>
      </c>
      <c r="AO113" s="228">
        <v>764.37</v>
      </c>
      <c r="AP113" s="228">
        <v>767.64</v>
      </c>
      <c r="AQ113" s="228">
        <v>0</v>
      </c>
      <c r="AR113" s="230">
        <v>1954750</v>
      </c>
      <c r="AS113" s="230">
        <v>1456875</v>
      </c>
      <c r="AT113" s="230">
        <v>497875</v>
      </c>
      <c r="AU113" s="229">
        <v>0.3417</v>
      </c>
      <c r="AV113" s="230">
        <v>1225000</v>
      </c>
      <c r="AW113" s="230">
        <v>1102500</v>
      </c>
      <c r="AX113" s="230">
        <v>122500</v>
      </c>
      <c r="AY113" s="229">
        <v>0.1111</v>
      </c>
      <c r="AZ113" s="230">
        <v>684250</v>
      </c>
      <c r="BA113" s="230">
        <v>317625</v>
      </c>
      <c r="BB113" s="230">
        <v>366625</v>
      </c>
      <c r="BC113" s="229">
        <v>1.1543000000000001</v>
      </c>
      <c r="BD113" s="228">
        <v>0</v>
      </c>
      <c r="BE113" s="228">
        <v>0</v>
      </c>
      <c r="BF113" s="228">
        <v>0</v>
      </c>
      <c r="BG113" s="229">
        <v>0</v>
      </c>
      <c r="BH113" s="230">
        <v>4606000</v>
      </c>
      <c r="BI113" s="230">
        <v>4740750</v>
      </c>
      <c r="BJ113" s="230">
        <v>-134750</v>
      </c>
      <c r="BK113" s="229">
        <v>-2.8400000000000002E-2</v>
      </c>
      <c r="BL113" s="230">
        <v>2101750</v>
      </c>
      <c r="BM113" s="230">
        <v>2826250</v>
      </c>
      <c r="BN113" s="230">
        <v>-724500</v>
      </c>
      <c r="BO113" s="229">
        <v>-0.25629999999999997</v>
      </c>
      <c r="BP113" s="230">
        <v>8662500</v>
      </c>
      <c r="BQ113" s="230">
        <v>9023875</v>
      </c>
      <c r="BR113" s="230">
        <v>-361375</v>
      </c>
      <c r="BS113" s="229">
        <v>-0.04</v>
      </c>
      <c r="BT113" s="230">
        <v>556785</v>
      </c>
      <c r="BU113" s="230">
        <v>616825</v>
      </c>
      <c r="BV113" s="230">
        <v>-60040</v>
      </c>
      <c r="BW113" s="229">
        <v>-9.7299999999999998E-2</v>
      </c>
      <c r="BX113" s="230">
        <v>14724500</v>
      </c>
      <c r="BY113" s="230">
        <v>14385000</v>
      </c>
      <c r="BZ113" s="230">
        <v>339500</v>
      </c>
      <c r="CA113" s="229">
        <v>2.3599999999999999E-2</v>
      </c>
      <c r="CB113" s="230">
        <v>12220250</v>
      </c>
      <c r="CC113" s="230">
        <v>12376875</v>
      </c>
      <c r="CD113" s="230">
        <v>-156625</v>
      </c>
      <c r="CE113" s="229">
        <v>-1.2699999999999999E-2</v>
      </c>
      <c r="CF113" s="230">
        <v>2324000</v>
      </c>
      <c r="CG113" s="230">
        <v>1853250</v>
      </c>
      <c r="CH113" s="230">
        <v>470750</v>
      </c>
      <c r="CI113" s="229">
        <v>0.254</v>
      </c>
      <c r="CJ113" s="228">
        <v>0</v>
      </c>
      <c r="CK113" s="228">
        <v>0</v>
      </c>
      <c r="CL113" s="228">
        <v>0</v>
      </c>
      <c r="CM113" s="229">
        <v>0</v>
      </c>
      <c r="CN113" s="230">
        <v>8294125</v>
      </c>
      <c r="CO113" s="230">
        <v>8059625</v>
      </c>
      <c r="CP113" s="230">
        <v>234500</v>
      </c>
      <c r="CQ113" s="229">
        <v>2.9100000000000001E-2</v>
      </c>
      <c r="CR113" s="230">
        <v>5774125</v>
      </c>
      <c r="CS113" s="230">
        <v>5481875</v>
      </c>
      <c r="CT113" s="230">
        <v>292250</v>
      </c>
      <c r="CU113" s="229">
        <v>5.33E-2</v>
      </c>
      <c r="CV113" s="230">
        <v>28792750</v>
      </c>
      <c r="CW113" s="230">
        <v>27926500</v>
      </c>
      <c r="CX113" s="230">
        <v>866250</v>
      </c>
      <c r="CY113" s="229">
        <v>3.1E-2</v>
      </c>
      <c r="CZ113" s="228">
        <v>23.87</v>
      </c>
      <c r="DA113" s="228">
        <v>22.76</v>
      </c>
      <c r="DB113" s="228">
        <v>1.1100000000000001</v>
      </c>
      <c r="DC113" s="228">
        <v>1.1100000000000001</v>
      </c>
      <c r="DD113" s="228">
        <v>34.47</v>
      </c>
      <c r="DE113" s="228">
        <v>34.5</v>
      </c>
      <c r="DF113" s="228">
        <v>-10.6</v>
      </c>
      <c r="DG113" s="228">
        <v>-0.03</v>
      </c>
      <c r="DH113" s="228">
        <v>24.8</v>
      </c>
      <c r="DI113" s="228">
        <v>23.2</v>
      </c>
      <c r="DJ113" s="228">
        <v>1.6</v>
      </c>
      <c r="DK113" s="228">
        <v>1.6</v>
      </c>
      <c r="DL113" s="228">
        <v>21.83</v>
      </c>
      <c r="DM113" s="228">
        <v>22.01</v>
      </c>
      <c r="DN113" s="228">
        <v>-0.18</v>
      </c>
      <c r="DO113" s="228">
        <v>-0.18</v>
      </c>
      <c r="DP113" s="228">
        <v>0.7</v>
      </c>
      <c r="DQ113" s="228">
        <v>0.68</v>
      </c>
      <c r="DR113" s="228">
        <v>0.02</v>
      </c>
      <c r="DS113" s="229">
        <v>2.9399999999999999E-2</v>
      </c>
      <c r="DT113" s="228">
        <v>800</v>
      </c>
      <c r="DU113" s="228">
        <v>780</v>
      </c>
      <c r="DV113" s="228">
        <v>0.46</v>
      </c>
      <c r="DW113" s="228">
        <v>0.6</v>
      </c>
      <c r="DX113" s="228">
        <v>-0.14000000000000001</v>
      </c>
      <c r="DY113" s="229">
        <v>-0.23330000000000001</v>
      </c>
      <c r="DZ113" s="229">
        <v>0.1578</v>
      </c>
      <c r="EA113" s="230">
        <v>1853250</v>
      </c>
      <c r="EB113" s="229">
        <v>4.3E-3</v>
      </c>
      <c r="EC113" s="229">
        <v>0.1578</v>
      </c>
      <c r="ED113" s="228">
        <v>3.27</v>
      </c>
      <c r="EE113" s="229">
        <v>4.3E-3</v>
      </c>
      <c r="EF113" s="230">
        <v>272234</v>
      </c>
      <c r="EG113" s="230">
        <v>276444</v>
      </c>
      <c r="EH113" s="229">
        <v>-1.52E-2</v>
      </c>
      <c r="EI113" s="229">
        <v>0.4889</v>
      </c>
      <c r="EJ113" s="231">
        <v>36970.35</v>
      </c>
      <c r="EK113" s="231">
        <v>15882.03</v>
      </c>
      <c r="EL113" s="231">
        <v>14967.53</v>
      </c>
      <c r="EM113" s="228">
        <v>0</v>
      </c>
      <c r="EN113" s="231">
        <v>67819.91</v>
      </c>
      <c r="EO113" s="231">
        <v>70614.64</v>
      </c>
      <c r="EP113" s="231">
        <v>-2794.73</v>
      </c>
      <c r="EQ113" s="229">
        <v>-3.9600000000000003E-2</v>
      </c>
      <c r="ER113" s="231">
        <v>67642</v>
      </c>
      <c r="ES113" s="231">
        <v>43484</v>
      </c>
      <c r="ET113" s="231">
        <v>112113</v>
      </c>
      <c r="EU113" s="231">
        <v>60165566</v>
      </c>
      <c r="EV113" s="231">
        <v>223239</v>
      </c>
      <c r="EW113" s="231">
        <v>218384</v>
      </c>
      <c r="EX113" s="231">
        <v>4855</v>
      </c>
      <c r="EY113" s="229">
        <v>2.2200000000000001E-2</v>
      </c>
      <c r="EZ113" s="229">
        <v>0.47860000000000003</v>
      </c>
      <c r="FA113" s="227" t="s">
        <v>567</v>
      </c>
      <c r="FB113" s="161">
        <f t="shared" si="1"/>
        <v>2504250</v>
      </c>
    </row>
    <row r="114" spans="1:158" ht="17.25" thickBot="1" x14ac:dyDescent="0.3">
      <c r="A114" s="226">
        <v>45860</v>
      </c>
      <c r="B114" s="227" t="s">
        <v>175</v>
      </c>
      <c r="C114" s="227" t="s">
        <v>666</v>
      </c>
      <c r="D114" s="228">
        <v>3450</v>
      </c>
      <c r="E114" s="228">
        <v>156.28</v>
      </c>
      <c r="F114" s="228">
        <v>157.79</v>
      </c>
      <c r="G114" s="228">
        <v>-1.51</v>
      </c>
      <c r="H114" s="229">
        <v>-9.5999999999999992E-3</v>
      </c>
      <c r="I114" s="228">
        <v>156.22</v>
      </c>
      <c r="J114" s="228">
        <v>157.30000000000001</v>
      </c>
      <c r="K114" s="228">
        <v>-1.08</v>
      </c>
      <c r="L114" s="229">
        <v>-6.8999999999999999E-3</v>
      </c>
      <c r="M114" s="228">
        <v>156.28</v>
      </c>
      <c r="N114" s="228">
        <v>157.79</v>
      </c>
      <c r="O114" s="228">
        <v>-1.51</v>
      </c>
      <c r="P114" s="229">
        <v>-9.5999999999999992E-3</v>
      </c>
      <c r="Q114" s="228">
        <v>156.15</v>
      </c>
      <c r="R114" s="228">
        <v>157.85</v>
      </c>
      <c r="S114" s="228">
        <v>-1.7</v>
      </c>
      <c r="T114" s="229">
        <v>-1.0800000000000001E-2</v>
      </c>
      <c r="U114" s="228">
        <v>0</v>
      </c>
      <c r="V114" s="228">
        <v>0</v>
      </c>
      <c r="W114" s="228">
        <v>0</v>
      </c>
      <c r="X114" s="229">
        <v>0</v>
      </c>
      <c r="Y114" s="228">
        <v>0.06</v>
      </c>
      <c r="Z114" s="228">
        <v>0.49</v>
      </c>
      <c r="AA114" s="228">
        <v>-0.43</v>
      </c>
      <c r="AB114" s="229">
        <v>4.0000000000000002E-4</v>
      </c>
      <c r="AC114" s="228">
        <v>0.06</v>
      </c>
      <c r="AD114" s="228">
        <v>0.49</v>
      </c>
      <c r="AE114" s="228">
        <v>-0.43</v>
      </c>
      <c r="AF114" s="229">
        <v>4.0000000000000002E-4</v>
      </c>
      <c r="AG114" s="228">
        <v>-7.0000000000000007E-2</v>
      </c>
      <c r="AH114" s="228">
        <v>0.55000000000000004</v>
      </c>
      <c r="AI114" s="228">
        <v>-0.62</v>
      </c>
      <c r="AJ114" s="229">
        <v>-4.0000000000000002E-4</v>
      </c>
      <c r="AK114" s="228">
        <v>0</v>
      </c>
      <c r="AL114" s="228">
        <v>0</v>
      </c>
      <c r="AM114" s="228">
        <v>0</v>
      </c>
      <c r="AN114" s="229">
        <v>0</v>
      </c>
      <c r="AO114" s="228">
        <v>157.26</v>
      </c>
      <c r="AP114" s="228">
        <v>157.19999999999999</v>
      </c>
      <c r="AQ114" s="228">
        <v>0</v>
      </c>
      <c r="AR114" s="230">
        <v>6458400</v>
      </c>
      <c r="AS114" s="230">
        <v>6620550</v>
      </c>
      <c r="AT114" s="230">
        <v>-162150</v>
      </c>
      <c r="AU114" s="229">
        <v>-2.4500000000000001E-2</v>
      </c>
      <c r="AV114" s="230">
        <v>4260750</v>
      </c>
      <c r="AW114" s="230">
        <v>5057700</v>
      </c>
      <c r="AX114" s="230">
        <v>-796950</v>
      </c>
      <c r="AY114" s="229">
        <v>-0.15759999999999999</v>
      </c>
      <c r="AZ114" s="230">
        <v>2032050</v>
      </c>
      <c r="BA114" s="230">
        <v>1476600</v>
      </c>
      <c r="BB114" s="230">
        <v>555450</v>
      </c>
      <c r="BC114" s="229">
        <v>0.37619999999999998</v>
      </c>
      <c r="BD114" s="228">
        <v>0</v>
      </c>
      <c r="BE114" s="228">
        <v>0</v>
      </c>
      <c r="BF114" s="228">
        <v>0</v>
      </c>
      <c r="BG114" s="229">
        <v>0</v>
      </c>
      <c r="BH114" s="230">
        <v>19009500</v>
      </c>
      <c r="BI114" s="230">
        <v>18247050</v>
      </c>
      <c r="BJ114" s="230">
        <v>762450</v>
      </c>
      <c r="BK114" s="229">
        <v>4.1799999999999997E-2</v>
      </c>
      <c r="BL114" s="230">
        <v>3939900</v>
      </c>
      <c r="BM114" s="230">
        <v>4733400</v>
      </c>
      <c r="BN114" s="230">
        <v>-793500</v>
      </c>
      <c r="BO114" s="229">
        <v>-0.1676</v>
      </c>
      <c r="BP114" s="230">
        <v>29407800</v>
      </c>
      <c r="BQ114" s="230">
        <v>29601000</v>
      </c>
      <c r="BR114" s="230">
        <v>-193200</v>
      </c>
      <c r="BS114" s="229">
        <v>-6.4999999999999997E-3</v>
      </c>
      <c r="BT114" s="230">
        <v>4702480</v>
      </c>
      <c r="BU114" s="230">
        <v>6434506</v>
      </c>
      <c r="BV114" s="230">
        <v>-1732026</v>
      </c>
      <c r="BW114" s="229">
        <v>-0.26919999999999999</v>
      </c>
      <c r="BX114" s="230">
        <v>48303450</v>
      </c>
      <c r="BY114" s="230">
        <v>46844100</v>
      </c>
      <c r="BZ114" s="230">
        <v>1459350</v>
      </c>
      <c r="CA114" s="229">
        <v>3.1199999999999999E-2</v>
      </c>
      <c r="CB114" s="230">
        <v>36676950</v>
      </c>
      <c r="CC114" s="230">
        <v>36262950</v>
      </c>
      <c r="CD114" s="230">
        <v>414000</v>
      </c>
      <c r="CE114" s="229">
        <v>1.14E-2</v>
      </c>
      <c r="CF114" s="230">
        <v>10025700</v>
      </c>
      <c r="CG114" s="230">
        <v>9094200</v>
      </c>
      <c r="CH114" s="230">
        <v>931500</v>
      </c>
      <c r="CI114" s="229">
        <v>0.1024</v>
      </c>
      <c r="CJ114" s="228">
        <v>0</v>
      </c>
      <c r="CK114" s="228">
        <v>0</v>
      </c>
      <c r="CL114" s="228">
        <v>0</v>
      </c>
      <c r="CM114" s="229">
        <v>0</v>
      </c>
      <c r="CN114" s="230">
        <v>36507900</v>
      </c>
      <c r="CO114" s="230">
        <v>37228950</v>
      </c>
      <c r="CP114" s="230">
        <v>-721050</v>
      </c>
      <c r="CQ114" s="229">
        <v>-1.9400000000000001E-2</v>
      </c>
      <c r="CR114" s="230">
        <v>17539800</v>
      </c>
      <c r="CS114" s="230">
        <v>17381100</v>
      </c>
      <c r="CT114" s="230">
        <v>158700</v>
      </c>
      <c r="CU114" s="229">
        <v>9.1000000000000004E-3</v>
      </c>
      <c r="CV114" s="230">
        <v>102351150</v>
      </c>
      <c r="CW114" s="230">
        <v>101454150</v>
      </c>
      <c r="CX114" s="230">
        <v>897000</v>
      </c>
      <c r="CY114" s="229">
        <v>8.8000000000000005E-3</v>
      </c>
      <c r="CZ114" s="228">
        <v>40.65</v>
      </c>
      <c r="DA114" s="228">
        <v>38.76</v>
      </c>
      <c r="DB114" s="228">
        <v>1.89</v>
      </c>
      <c r="DC114" s="228">
        <v>1.89</v>
      </c>
      <c r="DD114" s="228">
        <v>57.92</v>
      </c>
      <c r="DE114" s="228">
        <v>58.05</v>
      </c>
      <c r="DF114" s="228">
        <v>-17.27</v>
      </c>
      <c r="DG114" s="228">
        <v>-0.13</v>
      </c>
      <c r="DH114" s="228">
        <v>41.4</v>
      </c>
      <c r="DI114" s="228">
        <v>39.86</v>
      </c>
      <c r="DJ114" s="228">
        <v>1.54</v>
      </c>
      <c r="DK114" s="228">
        <v>1.54</v>
      </c>
      <c r="DL114" s="228">
        <v>37.020000000000003</v>
      </c>
      <c r="DM114" s="228">
        <v>34.51</v>
      </c>
      <c r="DN114" s="228">
        <v>2.5099999999999998</v>
      </c>
      <c r="DO114" s="228">
        <v>2.5099999999999998</v>
      </c>
      <c r="DP114" s="228">
        <v>0.48</v>
      </c>
      <c r="DQ114" s="228">
        <v>0.47</v>
      </c>
      <c r="DR114" s="228">
        <v>0.01</v>
      </c>
      <c r="DS114" s="229">
        <v>2.1299999999999999E-2</v>
      </c>
      <c r="DT114" s="228">
        <v>170</v>
      </c>
      <c r="DU114" s="228">
        <v>150</v>
      </c>
      <c r="DV114" s="228">
        <v>0.21</v>
      </c>
      <c r="DW114" s="228">
        <v>0.26</v>
      </c>
      <c r="DX114" s="228">
        <v>-0.05</v>
      </c>
      <c r="DY114" s="229">
        <v>-0.1923</v>
      </c>
      <c r="DZ114" s="229">
        <v>0.20760000000000001</v>
      </c>
      <c r="EA114" s="230">
        <v>9094200</v>
      </c>
      <c r="EB114" s="229">
        <v>-8.0000000000000004E-4</v>
      </c>
      <c r="EC114" s="229">
        <v>0.20760000000000001</v>
      </c>
      <c r="ED114" s="228">
        <v>-0.06</v>
      </c>
      <c r="EE114" s="229">
        <v>-4.0000000000000002E-4</v>
      </c>
      <c r="EF114" s="230">
        <v>1860248</v>
      </c>
      <c r="EG114" s="230">
        <v>2567795</v>
      </c>
      <c r="EH114" s="229">
        <v>-0.27550000000000002</v>
      </c>
      <c r="EI114" s="229">
        <v>0.39560000000000001</v>
      </c>
      <c r="EJ114" s="231">
        <v>32429.09</v>
      </c>
      <c r="EK114" s="231">
        <v>6250.54</v>
      </c>
      <c r="EL114" s="231">
        <v>10155.56</v>
      </c>
      <c r="EM114" s="228">
        <v>0</v>
      </c>
      <c r="EN114" s="231">
        <v>48835.19</v>
      </c>
      <c r="EO114" s="231">
        <v>49168.46</v>
      </c>
      <c r="EP114" s="228">
        <v>-333.27</v>
      </c>
      <c r="EQ114" s="229">
        <v>-6.7999999999999996E-3</v>
      </c>
      <c r="ER114" s="231">
        <v>63168</v>
      </c>
      <c r="ES114" s="231">
        <v>27815</v>
      </c>
      <c r="ET114" s="231">
        <v>75478</v>
      </c>
      <c r="EU114" s="231">
        <v>158681547</v>
      </c>
      <c r="EV114" s="231">
        <v>166461</v>
      </c>
      <c r="EW114" s="231">
        <v>166153</v>
      </c>
      <c r="EX114" s="228">
        <v>308</v>
      </c>
      <c r="EY114" s="229">
        <v>1.9E-3</v>
      </c>
      <c r="EZ114" s="229">
        <v>0.64500000000000002</v>
      </c>
      <c r="FA114" s="227" t="s">
        <v>567</v>
      </c>
      <c r="FB114" s="161">
        <f t="shared" si="1"/>
        <v>11626500</v>
      </c>
    </row>
    <row r="115" spans="1:158" ht="17.25" thickBot="1" x14ac:dyDescent="0.3">
      <c r="A115" s="226">
        <v>45860</v>
      </c>
      <c r="B115" s="227" t="s">
        <v>215</v>
      </c>
      <c r="C115" s="227" t="s">
        <v>593</v>
      </c>
      <c r="D115" s="228">
        <v>4250</v>
      </c>
      <c r="E115" s="228">
        <v>130.13999999999999</v>
      </c>
      <c r="F115" s="228">
        <v>134.79</v>
      </c>
      <c r="G115" s="228">
        <v>-4.6500000000000004</v>
      </c>
      <c r="H115" s="229">
        <v>-3.4500000000000003E-2</v>
      </c>
      <c r="I115" s="228">
        <v>130.77000000000001</v>
      </c>
      <c r="J115" s="228">
        <v>134.37</v>
      </c>
      <c r="K115" s="228">
        <v>-3.6</v>
      </c>
      <c r="L115" s="229">
        <v>-2.6800000000000001E-2</v>
      </c>
      <c r="M115" s="228">
        <v>130.13999999999999</v>
      </c>
      <c r="N115" s="228">
        <v>134.79</v>
      </c>
      <c r="O115" s="228">
        <v>-4.6500000000000004</v>
      </c>
      <c r="P115" s="229">
        <v>-3.4500000000000003E-2</v>
      </c>
      <c r="Q115" s="228">
        <v>129.96</v>
      </c>
      <c r="R115" s="228">
        <v>134.9</v>
      </c>
      <c r="S115" s="228">
        <v>-4.9400000000000004</v>
      </c>
      <c r="T115" s="229">
        <v>-3.6600000000000001E-2</v>
      </c>
      <c r="U115" s="228">
        <v>0</v>
      </c>
      <c r="V115" s="228">
        <v>0</v>
      </c>
      <c r="W115" s="228">
        <v>0</v>
      </c>
      <c r="X115" s="229">
        <v>0</v>
      </c>
      <c r="Y115" s="228">
        <v>-0.63</v>
      </c>
      <c r="Z115" s="228">
        <v>0.42</v>
      </c>
      <c r="AA115" s="228">
        <v>-1.05</v>
      </c>
      <c r="AB115" s="229">
        <v>-4.7999999999999996E-3</v>
      </c>
      <c r="AC115" s="228">
        <v>-0.63</v>
      </c>
      <c r="AD115" s="228">
        <v>0.42</v>
      </c>
      <c r="AE115" s="228">
        <v>-1.05</v>
      </c>
      <c r="AF115" s="229">
        <v>-4.7999999999999996E-3</v>
      </c>
      <c r="AG115" s="228">
        <v>-0.81</v>
      </c>
      <c r="AH115" s="228">
        <v>0.53</v>
      </c>
      <c r="AI115" s="228">
        <v>-1.34</v>
      </c>
      <c r="AJ115" s="229">
        <v>-6.1999999999999998E-3</v>
      </c>
      <c r="AK115" s="228">
        <v>0</v>
      </c>
      <c r="AL115" s="228">
        <v>0</v>
      </c>
      <c r="AM115" s="228">
        <v>0</v>
      </c>
      <c r="AN115" s="229">
        <v>0</v>
      </c>
      <c r="AO115" s="228">
        <v>131.59</v>
      </c>
      <c r="AP115" s="228">
        <v>131.43</v>
      </c>
      <c r="AQ115" s="228">
        <v>0</v>
      </c>
      <c r="AR115" s="230">
        <v>20769750</v>
      </c>
      <c r="AS115" s="230">
        <v>7378000</v>
      </c>
      <c r="AT115" s="230">
        <v>13391750</v>
      </c>
      <c r="AU115" s="229">
        <v>1.8150999999999999</v>
      </c>
      <c r="AV115" s="230">
        <v>15164000</v>
      </c>
      <c r="AW115" s="230">
        <v>5703500</v>
      </c>
      <c r="AX115" s="230">
        <v>9460500</v>
      </c>
      <c r="AY115" s="229">
        <v>1.6587000000000001</v>
      </c>
      <c r="AZ115" s="230">
        <v>5176500</v>
      </c>
      <c r="BA115" s="230">
        <v>1568250</v>
      </c>
      <c r="BB115" s="230">
        <v>3608250</v>
      </c>
      <c r="BC115" s="229">
        <v>2.3008000000000002</v>
      </c>
      <c r="BD115" s="228">
        <v>0</v>
      </c>
      <c r="BE115" s="228">
        <v>0</v>
      </c>
      <c r="BF115" s="228">
        <v>0</v>
      </c>
      <c r="BG115" s="229">
        <v>0</v>
      </c>
      <c r="BH115" s="230">
        <v>60596500</v>
      </c>
      <c r="BI115" s="230">
        <v>25937750</v>
      </c>
      <c r="BJ115" s="230">
        <v>34658750</v>
      </c>
      <c r="BK115" s="229">
        <v>1.3362000000000001</v>
      </c>
      <c r="BL115" s="230">
        <v>32057750</v>
      </c>
      <c r="BM115" s="230">
        <v>11751250</v>
      </c>
      <c r="BN115" s="230">
        <v>20306500</v>
      </c>
      <c r="BO115" s="229">
        <v>1.728</v>
      </c>
      <c r="BP115" s="230">
        <v>113424000</v>
      </c>
      <c r="BQ115" s="230">
        <v>45067000</v>
      </c>
      <c r="BR115" s="230">
        <v>68357000</v>
      </c>
      <c r="BS115" s="229">
        <v>1.5167999999999999</v>
      </c>
      <c r="BT115" s="230">
        <v>18286629</v>
      </c>
      <c r="BU115" s="230">
        <v>7719374</v>
      </c>
      <c r="BV115" s="230">
        <v>10567255</v>
      </c>
      <c r="BW115" s="229">
        <v>1.3689</v>
      </c>
      <c r="BX115" s="230">
        <v>54680500</v>
      </c>
      <c r="BY115" s="230">
        <v>48284250</v>
      </c>
      <c r="BZ115" s="230">
        <v>6396250</v>
      </c>
      <c r="CA115" s="229">
        <v>0.13250000000000001</v>
      </c>
      <c r="CB115" s="230">
        <v>43447750</v>
      </c>
      <c r="CC115" s="230">
        <v>39924500</v>
      </c>
      <c r="CD115" s="230">
        <v>3523250</v>
      </c>
      <c r="CE115" s="229">
        <v>8.8200000000000001E-2</v>
      </c>
      <c r="CF115" s="230">
        <v>9775000</v>
      </c>
      <c r="CG115" s="230">
        <v>7157000</v>
      </c>
      <c r="CH115" s="230">
        <v>2618000</v>
      </c>
      <c r="CI115" s="229">
        <v>0.36580000000000001</v>
      </c>
      <c r="CJ115" s="228">
        <v>0</v>
      </c>
      <c r="CK115" s="228">
        <v>0</v>
      </c>
      <c r="CL115" s="228">
        <v>0</v>
      </c>
      <c r="CM115" s="229">
        <v>0</v>
      </c>
      <c r="CN115" s="230">
        <v>48152500</v>
      </c>
      <c r="CO115" s="230">
        <v>36809250</v>
      </c>
      <c r="CP115" s="230">
        <v>11343250</v>
      </c>
      <c r="CQ115" s="229">
        <v>0.30819999999999997</v>
      </c>
      <c r="CR115" s="230">
        <v>21177750</v>
      </c>
      <c r="CS115" s="230">
        <v>15895000</v>
      </c>
      <c r="CT115" s="230">
        <v>5282750</v>
      </c>
      <c r="CU115" s="229">
        <v>0.33239999999999997</v>
      </c>
      <c r="CV115" s="230">
        <v>124010750</v>
      </c>
      <c r="CW115" s="230">
        <v>100988500</v>
      </c>
      <c r="CX115" s="230">
        <v>23022250</v>
      </c>
      <c r="CY115" s="229">
        <v>0.22800000000000001</v>
      </c>
      <c r="CZ115" s="228">
        <v>44.94</v>
      </c>
      <c r="DA115" s="228">
        <v>39.72</v>
      </c>
      <c r="DB115" s="228">
        <v>5.22</v>
      </c>
      <c r="DC115" s="228">
        <v>5.22</v>
      </c>
      <c r="DD115" s="228">
        <v>52.87</v>
      </c>
      <c r="DE115" s="228">
        <v>52.79</v>
      </c>
      <c r="DF115" s="228">
        <v>-7.93</v>
      </c>
      <c r="DG115" s="228">
        <v>0.08</v>
      </c>
      <c r="DH115" s="228">
        <v>46.14</v>
      </c>
      <c r="DI115" s="228">
        <v>40.51</v>
      </c>
      <c r="DJ115" s="228">
        <v>5.63</v>
      </c>
      <c r="DK115" s="228">
        <v>5.63</v>
      </c>
      <c r="DL115" s="228">
        <v>42.67</v>
      </c>
      <c r="DM115" s="228">
        <v>37.979999999999997</v>
      </c>
      <c r="DN115" s="228">
        <v>4.6900000000000004</v>
      </c>
      <c r="DO115" s="228">
        <v>4.6900000000000004</v>
      </c>
      <c r="DP115" s="228">
        <v>0.44</v>
      </c>
      <c r="DQ115" s="228">
        <v>0.43</v>
      </c>
      <c r="DR115" s="228">
        <v>0.01</v>
      </c>
      <c r="DS115" s="229">
        <v>2.3300000000000001E-2</v>
      </c>
      <c r="DT115" s="228">
        <v>140</v>
      </c>
      <c r="DU115" s="228">
        <v>140</v>
      </c>
      <c r="DV115" s="228">
        <v>0.53</v>
      </c>
      <c r="DW115" s="228">
        <v>0.45</v>
      </c>
      <c r="DX115" s="228">
        <v>0.08</v>
      </c>
      <c r="DY115" s="229">
        <v>0.17780000000000001</v>
      </c>
      <c r="DZ115" s="229">
        <v>0.17879999999999999</v>
      </c>
      <c r="EA115" s="230">
        <v>7157000</v>
      </c>
      <c r="EB115" s="229">
        <v>-1.4E-3</v>
      </c>
      <c r="EC115" s="229">
        <v>0.17879999999999999</v>
      </c>
      <c r="ED115" s="228">
        <v>-0.16</v>
      </c>
      <c r="EE115" s="229">
        <v>-1.1999999999999999E-3</v>
      </c>
      <c r="EF115" s="230">
        <v>8625644</v>
      </c>
      <c r="EG115" s="230">
        <v>2691340</v>
      </c>
      <c r="EH115" s="229">
        <v>2.2050000000000001</v>
      </c>
      <c r="EI115" s="229">
        <v>0.47170000000000001</v>
      </c>
      <c r="EJ115" s="231">
        <v>85783.35</v>
      </c>
      <c r="EK115" s="231">
        <v>42304.76</v>
      </c>
      <c r="EL115" s="231">
        <v>27322.84</v>
      </c>
      <c r="EM115" s="228">
        <v>0</v>
      </c>
      <c r="EN115" s="231">
        <v>155410.95000000001</v>
      </c>
      <c r="EO115" s="231">
        <v>63199.9</v>
      </c>
      <c r="EP115" s="231">
        <v>92211.05</v>
      </c>
      <c r="EQ115" s="229">
        <v>1.4590000000000001</v>
      </c>
      <c r="ER115" s="231">
        <v>69362</v>
      </c>
      <c r="ES115" s="231">
        <v>27908</v>
      </c>
      <c r="ET115" s="231">
        <v>71144</v>
      </c>
      <c r="EU115" s="231">
        <v>356413800</v>
      </c>
      <c r="EV115" s="231">
        <v>168415</v>
      </c>
      <c r="EW115" s="231">
        <v>140249</v>
      </c>
      <c r="EX115" s="231">
        <v>28166</v>
      </c>
      <c r="EY115" s="229">
        <v>0.20080000000000001</v>
      </c>
      <c r="EZ115" s="229">
        <v>0.34789999999999999</v>
      </c>
      <c r="FA115" s="227" t="s">
        <v>567</v>
      </c>
      <c r="FB115" s="161">
        <f t="shared" si="1"/>
        <v>11232750</v>
      </c>
    </row>
    <row r="116" spans="1:158" ht="17.25" thickBot="1" x14ac:dyDescent="0.3">
      <c r="A116" s="226">
        <v>45860</v>
      </c>
      <c r="B116" s="227" t="s">
        <v>168</v>
      </c>
      <c r="C116" s="227" t="s">
        <v>242</v>
      </c>
      <c r="D116" s="228">
        <v>1600</v>
      </c>
      <c r="E116" s="228">
        <v>417.2</v>
      </c>
      <c r="F116" s="228">
        <v>420.65</v>
      </c>
      <c r="G116" s="228">
        <v>-3.45</v>
      </c>
      <c r="H116" s="229">
        <v>-8.2000000000000007E-3</v>
      </c>
      <c r="I116" s="228">
        <v>416</v>
      </c>
      <c r="J116" s="228">
        <v>420.1</v>
      </c>
      <c r="K116" s="228">
        <v>-4.0999999999999996</v>
      </c>
      <c r="L116" s="229">
        <v>-9.7999999999999997E-3</v>
      </c>
      <c r="M116" s="228">
        <v>417.2</v>
      </c>
      <c r="N116" s="228">
        <v>420.65</v>
      </c>
      <c r="O116" s="228">
        <v>-3.45</v>
      </c>
      <c r="P116" s="229">
        <v>-8.2000000000000007E-3</v>
      </c>
      <c r="Q116" s="228">
        <v>419.4</v>
      </c>
      <c r="R116" s="228">
        <v>422.95</v>
      </c>
      <c r="S116" s="228">
        <v>-3.55</v>
      </c>
      <c r="T116" s="229">
        <v>-8.3999999999999995E-3</v>
      </c>
      <c r="U116" s="228">
        <v>0</v>
      </c>
      <c r="V116" s="228">
        <v>0</v>
      </c>
      <c r="W116" s="228">
        <v>0</v>
      </c>
      <c r="X116" s="229">
        <v>0</v>
      </c>
      <c r="Y116" s="228">
        <v>1.2</v>
      </c>
      <c r="Z116" s="228">
        <v>0.55000000000000004</v>
      </c>
      <c r="AA116" s="228">
        <v>0.65</v>
      </c>
      <c r="AB116" s="229">
        <v>2.8999999999999998E-3</v>
      </c>
      <c r="AC116" s="228">
        <v>1.2</v>
      </c>
      <c r="AD116" s="228">
        <v>0.55000000000000004</v>
      </c>
      <c r="AE116" s="228">
        <v>0.65</v>
      </c>
      <c r="AF116" s="229">
        <v>2.8999999999999998E-3</v>
      </c>
      <c r="AG116" s="228">
        <v>3.4</v>
      </c>
      <c r="AH116" s="228">
        <v>2.85</v>
      </c>
      <c r="AI116" s="228">
        <v>0.55000000000000004</v>
      </c>
      <c r="AJ116" s="229">
        <v>8.2000000000000007E-3</v>
      </c>
      <c r="AK116" s="228">
        <v>0</v>
      </c>
      <c r="AL116" s="228">
        <v>0</v>
      </c>
      <c r="AM116" s="228">
        <v>0</v>
      </c>
      <c r="AN116" s="229">
        <v>0</v>
      </c>
      <c r="AO116" s="228">
        <v>417.87</v>
      </c>
      <c r="AP116" s="228">
        <v>419.9</v>
      </c>
      <c r="AQ116" s="228">
        <v>0</v>
      </c>
      <c r="AR116" s="230">
        <v>16659200</v>
      </c>
      <c r="AS116" s="230">
        <v>7860800</v>
      </c>
      <c r="AT116" s="230">
        <v>8798400</v>
      </c>
      <c r="AU116" s="229">
        <v>1.1193</v>
      </c>
      <c r="AV116" s="230">
        <v>12206400</v>
      </c>
      <c r="AW116" s="230">
        <v>6315200</v>
      </c>
      <c r="AX116" s="230">
        <v>5891200</v>
      </c>
      <c r="AY116" s="229">
        <v>0.93289999999999995</v>
      </c>
      <c r="AZ116" s="230">
        <v>4259200</v>
      </c>
      <c r="BA116" s="230">
        <v>1476800</v>
      </c>
      <c r="BB116" s="230">
        <v>2782400</v>
      </c>
      <c r="BC116" s="229">
        <v>1.8841000000000001</v>
      </c>
      <c r="BD116" s="228">
        <v>0</v>
      </c>
      <c r="BE116" s="228">
        <v>0</v>
      </c>
      <c r="BF116" s="228">
        <v>0</v>
      </c>
      <c r="BG116" s="229">
        <v>0</v>
      </c>
      <c r="BH116" s="230">
        <v>41540800</v>
      </c>
      <c r="BI116" s="230">
        <v>42076800</v>
      </c>
      <c r="BJ116" s="230">
        <v>-536000</v>
      </c>
      <c r="BK116" s="229">
        <v>-1.2699999999999999E-2</v>
      </c>
      <c r="BL116" s="230">
        <v>22643200</v>
      </c>
      <c r="BM116" s="230">
        <v>18243200</v>
      </c>
      <c r="BN116" s="230">
        <v>4400000</v>
      </c>
      <c r="BO116" s="229">
        <v>0.2412</v>
      </c>
      <c r="BP116" s="230">
        <v>80843200</v>
      </c>
      <c r="BQ116" s="230">
        <v>68180800</v>
      </c>
      <c r="BR116" s="230">
        <v>12662400</v>
      </c>
      <c r="BS116" s="229">
        <v>0.1857</v>
      </c>
      <c r="BT116" s="230">
        <v>10162446</v>
      </c>
      <c r="BU116" s="230">
        <v>5386423</v>
      </c>
      <c r="BV116" s="230">
        <v>4776023</v>
      </c>
      <c r="BW116" s="229">
        <v>0.88670000000000004</v>
      </c>
      <c r="BX116" s="230">
        <v>113659200</v>
      </c>
      <c r="BY116" s="230">
        <v>113508800</v>
      </c>
      <c r="BZ116" s="230">
        <v>150400</v>
      </c>
      <c r="CA116" s="229">
        <v>1.2999999999999999E-3</v>
      </c>
      <c r="CB116" s="230">
        <v>95931200</v>
      </c>
      <c r="CC116" s="230">
        <v>99403200</v>
      </c>
      <c r="CD116" s="230">
        <v>-3472000</v>
      </c>
      <c r="CE116" s="229">
        <v>-3.49E-2</v>
      </c>
      <c r="CF116" s="230">
        <v>14686400</v>
      </c>
      <c r="CG116" s="230">
        <v>11156800</v>
      </c>
      <c r="CH116" s="230">
        <v>3529600</v>
      </c>
      <c r="CI116" s="229">
        <v>0.31640000000000001</v>
      </c>
      <c r="CJ116" s="228">
        <v>0</v>
      </c>
      <c r="CK116" s="228">
        <v>0</v>
      </c>
      <c r="CL116" s="228">
        <v>0</v>
      </c>
      <c r="CM116" s="229">
        <v>0</v>
      </c>
      <c r="CN116" s="230">
        <v>53152000</v>
      </c>
      <c r="CO116" s="230">
        <v>51934400</v>
      </c>
      <c r="CP116" s="230">
        <v>1217600</v>
      </c>
      <c r="CQ116" s="229">
        <v>2.3400000000000001E-2</v>
      </c>
      <c r="CR116" s="230">
        <v>30582400</v>
      </c>
      <c r="CS116" s="230">
        <v>29721600</v>
      </c>
      <c r="CT116" s="230">
        <v>860800</v>
      </c>
      <c r="CU116" s="229">
        <v>2.9000000000000001E-2</v>
      </c>
      <c r="CV116" s="230">
        <v>197393600</v>
      </c>
      <c r="CW116" s="230">
        <v>195164800</v>
      </c>
      <c r="CX116" s="230">
        <v>2228800</v>
      </c>
      <c r="CY116" s="229">
        <v>1.14E-2</v>
      </c>
      <c r="CZ116" s="228">
        <v>13.8</v>
      </c>
      <c r="DA116" s="228">
        <v>14.15</v>
      </c>
      <c r="DB116" s="228">
        <v>-0.35</v>
      </c>
      <c r="DC116" s="228">
        <v>-0.35</v>
      </c>
      <c r="DD116" s="228">
        <v>20.82</v>
      </c>
      <c r="DE116" s="228">
        <v>20.83</v>
      </c>
      <c r="DF116" s="228">
        <v>-7.02</v>
      </c>
      <c r="DG116" s="228">
        <v>-0.01</v>
      </c>
      <c r="DH116" s="228">
        <v>14.07</v>
      </c>
      <c r="DI116" s="228">
        <v>14.62</v>
      </c>
      <c r="DJ116" s="228">
        <v>-0.55000000000000004</v>
      </c>
      <c r="DK116" s="228">
        <v>-0.55000000000000004</v>
      </c>
      <c r="DL116" s="228">
        <v>13.32</v>
      </c>
      <c r="DM116" s="228">
        <v>13.08</v>
      </c>
      <c r="DN116" s="228">
        <v>0.24</v>
      </c>
      <c r="DO116" s="228">
        <v>0.24</v>
      </c>
      <c r="DP116" s="228">
        <v>0.57999999999999996</v>
      </c>
      <c r="DQ116" s="228">
        <v>0.56999999999999995</v>
      </c>
      <c r="DR116" s="228">
        <v>0.01</v>
      </c>
      <c r="DS116" s="229">
        <v>1.7500000000000002E-2</v>
      </c>
      <c r="DT116" s="228">
        <v>420</v>
      </c>
      <c r="DU116" s="228">
        <v>420</v>
      </c>
      <c r="DV116" s="228">
        <v>0.55000000000000004</v>
      </c>
      <c r="DW116" s="228">
        <v>0.43</v>
      </c>
      <c r="DX116" s="228">
        <v>0.12</v>
      </c>
      <c r="DY116" s="229">
        <v>0.27910000000000001</v>
      </c>
      <c r="DZ116" s="229">
        <v>0.12920000000000001</v>
      </c>
      <c r="EA116" s="230">
        <v>11156800</v>
      </c>
      <c r="EB116" s="229">
        <v>5.3E-3</v>
      </c>
      <c r="EC116" s="229">
        <v>0.12920000000000001</v>
      </c>
      <c r="ED116" s="228">
        <v>2.0299999999999998</v>
      </c>
      <c r="EE116" s="229">
        <v>4.8999999999999998E-3</v>
      </c>
      <c r="EF116" s="230">
        <v>7532078</v>
      </c>
      <c r="EG116" s="230">
        <v>3177337</v>
      </c>
      <c r="EH116" s="229">
        <v>1.3706</v>
      </c>
      <c r="EI116" s="229">
        <v>0.74119999999999997</v>
      </c>
      <c r="EJ116" s="231">
        <v>177890.79</v>
      </c>
      <c r="EK116" s="231">
        <v>94858.78</v>
      </c>
      <c r="EL116" s="231">
        <v>69709</v>
      </c>
      <c r="EM116" s="228">
        <v>0</v>
      </c>
      <c r="EN116" s="231">
        <v>342458.57</v>
      </c>
      <c r="EO116" s="231">
        <v>292248.39</v>
      </c>
      <c r="EP116" s="231">
        <v>50210.18</v>
      </c>
      <c r="EQ116" s="229">
        <v>0.17180000000000001</v>
      </c>
      <c r="ER116" s="231">
        <v>229445</v>
      </c>
      <c r="ES116" s="231">
        <v>125817</v>
      </c>
      <c r="ET116" s="231">
        <v>474645</v>
      </c>
      <c r="EU116" s="231">
        <v>2502122210</v>
      </c>
      <c r="EV116" s="231">
        <v>829906</v>
      </c>
      <c r="EW116" s="231">
        <v>824613</v>
      </c>
      <c r="EX116" s="231">
        <v>5293</v>
      </c>
      <c r="EY116" s="229">
        <v>6.4000000000000003E-3</v>
      </c>
      <c r="EZ116" s="229">
        <v>7.8899999999999998E-2</v>
      </c>
      <c r="FA116" s="227" t="s">
        <v>567</v>
      </c>
      <c r="FB116" s="161">
        <f t="shared" si="1"/>
        <v>17728000</v>
      </c>
    </row>
    <row r="117" spans="1:158" ht="17.25" thickBot="1" x14ac:dyDescent="0.3">
      <c r="A117" s="226">
        <v>45860</v>
      </c>
      <c r="B117" s="227" t="s">
        <v>227</v>
      </c>
      <c r="C117" s="227" t="s">
        <v>243</v>
      </c>
      <c r="D117" s="228">
        <v>625</v>
      </c>
      <c r="E117" s="228">
        <v>965.25</v>
      </c>
      <c r="F117" s="228">
        <v>963.55</v>
      </c>
      <c r="G117" s="228">
        <v>1.7</v>
      </c>
      <c r="H117" s="229">
        <v>1.8E-3</v>
      </c>
      <c r="I117" s="228">
        <v>965</v>
      </c>
      <c r="J117" s="228">
        <v>960.05</v>
      </c>
      <c r="K117" s="228">
        <v>4.95</v>
      </c>
      <c r="L117" s="229">
        <v>5.1999999999999998E-3</v>
      </c>
      <c r="M117" s="228">
        <v>965.25</v>
      </c>
      <c r="N117" s="228">
        <v>963.55</v>
      </c>
      <c r="O117" s="228">
        <v>1.7</v>
      </c>
      <c r="P117" s="229">
        <v>1.8E-3</v>
      </c>
      <c r="Q117" s="228">
        <v>968</v>
      </c>
      <c r="R117" s="228">
        <v>966</v>
      </c>
      <c r="S117" s="228">
        <v>2</v>
      </c>
      <c r="T117" s="229">
        <v>2.0999999999999999E-3</v>
      </c>
      <c r="U117" s="228">
        <v>0</v>
      </c>
      <c r="V117" s="228">
        <v>0</v>
      </c>
      <c r="W117" s="228">
        <v>0</v>
      </c>
      <c r="X117" s="229">
        <v>0</v>
      </c>
      <c r="Y117" s="228">
        <v>0.25</v>
      </c>
      <c r="Z117" s="228">
        <v>3.5</v>
      </c>
      <c r="AA117" s="228">
        <v>-3.25</v>
      </c>
      <c r="AB117" s="229">
        <v>2.9999999999999997E-4</v>
      </c>
      <c r="AC117" s="228">
        <v>0.25</v>
      </c>
      <c r="AD117" s="228">
        <v>3.5</v>
      </c>
      <c r="AE117" s="228">
        <v>-3.25</v>
      </c>
      <c r="AF117" s="229">
        <v>2.9999999999999997E-4</v>
      </c>
      <c r="AG117" s="228">
        <v>3</v>
      </c>
      <c r="AH117" s="228">
        <v>5.95</v>
      </c>
      <c r="AI117" s="228">
        <v>-2.95</v>
      </c>
      <c r="AJ117" s="229">
        <v>3.0999999999999999E-3</v>
      </c>
      <c r="AK117" s="228">
        <v>0</v>
      </c>
      <c r="AL117" s="228">
        <v>0</v>
      </c>
      <c r="AM117" s="228">
        <v>0</v>
      </c>
      <c r="AN117" s="229">
        <v>0</v>
      </c>
      <c r="AO117" s="228">
        <v>968.61</v>
      </c>
      <c r="AP117" s="228">
        <v>971.55</v>
      </c>
      <c r="AQ117" s="228">
        <v>0</v>
      </c>
      <c r="AR117" s="230">
        <v>3005000</v>
      </c>
      <c r="AS117" s="230">
        <v>3068750</v>
      </c>
      <c r="AT117" s="230">
        <v>-63750</v>
      </c>
      <c r="AU117" s="229">
        <v>-2.0799999999999999E-2</v>
      </c>
      <c r="AV117" s="230">
        <v>2683125</v>
      </c>
      <c r="AW117" s="230">
        <v>2665625</v>
      </c>
      <c r="AX117" s="230">
        <v>17500</v>
      </c>
      <c r="AY117" s="229">
        <v>6.6E-3</v>
      </c>
      <c r="AZ117" s="230">
        <v>317500</v>
      </c>
      <c r="BA117" s="230">
        <v>395000</v>
      </c>
      <c r="BB117" s="230">
        <v>-77500</v>
      </c>
      <c r="BC117" s="229">
        <v>-0.19620000000000001</v>
      </c>
      <c r="BD117" s="228">
        <v>0</v>
      </c>
      <c r="BE117" s="228">
        <v>0</v>
      </c>
      <c r="BF117" s="228">
        <v>0</v>
      </c>
      <c r="BG117" s="229">
        <v>0</v>
      </c>
      <c r="BH117" s="230">
        <v>4919375</v>
      </c>
      <c r="BI117" s="230">
        <v>4812500</v>
      </c>
      <c r="BJ117" s="230">
        <v>106875</v>
      </c>
      <c r="BK117" s="229">
        <v>2.2200000000000001E-2</v>
      </c>
      <c r="BL117" s="230">
        <v>3145625</v>
      </c>
      <c r="BM117" s="230">
        <v>2758125</v>
      </c>
      <c r="BN117" s="230">
        <v>387500</v>
      </c>
      <c r="BO117" s="229">
        <v>0.14050000000000001</v>
      </c>
      <c r="BP117" s="230">
        <v>11070000</v>
      </c>
      <c r="BQ117" s="230">
        <v>10639375</v>
      </c>
      <c r="BR117" s="230">
        <v>430625</v>
      </c>
      <c r="BS117" s="229">
        <v>4.0500000000000001E-2</v>
      </c>
      <c r="BT117" s="230">
        <v>1955641</v>
      </c>
      <c r="BU117" s="230">
        <v>1395805</v>
      </c>
      <c r="BV117" s="230">
        <v>559836</v>
      </c>
      <c r="BW117" s="229">
        <v>0.40110000000000001</v>
      </c>
      <c r="BX117" s="230">
        <v>17262500</v>
      </c>
      <c r="BY117" s="230">
        <v>17769375</v>
      </c>
      <c r="BZ117" s="230">
        <v>-506875</v>
      </c>
      <c r="CA117" s="229">
        <v>-2.8500000000000001E-2</v>
      </c>
      <c r="CB117" s="230">
        <v>16572500</v>
      </c>
      <c r="CC117" s="230">
        <v>17138125</v>
      </c>
      <c r="CD117" s="230">
        <v>-565625</v>
      </c>
      <c r="CE117" s="229">
        <v>-3.3000000000000002E-2</v>
      </c>
      <c r="CF117" s="230">
        <v>663125</v>
      </c>
      <c r="CG117" s="230">
        <v>605625</v>
      </c>
      <c r="CH117" s="230">
        <v>57500</v>
      </c>
      <c r="CI117" s="229">
        <v>9.4899999999999998E-2</v>
      </c>
      <c r="CJ117" s="228">
        <v>0</v>
      </c>
      <c r="CK117" s="228">
        <v>0</v>
      </c>
      <c r="CL117" s="228">
        <v>0</v>
      </c>
      <c r="CM117" s="229">
        <v>0</v>
      </c>
      <c r="CN117" s="230">
        <v>4855625</v>
      </c>
      <c r="CO117" s="230">
        <v>4811875</v>
      </c>
      <c r="CP117" s="230">
        <v>43750</v>
      </c>
      <c r="CQ117" s="229">
        <v>9.1000000000000004E-3</v>
      </c>
      <c r="CR117" s="230">
        <v>4020000</v>
      </c>
      <c r="CS117" s="230">
        <v>3903750</v>
      </c>
      <c r="CT117" s="230">
        <v>116250</v>
      </c>
      <c r="CU117" s="229">
        <v>2.98E-2</v>
      </c>
      <c r="CV117" s="230">
        <v>26138125</v>
      </c>
      <c r="CW117" s="230">
        <v>26485000</v>
      </c>
      <c r="CX117" s="230">
        <v>-346875</v>
      </c>
      <c r="CY117" s="229">
        <v>-1.3100000000000001E-2</v>
      </c>
      <c r="CZ117" s="228">
        <v>31.47</v>
      </c>
      <c r="DA117" s="228">
        <v>33.979999999999997</v>
      </c>
      <c r="DB117" s="228">
        <v>-2.5099999999999998</v>
      </c>
      <c r="DC117" s="228">
        <v>-2.5099999999999998</v>
      </c>
      <c r="DD117" s="228">
        <v>37.590000000000003</v>
      </c>
      <c r="DE117" s="228">
        <v>37.68</v>
      </c>
      <c r="DF117" s="228">
        <v>-6.12</v>
      </c>
      <c r="DG117" s="228">
        <v>-0.09</v>
      </c>
      <c r="DH117" s="228">
        <v>31.29</v>
      </c>
      <c r="DI117" s="228">
        <v>33.44</v>
      </c>
      <c r="DJ117" s="228">
        <v>-2.15</v>
      </c>
      <c r="DK117" s="228">
        <v>-2.15</v>
      </c>
      <c r="DL117" s="228">
        <v>31.75</v>
      </c>
      <c r="DM117" s="228">
        <v>34.92</v>
      </c>
      <c r="DN117" s="228">
        <v>-3.17</v>
      </c>
      <c r="DO117" s="228">
        <v>-3.17</v>
      </c>
      <c r="DP117" s="228">
        <v>0.83</v>
      </c>
      <c r="DQ117" s="228">
        <v>0.81</v>
      </c>
      <c r="DR117" s="228">
        <v>0.02</v>
      </c>
      <c r="DS117" s="229">
        <v>2.47E-2</v>
      </c>
      <c r="DT117" s="231">
        <v>1000</v>
      </c>
      <c r="DU117" s="228">
        <v>900</v>
      </c>
      <c r="DV117" s="228">
        <v>0.64</v>
      </c>
      <c r="DW117" s="228">
        <v>0.56999999999999995</v>
      </c>
      <c r="DX117" s="228">
        <v>7.0000000000000007E-2</v>
      </c>
      <c r="DY117" s="229">
        <v>0.12280000000000001</v>
      </c>
      <c r="DZ117" s="229">
        <v>3.8399999999999997E-2</v>
      </c>
      <c r="EA117" s="230">
        <v>605625</v>
      </c>
      <c r="EB117" s="229">
        <v>2.8E-3</v>
      </c>
      <c r="EC117" s="229">
        <v>3.8399999999999997E-2</v>
      </c>
      <c r="ED117" s="228">
        <v>2.94</v>
      </c>
      <c r="EE117" s="229">
        <v>3.0000000000000001E-3</v>
      </c>
      <c r="EF117" s="230">
        <v>908507</v>
      </c>
      <c r="EG117" s="230">
        <v>558496</v>
      </c>
      <c r="EH117" s="229">
        <v>0.62670000000000003</v>
      </c>
      <c r="EI117" s="229">
        <v>0.46460000000000001</v>
      </c>
      <c r="EJ117" s="231">
        <v>49111.49</v>
      </c>
      <c r="EK117" s="231">
        <v>29878.560000000001</v>
      </c>
      <c r="EL117" s="231">
        <v>29116.51</v>
      </c>
      <c r="EM117" s="228">
        <v>0</v>
      </c>
      <c r="EN117" s="231">
        <v>108106.56</v>
      </c>
      <c r="EO117" s="231">
        <v>103625.58</v>
      </c>
      <c r="EP117" s="231">
        <v>4480.9799999999996</v>
      </c>
      <c r="EQ117" s="229">
        <v>4.3200000000000002E-2</v>
      </c>
      <c r="ER117" s="231">
        <v>48017</v>
      </c>
      <c r="ES117" s="231">
        <v>36993</v>
      </c>
      <c r="ET117" s="231">
        <v>166647</v>
      </c>
      <c r="EU117" s="231">
        <v>75417775</v>
      </c>
      <c r="EV117" s="231">
        <v>251657</v>
      </c>
      <c r="EW117" s="231">
        <v>254677</v>
      </c>
      <c r="EX117" s="231">
        <v>-3020</v>
      </c>
      <c r="EY117" s="229">
        <v>-1.1900000000000001E-2</v>
      </c>
      <c r="EZ117" s="229">
        <v>0.34660000000000002</v>
      </c>
      <c r="FA117" s="227" t="s">
        <v>556</v>
      </c>
      <c r="FB117" s="161">
        <f t="shared" si="1"/>
        <v>690000</v>
      </c>
    </row>
    <row r="118" spans="1:158" ht="17.25" thickBot="1" x14ac:dyDescent="0.3">
      <c r="A118" s="226">
        <v>45860</v>
      </c>
      <c r="B118" s="227" t="s">
        <v>175</v>
      </c>
      <c r="C118" s="227" t="s">
        <v>571</v>
      </c>
      <c r="D118" s="228">
        <v>2350</v>
      </c>
      <c r="E118" s="228">
        <v>311.45</v>
      </c>
      <c r="F118" s="228">
        <v>318.35000000000002</v>
      </c>
      <c r="G118" s="228">
        <v>-6.9</v>
      </c>
      <c r="H118" s="229">
        <v>-2.1700000000000001E-2</v>
      </c>
      <c r="I118" s="228">
        <v>310.8</v>
      </c>
      <c r="J118" s="228">
        <v>317.25</v>
      </c>
      <c r="K118" s="228">
        <v>-6.45</v>
      </c>
      <c r="L118" s="229">
        <v>-2.0299999999999999E-2</v>
      </c>
      <c r="M118" s="228">
        <v>311.45</v>
      </c>
      <c r="N118" s="228">
        <v>318.35000000000002</v>
      </c>
      <c r="O118" s="228">
        <v>-6.9</v>
      </c>
      <c r="P118" s="229">
        <v>-2.1700000000000001E-2</v>
      </c>
      <c r="Q118" s="228">
        <v>312.75</v>
      </c>
      <c r="R118" s="228">
        <v>319.35000000000002</v>
      </c>
      <c r="S118" s="228">
        <v>-6.6</v>
      </c>
      <c r="T118" s="229">
        <v>-2.07E-2</v>
      </c>
      <c r="U118" s="228">
        <v>0</v>
      </c>
      <c r="V118" s="228">
        <v>0</v>
      </c>
      <c r="W118" s="228">
        <v>0</v>
      </c>
      <c r="X118" s="229">
        <v>0</v>
      </c>
      <c r="Y118" s="228">
        <v>0.65</v>
      </c>
      <c r="Z118" s="228">
        <v>1.1000000000000001</v>
      </c>
      <c r="AA118" s="228">
        <v>-0.45</v>
      </c>
      <c r="AB118" s="229">
        <v>2.0999999999999999E-3</v>
      </c>
      <c r="AC118" s="228">
        <v>0.65</v>
      </c>
      <c r="AD118" s="228">
        <v>1.1000000000000001</v>
      </c>
      <c r="AE118" s="228">
        <v>-0.45</v>
      </c>
      <c r="AF118" s="229">
        <v>2.0999999999999999E-3</v>
      </c>
      <c r="AG118" s="228">
        <v>1.95</v>
      </c>
      <c r="AH118" s="228">
        <v>2.1</v>
      </c>
      <c r="AI118" s="228">
        <v>-0.15</v>
      </c>
      <c r="AJ118" s="229">
        <v>6.3E-3</v>
      </c>
      <c r="AK118" s="228">
        <v>0</v>
      </c>
      <c r="AL118" s="228">
        <v>0</v>
      </c>
      <c r="AM118" s="228">
        <v>0</v>
      </c>
      <c r="AN118" s="229">
        <v>0</v>
      </c>
      <c r="AO118" s="228">
        <v>313.8</v>
      </c>
      <c r="AP118" s="228">
        <v>314.77999999999997</v>
      </c>
      <c r="AQ118" s="228">
        <v>0</v>
      </c>
      <c r="AR118" s="230">
        <v>20499050</v>
      </c>
      <c r="AS118" s="230">
        <v>19521450</v>
      </c>
      <c r="AT118" s="230">
        <v>977600</v>
      </c>
      <c r="AU118" s="229">
        <v>5.0099999999999999E-2</v>
      </c>
      <c r="AV118" s="230">
        <v>13738100</v>
      </c>
      <c r="AW118" s="230">
        <v>14868450</v>
      </c>
      <c r="AX118" s="230">
        <v>-1130350</v>
      </c>
      <c r="AY118" s="229">
        <v>-7.5999999999999998E-2</v>
      </c>
      <c r="AZ118" s="230">
        <v>5999550</v>
      </c>
      <c r="BA118" s="230">
        <v>4265250</v>
      </c>
      <c r="BB118" s="230">
        <v>1734300</v>
      </c>
      <c r="BC118" s="229">
        <v>0.40660000000000002</v>
      </c>
      <c r="BD118" s="228">
        <v>0</v>
      </c>
      <c r="BE118" s="228">
        <v>0</v>
      </c>
      <c r="BF118" s="228">
        <v>0</v>
      </c>
      <c r="BG118" s="229">
        <v>0</v>
      </c>
      <c r="BH118" s="230">
        <v>116889000</v>
      </c>
      <c r="BI118" s="230">
        <v>99912600</v>
      </c>
      <c r="BJ118" s="230">
        <v>16976400</v>
      </c>
      <c r="BK118" s="229">
        <v>0.1699</v>
      </c>
      <c r="BL118" s="230">
        <v>51119550</v>
      </c>
      <c r="BM118" s="230">
        <v>46363150</v>
      </c>
      <c r="BN118" s="230">
        <v>4756400</v>
      </c>
      <c r="BO118" s="229">
        <v>0.1026</v>
      </c>
      <c r="BP118" s="230">
        <v>188507600</v>
      </c>
      <c r="BQ118" s="230">
        <v>165797200</v>
      </c>
      <c r="BR118" s="230">
        <v>22710400</v>
      </c>
      <c r="BS118" s="229">
        <v>0.13700000000000001</v>
      </c>
      <c r="BT118" s="230">
        <v>17283671</v>
      </c>
      <c r="BU118" s="230">
        <v>17999219</v>
      </c>
      <c r="BV118" s="230">
        <v>-715548</v>
      </c>
      <c r="BW118" s="229">
        <v>-3.9800000000000002E-2</v>
      </c>
      <c r="BX118" s="230">
        <v>118214400</v>
      </c>
      <c r="BY118" s="230">
        <v>116783250</v>
      </c>
      <c r="BZ118" s="230">
        <v>1431150</v>
      </c>
      <c r="CA118" s="229">
        <v>1.23E-2</v>
      </c>
      <c r="CB118" s="230">
        <v>79336000</v>
      </c>
      <c r="CC118" s="230">
        <v>81657800</v>
      </c>
      <c r="CD118" s="230">
        <v>-2321800</v>
      </c>
      <c r="CE118" s="229">
        <v>-2.8400000000000002E-2</v>
      </c>
      <c r="CF118" s="230">
        <v>35430950</v>
      </c>
      <c r="CG118" s="230">
        <v>32148000</v>
      </c>
      <c r="CH118" s="230">
        <v>3282950</v>
      </c>
      <c r="CI118" s="229">
        <v>0.1021</v>
      </c>
      <c r="CJ118" s="228">
        <v>0</v>
      </c>
      <c r="CK118" s="228">
        <v>0</v>
      </c>
      <c r="CL118" s="228">
        <v>0</v>
      </c>
      <c r="CM118" s="229">
        <v>0</v>
      </c>
      <c r="CN118" s="230">
        <v>97555550</v>
      </c>
      <c r="CO118" s="230">
        <v>91229350</v>
      </c>
      <c r="CP118" s="230">
        <v>6326200</v>
      </c>
      <c r="CQ118" s="229">
        <v>6.93E-2</v>
      </c>
      <c r="CR118" s="230">
        <v>50238300</v>
      </c>
      <c r="CS118" s="230">
        <v>48200850</v>
      </c>
      <c r="CT118" s="230">
        <v>2037450</v>
      </c>
      <c r="CU118" s="229">
        <v>4.2299999999999997E-2</v>
      </c>
      <c r="CV118" s="230">
        <v>266008250</v>
      </c>
      <c r="CW118" s="230">
        <v>256213450</v>
      </c>
      <c r="CX118" s="230">
        <v>9794800</v>
      </c>
      <c r="CY118" s="229">
        <v>3.8199999999999998E-2</v>
      </c>
      <c r="CZ118" s="228">
        <v>29.52</v>
      </c>
      <c r="DA118" s="228">
        <v>29.34</v>
      </c>
      <c r="DB118" s="228">
        <v>0.18</v>
      </c>
      <c r="DC118" s="228">
        <v>0.18</v>
      </c>
      <c r="DD118" s="228">
        <v>39.26</v>
      </c>
      <c r="DE118" s="228">
        <v>39.24</v>
      </c>
      <c r="DF118" s="228">
        <v>-9.74</v>
      </c>
      <c r="DG118" s="228">
        <v>0.02</v>
      </c>
      <c r="DH118" s="228">
        <v>30.49</v>
      </c>
      <c r="DI118" s="228">
        <v>29.41</v>
      </c>
      <c r="DJ118" s="228">
        <v>1.08</v>
      </c>
      <c r="DK118" s="228">
        <v>1.08</v>
      </c>
      <c r="DL118" s="228">
        <v>27.29</v>
      </c>
      <c r="DM118" s="228">
        <v>29.18</v>
      </c>
      <c r="DN118" s="228">
        <v>-1.89</v>
      </c>
      <c r="DO118" s="228">
        <v>-1.89</v>
      </c>
      <c r="DP118" s="228">
        <v>0.51</v>
      </c>
      <c r="DQ118" s="228">
        <v>0.53</v>
      </c>
      <c r="DR118" s="228">
        <v>-0.02</v>
      </c>
      <c r="DS118" s="229">
        <v>-3.7699999999999997E-2</v>
      </c>
      <c r="DT118" s="228">
        <v>330</v>
      </c>
      <c r="DU118" s="228">
        <v>300</v>
      </c>
      <c r="DV118" s="228">
        <v>0.44</v>
      </c>
      <c r="DW118" s="228">
        <v>0.46</v>
      </c>
      <c r="DX118" s="228">
        <v>-0.02</v>
      </c>
      <c r="DY118" s="229">
        <v>-4.3499999999999997E-2</v>
      </c>
      <c r="DZ118" s="229">
        <v>0.29970000000000002</v>
      </c>
      <c r="EA118" s="230">
        <v>32148000</v>
      </c>
      <c r="EB118" s="229">
        <v>4.1999999999999997E-3</v>
      </c>
      <c r="EC118" s="229">
        <v>0.29970000000000002</v>
      </c>
      <c r="ED118" s="228">
        <v>0.98</v>
      </c>
      <c r="EE118" s="229">
        <v>3.0999999999999999E-3</v>
      </c>
      <c r="EF118" s="230">
        <v>8704040</v>
      </c>
      <c r="EG118" s="230">
        <v>8251657</v>
      </c>
      <c r="EH118" s="229">
        <v>5.4800000000000001E-2</v>
      </c>
      <c r="EI118" s="229">
        <v>0.50360000000000005</v>
      </c>
      <c r="EJ118" s="231">
        <v>387402.18</v>
      </c>
      <c r="EK118" s="231">
        <v>160131.79</v>
      </c>
      <c r="EL118" s="231">
        <v>64406.79</v>
      </c>
      <c r="EM118" s="228">
        <v>0</v>
      </c>
      <c r="EN118" s="231">
        <v>611940.76</v>
      </c>
      <c r="EO118" s="231">
        <v>540985.44999999995</v>
      </c>
      <c r="EP118" s="231">
        <v>70955.31</v>
      </c>
      <c r="EQ118" s="229">
        <v>0.13120000000000001</v>
      </c>
      <c r="ER118" s="231">
        <v>326246</v>
      </c>
      <c r="ES118" s="231">
        <v>153447</v>
      </c>
      <c r="ET118" s="231">
        <v>368760</v>
      </c>
      <c r="EU118" s="231">
        <v>671850851</v>
      </c>
      <c r="EV118" s="231">
        <v>848454</v>
      </c>
      <c r="EW118" s="231">
        <v>825895</v>
      </c>
      <c r="EX118" s="231">
        <v>22559</v>
      </c>
      <c r="EY118" s="229">
        <v>2.7300000000000001E-2</v>
      </c>
      <c r="EZ118" s="229">
        <v>0.39589999999999997</v>
      </c>
      <c r="FA118" s="227" t="s">
        <v>567</v>
      </c>
      <c r="FB118" s="161">
        <f t="shared" si="1"/>
        <v>38878400</v>
      </c>
    </row>
    <row r="119" spans="1:158" ht="17.25" thickBot="1" x14ac:dyDescent="0.3">
      <c r="A119" s="226">
        <v>45860</v>
      </c>
      <c r="B119" s="227" t="s">
        <v>227</v>
      </c>
      <c r="C119" s="227" t="s">
        <v>582</v>
      </c>
      <c r="D119" s="228">
        <v>850</v>
      </c>
      <c r="E119" s="228">
        <v>690.45</v>
      </c>
      <c r="F119" s="228">
        <v>700.35</v>
      </c>
      <c r="G119" s="228">
        <v>-9.9</v>
      </c>
      <c r="H119" s="229">
        <v>-1.41E-2</v>
      </c>
      <c r="I119" s="228">
        <v>688.9</v>
      </c>
      <c r="J119" s="228">
        <v>697.85</v>
      </c>
      <c r="K119" s="228">
        <v>-8.9499999999999993</v>
      </c>
      <c r="L119" s="229">
        <v>-1.2800000000000001E-2</v>
      </c>
      <c r="M119" s="228">
        <v>690.45</v>
      </c>
      <c r="N119" s="228">
        <v>700.35</v>
      </c>
      <c r="O119" s="228">
        <v>-9.9</v>
      </c>
      <c r="P119" s="229">
        <v>-1.41E-2</v>
      </c>
      <c r="Q119" s="228">
        <v>688.75</v>
      </c>
      <c r="R119" s="228">
        <v>700</v>
      </c>
      <c r="S119" s="228">
        <v>-11.25</v>
      </c>
      <c r="T119" s="229">
        <v>-1.61E-2</v>
      </c>
      <c r="U119" s="228">
        <v>0</v>
      </c>
      <c r="V119" s="228">
        <v>0</v>
      </c>
      <c r="W119" s="228">
        <v>0</v>
      </c>
      <c r="X119" s="229">
        <v>0</v>
      </c>
      <c r="Y119" s="228">
        <v>1.55</v>
      </c>
      <c r="Z119" s="228">
        <v>2.5</v>
      </c>
      <c r="AA119" s="228">
        <v>-0.95</v>
      </c>
      <c r="AB119" s="229">
        <v>2.2000000000000001E-3</v>
      </c>
      <c r="AC119" s="228">
        <v>1.55</v>
      </c>
      <c r="AD119" s="228">
        <v>2.5</v>
      </c>
      <c r="AE119" s="228">
        <v>-0.95</v>
      </c>
      <c r="AF119" s="229">
        <v>2.2000000000000001E-3</v>
      </c>
      <c r="AG119" s="228">
        <v>-0.15</v>
      </c>
      <c r="AH119" s="228">
        <v>2.15</v>
      </c>
      <c r="AI119" s="228">
        <v>-2.2999999999999998</v>
      </c>
      <c r="AJ119" s="229">
        <v>-2.0000000000000001E-4</v>
      </c>
      <c r="AK119" s="228">
        <v>0</v>
      </c>
      <c r="AL119" s="228">
        <v>0</v>
      </c>
      <c r="AM119" s="228">
        <v>0</v>
      </c>
      <c r="AN119" s="229">
        <v>0</v>
      </c>
      <c r="AO119" s="228">
        <v>691.68</v>
      </c>
      <c r="AP119" s="228">
        <v>690.73</v>
      </c>
      <c r="AQ119" s="228">
        <v>0</v>
      </c>
      <c r="AR119" s="230">
        <v>906100</v>
      </c>
      <c r="AS119" s="230">
        <v>2627350</v>
      </c>
      <c r="AT119" s="230">
        <v>-1721250</v>
      </c>
      <c r="AU119" s="229">
        <v>-0.65510000000000002</v>
      </c>
      <c r="AV119" s="230">
        <v>640050</v>
      </c>
      <c r="AW119" s="230">
        <v>2334950</v>
      </c>
      <c r="AX119" s="230">
        <v>-1694900</v>
      </c>
      <c r="AY119" s="229">
        <v>-0.72589999999999999</v>
      </c>
      <c r="AZ119" s="230">
        <v>266050</v>
      </c>
      <c r="BA119" s="230">
        <v>292400</v>
      </c>
      <c r="BB119" s="230">
        <v>-26350</v>
      </c>
      <c r="BC119" s="229">
        <v>-9.01E-2</v>
      </c>
      <c r="BD119" s="228">
        <v>0</v>
      </c>
      <c r="BE119" s="228">
        <v>0</v>
      </c>
      <c r="BF119" s="228">
        <v>0</v>
      </c>
      <c r="BG119" s="229">
        <v>0</v>
      </c>
      <c r="BH119" s="230">
        <v>1627750</v>
      </c>
      <c r="BI119" s="230">
        <v>8480450</v>
      </c>
      <c r="BJ119" s="230">
        <v>-6852700</v>
      </c>
      <c r="BK119" s="229">
        <v>-0.80810000000000004</v>
      </c>
      <c r="BL119" s="230">
        <v>1359150</v>
      </c>
      <c r="BM119" s="230">
        <v>1910800</v>
      </c>
      <c r="BN119" s="230">
        <v>-551650</v>
      </c>
      <c r="BO119" s="229">
        <v>-0.28870000000000001</v>
      </c>
      <c r="BP119" s="230">
        <v>3893000</v>
      </c>
      <c r="BQ119" s="230">
        <v>13018600</v>
      </c>
      <c r="BR119" s="230">
        <v>-9125600</v>
      </c>
      <c r="BS119" s="229">
        <v>-0.70099999999999996</v>
      </c>
      <c r="BT119" s="230">
        <v>353570</v>
      </c>
      <c r="BU119" s="230">
        <v>1680972</v>
      </c>
      <c r="BV119" s="230">
        <v>-1327402</v>
      </c>
      <c r="BW119" s="229">
        <v>-0.78969999999999996</v>
      </c>
      <c r="BX119" s="230">
        <v>7340600</v>
      </c>
      <c r="BY119" s="230">
        <v>7313400</v>
      </c>
      <c r="BZ119" s="230">
        <v>27200</v>
      </c>
      <c r="CA119" s="229">
        <v>3.7000000000000002E-3</v>
      </c>
      <c r="CB119" s="230">
        <v>6302750</v>
      </c>
      <c r="CC119" s="230">
        <v>6341000</v>
      </c>
      <c r="CD119" s="230">
        <v>-38250</v>
      </c>
      <c r="CE119" s="229">
        <v>-6.0000000000000001E-3</v>
      </c>
      <c r="CF119" s="230">
        <v>1037850</v>
      </c>
      <c r="CG119" s="230">
        <v>972400</v>
      </c>
      <c r="CH119" s="230">
        <v>65450</v>
      </c>
      <c r="CI119" s="229">
        <v>6.7299999999999999E-2</v>
      </c>
      <c r="CJ119" s="228">
        <v>0</v>
      </c>
      <c r="CK119" s="228">
        <v>0</v>
      </c>
      <c r="CL119" s="228">
        <v>0</v>
      </c>
      <c r="CM119" s="229">
        <v>0</v>
      </c>
      <c r="CN119" s="230">
        <v>1925250</v>
      </c>
      <c r="CO119" s="230">
        <v>1943100</v>
      </c>
      <c r="CP119" s="230">
        <v>-17850</v>
      </c>
      <c r="CQ119" s="229">
        <v>-9.1999999999999998E-3</v>
      </c>
      <c r="CR119" s="230">
        <v>1108400</v>
      </c>
      <c r="CS119" s="230">
        <v>1177250</v>
      </c>
      <c r="CT119" s="230">
        <v>-68850</v>
      </c>
      <c r="CU119" s="229">
        <v>-5.8500000000000003E-2</v>
      </c>
      <c r="CV119" s="230">
        <v>10374250</v>
      </c>
      <c r="CW119" s="230">
        <v>10433750</v>
      </c>
      <c r="CX119" s="230">
        <v>-59500</v>
      </c>
      <c r="CY119" s="229">
        <v>-5.7000000000000002E-3</v>
      </c>
      <c r="CZ119" s="228">
        <v>34.54</v>
      </c>
      <c r="DA119" s="228">
        <v>35.43</v>
      </c>
      <c r="DB119" s="228">
        <v>-0.89</v>
      </c>
      <c r="DC119" s="228">
        <v>-0.89</v>
      </c>
      <c r="DD119" s="228">
        <v>44.99</v>
      </c>
      <c r="DE119" s="228">
        <v>45.06</v>
      </c>
      <c r="DF119" s="228">
        <v>-10.45</v>
      </c>
      <c r="DG119" s="228">
        <v>-7.0000000000000007E-2</v>
      </c>
      <c r="DH119" s="228">
        <v>35.369999999999997</v>
      </c>
      <c r="DI119" s="228">
        <v>35.33</v>
      </c>
      <c r="DJ119" s="228">
        <v>0.04</v>
      </c>
      <c r="DK119" s="228">
        <v>0.04</v>
      </c>
      <c r="DL119" s="228">
        <v>33.549999999999997</v>
      </c>
      <c r="DM119" s="228">
        <v>35.909999999999997</v>
      </c>
      <c r="DN119" s="228">
        <v>-2.36</v>
      </c>
      <c r="DO119" s="228">
        <v>-2.36</v>
      </c>
      <c r="DP119" s="228">
        <v>0.57999999999999996</v>
      </c>
      <c r="DQ119" s="228">
        <v>0.61</v>
      </c>
      <c r="DR119" s="228">
        <v>-0.03</v>
      </c>
      <c r="DS119" s="229">
        <v>-4.9200000000000001E-2</v>
      </c>
      <c r="DT119" s="228">
        <v>700</v>
      </c>
      <c r="DU119" s="228">
        <v>700</v>
      </c>
      <c r="DV119" s="228">
        <v>0.83</v>
      </c>
      <c r="DW119" s="228">
        <v>0.23</v>
      </c>
      <c r="DX119" s="228">
        <v>0.6</v>
      </c>
      <c r="DY119" s="229">
        <v>2.6086999999999998</v>
      </c>
      <c r="DZ119" s="229">
        <v>0.1414</v>
      </c>
      <c r="EA119" s="230">
        <v>972400</v>
      </c>
      <c r="EB119" s="229">
        <v>-2.5000000000000001E-3</v>
      </c>
      <c r="EC119" s="229">
        <v>0.1414</v>
      </c>
      <c r="ED119" s="228">
        <v>-0.95</v>
      </c>
      <c r="EE119" s="229">
        <v>-1.4E-3</v>
      </c>
      <c r="EF119" s="230">
        <v>117329</v>
      </c>
      <c r="EG119" s="230">
        <v>642161</v>
      </c>
      <c r="EH119" s="229">
        <v>-0.81730000000000003</v>
      </c>
      <c r="EI119" s="229">
        <v>0.33179999999999998</v>
      </c>
      <c r="EJ119" s="231">
        <v>11908.13</v>
      </c>
      <c r="EK119" s="231">
        <v>9237.36</v>
      </c>
      <c r="EL119" s="231">
        <v>6264.76</v>
      </c>
      <c r="EM119" s="228">
        <v>0</v>
      </c>
      <c r="EN119" s="231">
        <v>27410.25</v>
      </c>
      <c r="EO119" s="231">
        <v>92851.73</v>
      </c>
      <c r="EP119" s="231">
        <v>-65441.48</v>
      </c>
      <c r="EQ119" s="229">
        <v>-0.70479999999999998</v>
      </c>
      <c r="ER119" s="231">
        <v>13934</v>
      </c>
      <c r="ES119" s="231">
        <v>7401</v>
      </c>
      <c r="ET119" s="231">
        <v>50666</v>
      </c>
      <c r="EU119" s="231">
        <v>64423956</v>
      </c>
      <c r="EV119" s="231">
        <v>72001</v>
      </c>
      <c r="EW119" s="231">
        <v>73189</v>
      </c>
      <c r="EX119" s="231">
        <v>-1188</v>
      </c>
      <c r="EY119" s="229">
        <v>-1.6199999999999999E-2</v>
      </c>
      <c r="EZ119" s="229">
        <v>0.161</v>
      </c>
      <c r="FA119" s="227" t="s">
        <v>567</v>
      </c>
      <c r="FB119" s="161">
        <f t="shared" si="1"/>
        <v>1037850</v>
      </c>
    </row>
    <row r="120" spans="1:158" ht="17.25" thickBot="1" x14ac:dyDescent="0.3">
      <c r="A120" s="226">
        <v>45860</v>
      </c>
      <c r="B120" s="227" t="s">
        <v>161</v>
      </c>
      <c r="C120" s="227" t="s">
        <v>581</v>
      </c>
      <c r="D120" s="228">
        <v>1000</v>
      </c>
      <c r="E120" s="228">
        <v>531.9</v>
      </c>
      <c r="F120" s="228">
        <v>533.54999999999995</v>
      </c>
      <c r="G120" s="228">
        <v>-1.65</v>
      </c>
      <c r="H120" s="229">
        <v>-3.0999999999999999E-3</v>
      </c>
      <c r="I120" s="228">
        <v>531.54999999999995</v>
      </c>
      <c r="J120" s="228">
        <v>531.70000000000005</v>
      </c>
      <c r="K120" s="228">
        <v>-0.15</v>
      </c>
      <c r="L120" s="229">
        <v>-2.9999999999999997E-4</v>
      </c>
      <c r="M120" s="228">
        <v>531.9</v>
      </c>
      <c r="N120" s="228">
        <v>533.54999999999995</v>
      </c>
      <c r="O120" s="228">
        <v>-1.65</v>
      </c>
      <c r="P120" s="229">
        <v>-3.0999999999999999E-3</v>
      </c>
      <c r="Q120" s="228">
        <v>534.5</v>
      </c>
      <c r="R120" s="228">
        <v>536.25</v>
      </c>
      <c r="S120" s="228">
        <v>-1.75</v>
      </c>
      <c r="T120" s="229">
        <v>-3.3E-3</v>
      </c>
      <c r="U120" s="228">
        <v>0</v>
      </c>
      <c r="V120" s="228">
        <v>0</v>
      </c>
      <c r="W120" s="228">
        <v>0</v>
      </c>
      <c r="X120" s="229">
        <v>0</v>
      </c>
      <c r="Y120" s="228">
        <v>0.35</v>
      </c>
      <c r="Z120" s="228">
        <v>1.85</v>
      </c>
      <c r="AA120" s="228">
        <v>-1.5</v>
      </c>
      <c r="AB120" s="229">
        <v>6.9999999999999999E-4</v>
      </c>
      <c r="AC120" s="228">
        <v>0.35</v>
      </c>
      <c r="AD120" s="228">
        <v>1.85</v>
      </c>
      <c r="AE120" s="228">
        <v>-1.5</v>
      </c>
      <c r="AF120" s="229">
        <v>6.9999999999999999E-4</v>
      </c>
      <c r="AG120" s="228">
        <v>2.95</v>
      </c>
      <c r="AH120" s="228">
        <v>4.55</v>
      </c>
      <c r="AI120" s="228">
        <v>-1.6</v>
      </c>
      <c r="AJ120" s="229">
        <v>5.4999999999999997E-3</v>
      </c>
      <c r="AK120" s="228">
        <v>0</v>
      </c>
      <c r="AL120" s="228">
        <v>0</v>
      </c>
      <c r="AM120" s="228">
        <v>0</v>
      </c>
      <c r="AN120" s="229">
        <v>0</v>
      </c>
      <c r="AO120" s="228">
        <v>532.88</v>
      </c>
      <c r="AP120" s="228">
        <v>535.46</v>
      </c>
      <c r="AQ120" s="228">
        <v>0</v>
      </c>
      <c r="AR120" s="230">
        <v>3781000</v>
      </c>
      <c r="AS120" s="230">
        <v>4602000</v>
      </c>
      <c r="AT120" s="230">
        <v>-821000</v>
      </c>
      <c r="AU120" s="229">
        <v>-0.1784</v>
      </c>
      <c r="AV120" s="230">
        <v>2860000</v>
      </c>
      <c r="AW120" s="230">
        <v>3895000</v>
      </c>
      <c r="AX120" s="230">
        <v>-1035000</v>
      </c>
      <c r="AY120" s="229">
        <v>-0.26569999999999999</v>
      </c>
      <c r="AZ120" s="230">
        <v>916000</v>
      </c>
      <c r="BA120" s="230">
        <v>688000</v>
      </c>
      <c r="BB120" s="230">
        <v>228000</v>
      </c>
      <c r="BC120" s="229">
        <v>0.33139999999999997</v>
      </c>
      <c r="BD120" s="228">
        <v>0</v>
      </c>
      <c r="BE120" s="228">
        <v>0</v>
      </c>
      <c r="BF120" s="228">
        <v>0</v>
      </c>
      <c r="BG120" s="229">
        <v>0</v>
      </c>
      <c r="BH120" s="230">
        <v>6409000</v>
      </c>
      <c r="BI120" s="230">
        <v>10777000</v>
      </c>
      <c r="BJ120" s="230">
        <v>-4368000</v>
      </c>
      <c r="BK120" s="229">
        <v>-0.40529999999999999</v>
      </c>
      <c r="BL120" s="230">
        <v>1824000</v>
      </c>
      <c r="BM120" s="230">
        <v>3065000</v>
      </c>
      <c r="BN120" s="230">
        <v>-1241000</v>
      </c>
      <c r="BO120" s="229">
        <v>-0.40489999999999998</v>
      </c>
      <c r="BP120" s="230">
        <v>12014000</v>
      </c>
      <c r="BQ120" s="230">
        <v>18444000</v>
      </c>
      <c r="BR120" s="230">
        <v>-6430000</v>
      </c>
      <c r="BS120" s="229">
        <v>-0.34860000000000002</v>
      </c>
      <c r="BT120" s="230">
        <v>2884793</v>
      </c>
      <c r="BU120" s="230">
        <v>3044085</v>
      </c>
      <c r="BV120" s="230">
        <v>-159292</v>
      </c>
      <c r="BW120" s="229">
        <v>-5.2299999999999999E-2</v>
      </c>
      <c r="BX120" s="230">
        <v>46698000</v>
      </c>
      <c r="BY120" s="230">
        <v>46455000</v>
      </c>
      <c r="BZ120" s="230">
        <v>243000</v>
      </c>
      <c r="CA120" s="229">
        <v>5.1999999999999998E-3</v>
      </c>
      <c r="CB120" s="230">
        <v>43979000</v>
      </c>
      <c r="CC120" s="230">
        <v>44191000</v>
      </c>
      <c r="CD120" s="230">
        <v>-212000</v>
      </c>
      <c r="CE120" s="229">
        <v>-4.7999999999999996E-3</v>
      </c>
      <c r="CF120" s="230">
        <v>2579000</v>
      </c>
      <c r="CG120" s="230">
        <v>2124000</v>
      </c>
      <c r="CH120" s="230">
        <v>455000</v>
      </c>
      <c r="CI120" s="229">
        <v>0.2142</v>
      </c>
      <c r="CJ120" s="228">
        <v>0</v>
      </c>
      <c r="CK120" s="228">
        <v>0</v>
      </c>
      <c r="CL120" s="228">
        <v>0</v>
      </c>
      <c r="CM120" s="229">
        <v>0</v>
      </c>
      <c r="CN120" s="230">
        <v>11265000</v>
      </c>
      <c r="CO120" s="230">
        <v>11083000</v>
      </c>
      <c r="CP120" s="230">
        <v>182000</v>
      </c>
      <c r="CQ120" s="229">
        <v>1.6400000000000001E-2</v>
      </c>
      <c r="CR120" s="230">
        <v>5721000</v>
      </c>
      <c r="CS120" s="230">
        <v>5779000</v>
      </c>
      <c r="CT120" s="230">
        <v>-58000</v>
      </c>
      <c r="CU120" s="229">
        <v>-0.01</v>
      </c>
      <c r="CV120" s="230">
        <v>63684000</v>
      </c>
      <c r="CW120" s="230">
        <v>63317000</v>
      </c>
      <c r="CX120" s="230">
        <v>367000</v>
      </c>
      <c r="CY120" s="229">
        <v>5.7999999999999996E-3</v>
      </c>
      <c r="CZ120" s="228">
        <v>35.01</v>
      </c>
      <c r="DA120" s="228">
        <v>36.99</v>
      </c>
      <c r="DB120" s="228">
        <v>-1.98</v>
      </c>
      <c r="DC120" s="228">
        <v>-1.98</v>
      </c>
      <c r="DD120" s="228">
        <v>49.56</v>
      </c>
      <c r="DE120" s="228">
        <v>49.68</v>
      </c>
      <c r="DF120" s="228">
        <v>-14.55</v>
      </c>
      <c r="DG120" s="228">
        <v>-0.12</v>
      </c>
      <c r="DH120" s="228">
        <v>34.869999999999997</v>
      </c>
      <c r="DI120" s="228">
        <v>36.909999999999997</v>
      </c>
      <c r="DJ120" s="228">
        <v>-2.04</v>
      </c>
      <c r="DK120" s="228">
        <v>-2.04</v>
      </c>
      <c r="DL120" s="228">
        <v>35.479999999999997</v>
      </c>
      <c r="DM120" s="228">
        <v>37.29</v>
      </c>
      <c r="DN120" s="228">
        <v>-1.81</v>
      </c>
      <c r="DO120" s="228">
        <v>-1.81</v>
      </c>
      <c r="DP120" s="228">
        <v>0.51</v>
      </c>
      <c r="DQ120" s="228">
        <v>0.52</v>
      </c>
      <c r="DR120" s="228">
        <v>-0.01</v>
      </c>
      <c r="DS120" s="229">
        <v>-1.9199999999999998E-2</v>
      </c>
      <c r="DT120" s="228">
        <v>530</v>
      </c>
      <c r="DU120" s="228">
        <v>500</v>
      </c>
      <c r="DV120" s="228">
        <v>0.28000000000000003</v>
      </c>
      <c r="DW120" s="228">
        <v>0.28000000000000003</v>
      </c>
      <c r="DX120" s="228">
        <v>0</v>
      </c>
      <c r="DY120" s="229">
        <v>0</v>
      </c>
      <c r="DZ120" s="229">
        <v>5.5199999999999999E-2</v>
      </c>
      <c r="EA120" s="230">
        <v>2124000</v>
      </c>
      <c r="EB120" s="229">
        <v>4.8999999999999998E-3</v>
      </c>
      <c r="EC120" s="229">
        <v>5.5199999999999999E-2</v>
      </c>
      <c r="ED120" s="228">
        <v>2.58</v>
      </c>
      <c r="EE120" s="229">
        <v>4.7999999999999996E-3</v>
      </c>
      <c r="EF120" s="230">
        <v>1586453</v>
      </c>
      <c r="EG120" s="230">
        <v>1506255</v>
      </c>
      <c r="EH120" s="229">
        <v>5.3199999999999997E-2</v>
      </c>
      <c r="EI120" s="229">
        <v>0.54990000000000006</v>
      </c>
      <c r="EJ120" s="231">
        <v>35445.629999999997</v>
      </c>
      <c r="EK120" s="231">
        <v>9480.5</v>
      </c>
      <c r="EL120" s="231">
        <v>20172.060000000001</v>
      </c>
      <c r="EM120" s="228">
        <v>0</v>
      </c>
      <c r="EN120" s="231">
        <v>65098.19</v>
      </c>
      <c r="EO120" s="231">
        <v>100393.54</v>
      </c>
      <c r="EP120" s="231">
        <v>-35295.35</v>
      </c>
      <c r="EQ120" s="229">
        <v>-0.35160000000000002</v>
      </c>
      <c r="ER120" s="231">
        <v>60214</v>
      </c>
      <c r="ES120" s="231">
        <v>29081</v>
      </c>
      <c r="ET120" s="231">
        <v>248461</v>
      </c>
      <c r="EU120" s="231">
        <v>106935382</v>
      </c>
      <c r="EV120" s="231">
        <v>337755</v>
      </c>
      <c r="EW120" s="231">
        <v>336544</v>
      </c>
      <c r="EX120" s="231">
        <v>1211</v>
      </c>
      <c r="EY120" s="229">
        <v>3.5999999999999999E-3</v>
      </c>
      <c r="EZ120" s="229">
        <v>0.59550000000000003</v>
      </c>
      <c r="FA120" s="227" t="s">
        <v>567</v>
      </c>
      <c r="FB120" s="161">
        <f t="shared" si="1"/>
        <v>2719000</v>
      </c>
    </row>
    <row r="121" spans="1:158" ht="17.25" thickBot="1" x14ac:dyDescent="0.3">
      <c r="A121" s="226">
        <v>45860</v>
      </c>
      <c r="B121" s="227" t="s">
        <v>227</v>
      </c>
      <c r="C121" s="227" t="s">
        <v>244</v>
      </c>
      <c r="D121" s="228">
        <v>675</v>
      </c>
      <c r="E121" s="231">
        <v>1033.4000000000001</v>
      </c>
      <c r="F121" s="231">
        <v>1035.5</v>
      </c>
      <c r="G121" s="228">
        <v>-2.1</v>
      </c>
      <c r="H121" s="229">
        <v>-2E-3</v>
      </c>
      <c r="I121" s="231">
        <v>1030.7</v>
      </c>
      <c r="J121" s="231">
        <v>1034.8</v>
      </c>
      <c r="K121" s="228">
        <v>-4.0999999999999996</v>
      </c>
      <c r="L121" s="229">
        <v>-4.0000000000000001E-3</v>
      </c>
      <c r="M121" s="231">
        <v>1033.4000000000001</v>
      </c>
      <c r="N121" s="231">
        <v>1035.5</v>
      </c>
      <c r="O121" s="228">
        <v>-2.1</v>
      </c>
      <c r="P121" s="229">
        <v>-2E-3</v>
      </c>
      <c r="Q121" s="231">
        <v>1038.4000000000001</v>
      </c>
      <c r="R121" s="231">
        <v>1040.5999999999999</v>
      </c>
      <c r="S121" s="228">
        <v>-2.2000000000000002</v>
      </c>
      <c r="T121" s="229">
        <v>-2.0999999999999999E-3</v>
      </c>
      <c r="U121" s="228">
        <v>0</v>
      </c>
      <c r="V121" s="228">
        <v>0</v>
      </c>
      <c r="W121" s="228">
        <v>0</v>
      </c>
      <c r="X121" s="229">
        <v>0</v>
      </c>
      <c r="Y121" s="228">
        <v>2.7</v>
      </c>
      <c r="Z121" s="228">
        <v>0.7</v>
      </c>
      <c r="AA121" s="228">
        <v>2</v>
      </c>
      <c r="AB121" s="229">
        <v>2.5999999999999999E-3</v>
      </c>
      <c r="AC121" s="228">
        <v>2.7</v>
      </c>
      <c r="AD121" s="228">
        <v>0.7</v>
      </c>
      <c r="AE121" s="228">
        <v>2</v>
      </c>
      <c r="AF121" s="229">
        <v>2.5999999999999999E-3</v>
      </c>
      <c r="AG121" s="228">
        <v>7.7</v>
      </c>
      <c r="AH121" s="228">
        <v>5.8</v>
      </c>
      <c r="AI121" s="228">
        <v>1.9</v>
      </c>
      <c r="AJ121" s="229">
        <v>7.4999999999999997E-3</v>
      </c>
      <c r="AK121" s="228">
        <v>0</v>
      </c>
      <c r="AL121" s="228">
        <v>0</v>
      </c>
      <c r="AM121" s="228">
        <v>0</v>
      </c>
      <c r="AN121" s="229">
        <v>0</v>
      </c>
      <c r="AO121" s="231">
        <v>1037.8800000000001</v>
      </c>
      <c r="AP121" s="231">
        <v>1042.4100000000001</v>
      </c>
      <c r="AQ121" s="228">
        <v>0</v>
      </c>
      <c r="AR121" s="230">
        <v>3024000</v>
      </c>
      <c r="AS121" s="230">
        <v>7051725</v>
      </c>
      <c r="AT121" s="230">
        <v>-4027725</v>
      </c>
      <c r="AU121" s="229">
        <v>-0.57120000000000004</v>
      </c>
      <c r="AV121" s="230">
        <v>2568375</v>
      </c>
      <c r="AW121" s="230">
        <v>6381450</v>
      </c>
      <c r="AX121" s="230">
        <v>-3813075</v>
      </c>
      <c r="AY121" s="229">
        <v>-0.59750000000000003</v>
      </c>
      <c r="AZ121" s="230">
        <v>420525</v>
      </c>
      <c r="BA121" s="230">
        <v>620325</v>
      </c>
      <c r="BB121" s="230">
        <v>-199800</v>
      </c>
      <c r="BC121" s="229">
        <v>-0.3221</v>
      </c>
      <c r="BD121" s="228">
        <v>0</v>
      </c>
      <c r="BE121" s="228">
        <v>0</v>
      </c>
      <c r="BF121" s="228">
        <v>0</v>
      </c>
      <c r="BG121" s="229">
        <v>0</v>
      </c>
      <c r="BH121" s="230">
        <v>10703475</v>
      </c>
      <c r="BI121" s="230">
        <v>30362175</v>
      </c>
      <c r="BJ121" s="230">
        <v>-19658700</v>
      </c>
      <c r="BK121" s="229">
        <v>-0.64749999999999996</v>
      </c>
      <c r="BL121" s="230">
        <v>4529250</v>
      </c>
      <c r="BM121" s="230">
        <v>10135125</v>
      </c>
      <c r="BN121" s="230">
        <v>-5605875</v>
      </c>
      <c r="BO121" s="229">
        <v>-0.55310000000000004</v>
      </c>
      <c r="BP121" s="230">
        <v>18256725</v>
      </c>
      <c r="BQ121" s="230">
        <v>47549025</v>
      </c>
      <c r="BR121" s="230">
        <v>-29292300</v>
      </c>
      <c r="BS121" s="229">
        <v>-0.61599999999999999</v>
      </c>
      <c r="BT121" s="230">
        <v>1356371</v>
      </c>
      <c r="BU121" s="230">
        <v>2849634</v>
      </c>
      <c r="BV121" s="230">
        <v>-1493263</v>
      </c>
      <c r="BW121" s="229">
        <v>-0.52400000000000002</v>
      </c>
      <c r="BX121" s="230">
        <v>38869200</v>
      </c>
      <c r="BY121" s="230">
        <v>39002175</v>
      </c>
      <c r="BZ121" s="230">
        <v>-132975</v>
      </c>
      <c r="CA121" s="229">
        <v>-3.3999999999999998E-3</v>
      </c>
      <c r="CB121" s="230">
        <v>37327500</v>
      </c>
      <c r="CC121" s="230">
        <v>37569825</v>
      </c>
      <c r="CD121" s="230">
        <v>-242325</v>
      </c>
      <c r="CE121" s="229">
        <v>-6.4000000000000003E-3</v>
      </c>
      <c r="CF121" s="230">
        <v>1485000</v>
      </c>
      <c r="CG121" s="230">
        <v>1373625</v>
      </c>
      <c r="CH121" s="230">
        <v>111375</v>
      </c>
      <c r="CI121" s="229">
        <v>8.1100000000000005E-2</v>
      </c>
      <c r="CJ121" s="228">
        <v>0</v>
      </c>
      <c r="CK121" s="228">
        <v>0</v>
      </c>
      <c r="CL121" s="228">
        <v>0</v>
      </c>
      <c r="CM121" s="229">
        <v>0</v>
      </c>
      <c r="CN121" s="230">
        <v>9427725</v>
      </c>
      <c r="CO121" s="230">
        <v>10558350</v>
      </c>
      <c r="CP121" s="230">
        <v>-1130625</v>
      </c>
      <c r="CQ121" s="229">
        <v>-0.1071</v>
      </c>
      <c r="CR121" s="230">
        <v>6058800</v>
      </c>
      <c r="CS121" s="230">
        <v>6507000</v>
      </c>
      <c r="CT121" s="230">
        <v>-448200</v>
      </c>
      <c r="CU121" s="229">
        <v>-6.8900000000000003E-2</v>
      </c>
      <c r="CV121" s="230">
        <v>54355725</v>
      </c>
      <c r="CW121" s="230">
        <v>56067525</v>
      </c>
      <c r="CX121" s="230">
        <v>-1711800</v>
      </c>
      <c r="CY121" s="229">
        <v>-3.0499999999999999E-2</v>
      </c>
      <c r="CZ121" s="228">
        <v>24.59</v>
      </c>
      <c r="DA121" s="228">
        <v>24.49</v>
      </c>
      <c r="DB121" s="228">
        <v>0.1</v>
      </c>
      <c r="DC121" s="228">
        <v>0.1</v>
      </c>
      <c r="DD121" s="228">
        <v>31.46</v>
      </c>
      <c r="DE121" s="228">
        <v>31.54</v>
      </c>
      <c r="DF121" s="228">
        <v>-6.87</v>
      </c>
      <c r="DG121" s="228">
        <v>-0.08</v>
      </c>
      <c r="DH121" s="228">
        <v>24.88</v>
      </c>
      <c r="DI121" s="228">
        <v>24.72</v>
      </c>
      <c r="DJ121" s="228">
        <v>0.16</v>
      </c>
      <c r="DK121" s="228">
        <v>0.16</v>
      </c>
      <c r="DL121" s="228">
        <v>23.91</v>
      </c>
      <c r="DM121" s="228">
        <v>23.82</v>
      </c>
      <c r="DN121" s="228">
        <v>0.09</v>
      </c>
      <c r="DO121" s="228">
        <v>0.09</v>
      </c>
      <c r="DP121" s="228">
        <v>0.64</v>
      </c>
      <c r="DQ121" s="228">
        <v>0.62</v>
      </c>
      <c r="DR121" s="228">
        <v>0.02</v>
      </c>
      <c r="DS121" s="229">
        <v>3.2300000000000002E-2</v>
      </c>
      <c r="DT121" s="231">
        <v>1180</v>
      </c>
      <c r="DU121" s="231">
        <v>1000</v>
      </c>
      <c r="DV121" s="228">
        <v>0.42</v>
      </c>
      <c r="DW121" s="228">
        <v>0.33</v>
      </c>
      <c r="DX121" s="228">
        <v>0.09</v>
      </c>
      <c r="DY121" s="229">
        <v>0.2727</v>
      </c>
      <c r="DZ121" s="229">
        <v>3.8199999999999998E-2</v>
      </c>
      <c r="EA121" s="230">
        <v>1373625</v>
      </c>
      <c r="EB121" s="229">
        <v>4.7999999999999996E-3</v>
      </c>
      <c r="EC121" s="229">
        <v>3.8199999999999998E-2</v>
      </c>
      <c r="ED121" s="228">
        <v>4.53</v>
      </c>
      <c r="EE121" s="229">
        <v>4.4000000000000003E-3</v>
      </c>
      <c r="EF121" s="230">
        <v>720068</v>
      </c>
      <c r="EG121" s="230">
        <v>953998</v>
      </c>
      <c r="EH121" s="229">
        <v>-0.2452</v>
      </c>
      <c r="EI121" s="229">
        <v>0.53090000000000004</v>
      </c>
      <c r="EJ121" s="231">
        <v>115179.1</v>
      </c>
      <c r="EK121" s="231">
        <v>46216.7</v>
      </c>
      <c r="EL121" s="231">
        <v>31408.52</v>
      </c>
      <c r="EM121" s="228">
        <v>0</v>
      </c>
      <c r="EN121" s="231">
        <v>192804.32</v>
      </c>
      <c r="EO121" s="231">
        <v>500117.39</v>
      </c>
      <c r="EP121" s="231">
        <v>-307313.07</v>
      </c>
      <c r="EQ121" s="229">
        <v>-0.61450000000000005</v>
      </c>
      <c r="ER121" s="231">
        <v>102287</v>
      </c>
      <c r="ES121" s="231">
        <v>59657</v>
      </c>
      <c r="ET121" s="231">
        <v>401755</v>
      </c>
      <c r="EU121" s="231">
        <v>268798007</v>
      </c>
      <c r="EV121" s="231">
        <v>563698</v>
      </c>
      <c r="EW121" s="231">
        <v>582377</v>
      </c>
      <c r="EX121" s="231">
        <v>-18679</v>
      </c>
      <c r="EY121" s="229">
        <v>-3.2099999999999997E-2</v>
      </c>
      <c r="EZ121" s="229">
        <v>0.20219999999999999</v>
      </c>
      <c r="FA121" s="227" t="s">
        <v>568</v>
      </c>
      <c r="FB121" s="161">
        <f t="shared" si="1"/>
        <v>1541700</v>
      </c>
    </row>
    <row r="122" spans="1:158" ht="17.25" thickBot="1" x14ac:dyDescent="0.3">
      <c r="A122" s="226">
        <v>45860</v>
      </c>
      <c r="B122" s="227" t="s">
        <v>168</v>
      </c>
      <c r="C122" s="227" t="s">
        <v>245</v>
      </c>
      <c r="D122" s="228">
        <v>1250</v>
      </c>
      <c r="E122" s="228">
        <v>662.9</v>
      </c>
      <c r="F122" s="228">
        <v>680.55</v>
      </c>
      <c r="G122" s="228">
        <v>-17.649999999999999</v>
      </c>
      <c r="H122" s="229">
        <v>-2.5899999999999999E-2</v>
      </c>
      <c r="I122" s="228">
        <v>662.1</v>
      </c>
      <c r="J122" s="228">
        <v>679.35</v>
      </c>
      <c r="K122" s="228">
        <v>-17.25</v>
      </c>
      <c r="L122" s="229">
        <v>-2.5399999999999999E-2</v>
      </c>
      <c r="M122" s="228">
        <v>662.9</v>
      </c>
      <c r="N122" s="228">
        <v>680.55</v>
      </c>
      <c r="O122" s="228">
        <v>-17.649999999999999</v>
      </c>
      <c r="P122" s="229">
        <v>-2.5899999999999999E-2</v>
      </c>
      <c r="Q122" s="228">
        <v>666.2</v>
      </c>
      <c r="R122" s="228">
        <v>684</v>
      </c>
      <c r="S122" s="228">
        <v>-17.8</v>
      </c>
      <c r="T122" s="229">
        <v>-2.5999999999999999E-2</v>
      </c>
      <c r="U122" s="228">
        <v>0</v>
      </c>
      <c r="V122" s="228">
        <v>0</v>
      </c>
      <c r="W122" s="228">
        <v>0</v>
      </c>
      <c r="X122" s="229">
        <v>0</v>
      </c>
      <c r="Y122" s="228">
        <v>0.8</v>
      </c>
      <c r="Z122" s="228">
        <v>1.2</v>
      </c>
      <c r="AA122" s="228">
        <v>-0.4</v>
      </c>
      <c r="AB122" s="229">
        <v>1.1999999999999999E-3</v>
      </c>
      <c r="AC122" s="228">
        <v>0.8</v>
      </c>
      <c r="AD122" s="228">
        <v>1.2</v>
      </c>
      <c r="AE122" s="228">
        <v>-0.4</v>
      </c>
      <c r="AF122" s="229">
        <v>1.1999999999999999E-3</v>
      </c>
      <c r="AG122" s="228">
        <v>4.0999999999999996</v>
      </c>
      <c r="AH122" s="228">
        <v>4.6500000000000004</v>
      </c>
      <c r="AI122" s="228">
        <v>-0.55000000000000004</v>
      </c>
      <c r="AJ122" s="229">
        <v>6.1999999999999998E-3</v>
      </c>
      <c r="AK122" s="228">
        <v>0</v>
      </c>
      <c r="AL122" s="228">
        <v>0</v>
      </c>
      <c r="AM122" s="228">
        <v>0</v>
      </c>
      <c r="AN122" s="229">
        <v>0</v>
      </c>
      <c r="AO122" s="228">
        <v>667.24</v>
      </c>
      <c r="AP122" s="228">
        <v>670.74</v>
      </c>
      <c r="AQ122" s="228">
        <v>0</v>
      </c>
      <c r="AR122" s="230">
        <v>3208750</v>
      </c>
      <c r="AS122" s="230">
        <v>1577500</v>
      </c>
      <c r="AT122" s="230">
        <v>1631250</v>
      </c>
      <c r="AU122" s="229">
        <v>1.0341</v>
      </c>
      <c r="AV122" s="230">
        <v>2692500</v>
      </c>
      <c r="AW122" s="230">
        <v>1412500</v>
      </c>
      <c r="AX122" s="230">
        <v>1280000</v>
      </c>
      <c r="AY122" s="229">
        <v>0.90620000000000001</v>
      </c>
      <c r="AZ122" s="230">
        <v>473750</v>
      </c>
      <c r="BA122" s="230">
        <v>153750</v>
      </c>
      <c r="BB122" s="230">
        <v>320000</v>
      </c>
      <c r="BC122" s="229">
        <v>2.0813000000000001</v>
      </c>
      <c r="BD122" s="228">
        <v>0</v>
      </c>
      <c r="BE122" s="228">
        <v>0</v>
      </c>
      <c r="BF122" s="228">
        <v>0</v>
      </c>
      <c r="BG122" s="229">
        <v>0</v>
      </c>
      <c r="BH122" s="230">
        <v>8071250</v>
      </c>
      <c r="BI122" s="230">
        <v>4228750</v>
      </c>
      <c r="BJ122" s="230">
        <v>3842500</v>
      </c>
      <c r="BK122" s="229">
        <v>0.90869999999999995</v>
      </c>
      <c r="BL122" s="230">
        <v>3591250</v>
      </c>
      <c r="BM122" s="230">
        <v>1683750</v>
      </c>
      <c r="BN122" s="230">
        <v>1907500</v>
      </c>
      <c r="BO122" s="229">
        <v>1.1329</v>
      </c>
      <c r="BP122" s="230">
        <v>14871250</v>
      </c>
      <c r="BQ122" s="230">
        <v>7490000</v>
      </c>
      <c r="BR122" s="230">
        <v>7381250</v>
      </c>
      <c r="BS122" s="229">
        <v>0.98550000000000004</v>
      </c>
      <c r="BT122" s="230">
        <v>701427</v>
      </c>
      <c r="BU122" s="230">
        <v>599375</v>
      </c>
      <c r="BV122" s="230">
        <v>102052</v>
      </c>
      <c r="BW122" s="229">
        <v>0.17030000000000001</v>
      </c>
      <c r="BX122" s="230">
        <v>21952500</v>
      </c>
      <c r="BY122" s="230">
        <v>21983750</v>
      </c>
      <c r="BZ122" s="230">
        <v>-31250</v>
      </c>
      <c r="CA122" s="229">
        <v>-1.4E-3</v>
      </c>
      <c r="CB122" s="230">
        <v>20846250</v>
      </c>
      <c r="CC122" s="230">
        <v>21156250</v>
      </c>
      <c r="CD122" s="230">
        <v>-310000</v>
      </c>
      <c r="CE122" s="229">
        <v>-1.47E-2</v>
      </c>
      <c r="CF122" s="230">
        <v>1053750</v>
      </c>
      <c r="CG122" s="230">
        <v>788750</v>
      </c>
      <c r="CH122" s="230">
        <v>265000</v>
      </c>
      <c r="CI122" s="229">
        <v>0.33600000000000002</v>
      </c>
      <c r="CJ122" s="228">
        <v>0</v>
      </c>
      <c r="CK122" s="228">
        <v>0</v>
      </c>
      <c r="CL122" s="228">
        <v>0</v>
      </c>
      <c r="CM122" s="229">
        <v>0</v>
      </c>
      <c r="CN122" s="230">
        <v>8662500</v>
      </c>
      <c r="CO122" s="230">
        <v>8252500</v>
      </c>
      <c r="CP122" s="230">
        <v>410000</v>
      </c>
      <c r="CQ122" s="229">
        <v>4.9700000000000001E-2</v>
      </c>
      <c r="CR122" s="230">
        <v>3512500</v>
      </c>
      <c r="CS122" s="230">
        <v>3468750</v>
      </c>
      <c r="CT122" s="230">
        <v>43750</v>
      </c>
      <c r="CU122" s="229">
        <v>1.26E-2</v>
      </c>
      <c r="CV122" s="230">
        <v>34127500</v>
      </c>
      <c r="CW122" s="230">
        <v>33705000</v>
      </c>
      <c r="CX122" s="230">
        <v>422500</v>
      </c>
      <c r="CY122" s="229">
        <v>1.2500000000000001E-2</v>
      </c>
      <c r="CZ122" s="228">
        <v>30.75</v>
      </c>
      <c r="DA122" s="228">
        <v>29.19</v>
      </c>
      <c r="DB122" s="228">
        <v>1.56</v>
      </c>
      <c r="DC122" s="228">
        <v>1.56</v>
      </c>
      <c r="DD122" s="228">
        <v>36.520000000000003</v>
      </c>
      <c r="DE122" s="228">
        <v>36.44</v>
      </c>
      <c r="DF122" s="228">
        <v>-5.77</v>
      </c>
      <c r="DG122" s="228">
        <v>0.08</v>
      </c>
      <c r="DH122" s="228">
        <v>31.81</v>
      </c>
      <c r="DI122" s="228">
        <v>29.58</v>
      </c>
      <c r="DJ122" s="228">
        <v>2.23</v>
      </c>
      <c r="DK122" s="228">
        <v>2.23</v>
      </c>
      <c r="DL122" s="228">
        <v>28.34</v>
      </c>
      <c r="DM122" s="228">
        <v>28.19</v>
      </c>
      <c r="DN122" s="228">
        <v>0.15</v>
      </c>
      <c r="DO122" s="228">
        <v>0.15</v>
      </c>
      <c r="DP122" s="228">
        <v>0.41</v>
      </c>
      <c r="DQ122" s="228">
        <v>0.42</v>
      </c>
      <c r="DR122" s="228">
        <v>-0.01</v>
      </c>
      <c r="DS122" s="229">
        <v>-2.3800000000000002E-2</v>
      </c>
      <c r="DT122" s="228">
        <v>760</v>
      </c>
      <c r="DU122" s="228">
        <v>680</v>
      </c>
      <c r="DV122" s="228">
        <v>0.44</v>
      </c>
      <c r="DW122" s="228">
        <v>0.4</v>
      </c>
      <c r="DX122" s="228">
        <v>0.04</v>
      </c>
      <c r="DY122" s="229">
        <v>0.1</v>
      </c>
      <c r="DZ122" s="229">
        <v>4.8000000000000001E-2</v>
      </c>
      <c r="EA122" s="230">
        <v>788750</v>
      </c>
      <c r="EB122" s="229">
        <v>5.0000000000000001E-3</v>
      </c>
      <c r="EC122" s="229">
        <v>4.8000000000000001E-2</v>
      </c>
      <c r="ED122" s="228">
        <v>3.5</v>
      </c>
      <c r="EE122" s="229">
        <v>5.1999999999999998E-3</v>
      </c>
      <c r="EF122" s="230">
        <v>331335</v>
      </c>
      <c r="EG122" s="230">
        <v>315971</v>
      </c>
      <c r="EH122" s="229">
        <v>4.8599999999999997E-2</v>
      </c>
      <c r="EI122" s="229">
        <v>0.47239999999999999</v>
      </c>
      <c r="EJ122" s="231">
        <v>57360.63</v>
      </c>
      <c r="EK122" s="231">
        <v>24142.21</v>
      </c>
      <c r="EL122" s="231">
        <v>21428.92</v>
      </c>
      <c r="EM122" s="228">
        <v>0</v>
      </c>
      <c r="EN122" s="231">
        <v>102931.76</v>
      </c>
      <c r="EO122" s="231">
        <v>52585.17</v>
      </c>
      <c r="EP122" s="231">
        <v>50346.59</v>
      </c>
      <c r="EQ122" s="229">
        <v>0.95740000000000003</v>
      </c>
      <c r="ER122" s="231">
        <v>62998</v>
      </c>
      <c r="ES122" s="231">
        <v>23313</v>
      </c>
      <c r="ET122" s="231">
        <v>145561</v>
      </c>
      <c r="EU122" s="231">
        <v>76179695</v>
      </c>
      <c r="EV122" s="231">
        <v>231871</v>
      </c>
      <c r="EW122" s="231">
        <v>233340</v>
      </c>
      <c r="EX122" s="231">
        <v>-1469</v>
      </c>
      <c r="EY122" s="229">
        <v>-6.3E-3</v>
      </c>
      <c r="EZ122" s="229">
        <v>0.44800000000000001</v>
      </c>
      <c r="FA122" s="227" t="s">
        <v>568</v>
      </c>
      <c r="FB122" s="161">
        <f t="shared" si="1"/>
        <v>1106250</v>
      </c>
    </row>
    <row r="123" spans="1:158" ht="17.25" thickBot="1" x14ac:dyDescent="0.3">
      <c r="A123" s="226">
        <v>45860</v>
      </c>
      <c r="B123" s="227" t="s">
        <v>168</v>
      </c>
      <c r="C123" s="227" t="s">
        <v>583</v>
      </c>
      <c r="D123" s="228">
        <v>1175</v>
      </c>
      <c r="E123" s="228">
        <v>595.1</v>
      </c>
      <c r="F123" s="228">
        <v>592.65</v>
      </c>
      <c r="G123" s="228">
        <v>2.4500000000000002</v>
      </c>
      <c r="H123" s="229">
        <v>4.1000000000000003E-3</v>
      </c>
      <c r="I123" s="228">
        <v>593.04999999999995</v>
      </c>
      <c r="J123" s="228">
        <v>591.20000000000005</v>
      </c>
      <c r="K123" s="228">
        <v>1.85</v>
      </c>
      <c r="L123" s="229">
        <v>3.0999999999999999E-3</v>
      </c>
      <c r="M123" s="228">
        <v>595.1</v>
      </c>
      <c r="N123" s="228">
        <v>592.65</v>
      </c>
      <c r="O123" s="228">
        <v>2.4500000000000002</v>
      </c>
      <c r="P123" s="229">
        <v>4.1000000000000003E-3</v>
      </c>
      <c r="Q123" s="228">
        <v>596.75</v>
      </c>
      <c r="R123" s="228">
        <v>594.45000000000005</v>
      </c>
      <c r="S123" s="228">
        <v>2.2999999999999998</v>
      </c>
      <c r="T123" s="229">
        <v>3.8999999999999998E-3</v>
      </c>
      <c r="U123" s="228">
        <v>0</v>
      </c>
      <c r="V123" s="228">
        <v>0</v>
      </c>
      <c r="W123" s="228">
        <v>0</v>
      </c>
      <c r="X123" s="229">
        <v>0</v>
      </c>
      <c r="Y123" s="228">
        <v>2.0499999999999998</v>
      </c>
      <c r="Z123" s="228">
        <v>1.45</v>
      </c>
      <c r="AA123" s="228">
        <v>0.6</v>
      </c>
      <c r="AB123" s="229">
        <v>3.5000000000000001E-3</v>
      </c>
      <c r="AC123" s="228">
        <v>2.0499999999999998</v>
      </c>
      <c r="AD123" s="228">
        <v>1.45</v>
      </c>
      <c r="AE123" s="228">
        <v>0.6</v>
      </c>
      <c r="AF123" s="229">
        <v>3.5000000000000001E-3</v>
      </c>
      <c r="AG123" s="228">
        <v>3.7</v>
      </c>
      <c r="AH123" s="228">
        <v>3.25</v>
      </c>
      <c r="AI123" s="228">
        <v>0.45</v>
      </c>
      <c r="AJ123" s="229">
        <v>6.1999999999999998E-3</v>
      </c>
      <c r="AK123" s="228">
        <v>0</v>
      </c>
      <c r="AL123" s="228">
        <v>0</v>
      </c>
      <c r="AM123" s="228">
        <v>0</v>
      </c>
      <c r="AN123" s="229">
        <v>0</v>
      </c>
      <c r="AO123" s="228">
        <v>593.16999999999996</v>
      </c>
      <c r="AP123" s="228">
        <v>594.77</v>
      </c>
      <c r="AQ123" s="228">
        <v>0</v>
      </c>
      <c r="AR123" s="230">
        <v>2024525</v>
      </c>
      <c r="AS123" s="230">
        <v>2589700</v>
      </c>
      <c r="AT123" s="230">
        <v>-565175</v>
      </c>
      <c r="AU123" s="229">
        <v>-0.21820000000000001</v>
      </c>
      <c r="AV123" s="230">
        <v>1768375</v>
      </c>
      <c r="AW123" s="230">
        <v>2151425</v>
      </c>
      <c r="AX123" s="230">
        <v>-383050</v>
      </c>
      <c r="AY123" s="229">
        <v>-0.17799999999999999</v>
      </c>
      <c r="AZ123" s="230">
        <v>250275</v>
      </c>
      <c r="BA123" s="230">
        <v>428875</v>
      </c>
      <c r="BB123" s="230">
        <v>-178600</v>
      </c>
      <c r="BC123" s="229">
        <v>-0.41639999999999999</v>
      </c>
      <c r="BD123" s="228">
        <v>0</v>
      </c>
      <c r="BE123" s="228">
        <v>0</v>
      </c>
      <c r="BF123" s="228">
        <v>0</v>
      </c>
      <c r="BG123" s="229">
        <v>0</v>
      </c>
      <c r="BH123" s="230">
        <v>5846800</v>
      </c>
      <c r="BI123" s="230">
        <v>9035750</v>
      </c>
      <c r="BJ123" s="230">
        <v>-3188950</v>
      </c>
      <c r="BK123" s="229">
        <v>-0.35289999999999999</v>
      </c>
      <c r="BL123" s="230">
        <v>2212525</v>
      </c>
      <c r="BM123" s="230">
        <v>3514425</v>
      </c>
      <c r="BN123" s="230">
        <v>-1301900</v>
      </c>
      <c r="BO123" s="229">
        <v>-0.37040000000000001</v>
      </c>
      <c r="BP123" s="230">
        <v>10083850</v>
      </c>
      <c r="BQ123" s="230">
        <v>15139875</v>
      </c>
      <c r="BR123" s="230">
        <v>-5056025</v>
      </c>
      <c r="BS123" s="229">
        <v>-0.33400000000000002</v>
      </c>
      <c r="BT123" s="230">
        <v>2723139</v>
      </c>
      <c r="BU123" s="230">
        <v>2439418</v>
      </c>
      <c r="BV123" s="230">
        <v>283721</v>
      </c>
      <c r="BW123" s="229">
        <v>0.1163</v>
      </c>
      <c r="BX123" s="230">
        <v>22067675</v>
      </c>
      <c r="BY123" s="230">
        <v>22184000</v>
      </c>
      <c r="BZ123" s="230">
        <v>-116325</v>
      </c>
      <c r="CA123" s="229">
        <v>-5.1999999999999998E-3</v>
      </c>
      <c r="CB123" s="230">
        <v>20381550</v>
      </c>
      <c r="CC123" s="230">
        <v>20549575</v>
      </c>
      <c r="CD123" s="230">
        <v>-168025</v>
      </c>
      <c r="CE123" s="229">
        <v>-8.2000000000000007E-3</v>
      </c>
      <c r="CF123" s="230">
        <v>1607400</v>
      </c>
      <c r="CG123" s="230">
        <v>1555700</v>
      </c>
      <c r="CH123" s="230">
        <v>51700</v>
      </c>
      <c r="CI123" s="229">
        <v>3.32E-2</v>
      </c>
      <c r="CJ123" s="228">
        <v>0</v>
      </c>
      <c r="CK123" s="228">
        <v>0</v>
      </c>
      <c r="CL123" s="228">
        <v>0</v>
      </c>
      <c r="CM123" s="229">
        <v>0</v>
      </c>
      <c r="CN123" s="230">
        <v>5965475</v>
      </c>
      <c r="CO123" s="230">
        <v>6342650</v>
      </c>
      <c r="CP123" s="230">
        <v>-377175</v>
      </c>
      <c r="CQ123" s="229">
        <v>-5.9499999999999997E-2</v>
      </c>
      <c r="CR123" s="230">
        <v>3984425</v>
      </c>
      <c r="CS123" s="230">
        <v>4101925</v>
      </c>
      <c r="CT123" s="230">
        <v>-117500</v>
      </c>
      <c r="CU123" s="229">
        <v>-2.86E-2</v>
      </c>
      <c r="CV123" s="230">
        <v>32017575</v>
      </c>
      <c r="CW123" s="230">
        <v>32628575</v>
      </c>
      <c r="CX123" s="230">
        <v>-611000</v>
      </c>
      <c r="CY123" s="229">
        <v>-1.8700000000000001E-2</v>
      </c>
      <c r="CZ123" s="228">
        <v>33.57</v>
      </c>
      <c r="DA123" s="228">
        <v>36.28</v>
      </c>
      <c r="DB123" s="228">
        <v>-2.71</v>
      </c>
      <c r="DC123" s="228">
        <v>-2.71</v>
      </c>
      <c r="DD123" s="228">
        <v>54.12</v>
      </c>
      <c r="DE123" s="228">
        <v>54.25</v>
      </c>
      <c r="DF123" s="228">
        <v>-20.55</v>
      </c>
      <c r="DG123" s="228">
        <v>-0.13</v>
      </c>
      <c r="DH123" s="228">
        <v>33.4</v>
      </c>
      <c r="DI123" s="228">
        <v>36.53</v>
      </c>
      <c r="DJ123" s="228">
        <v>-3.13</v>
      </c>
      <c r="DK123" s="228">
        <v>-3.13</v>
      </c>
      <c r="DL123" s="228">
        <v>34.01</v>
      </c>
      <c r="DM123" s="228">
        <v>35.619999999999997</v>
      </c>
      <c r="DN123" s="228">
        <v>-1.61</v>
      </c>
      <c r="DO123" s="228">
        <v>-1.61</v>
      </c>
      <c r="DP123" s="228">
        <v>0.67</v>
      </c>
      <c r="DQ123" s="228">
        <v>0.65</v>
      </c>
      <c r="DR123" s="228">
        <v>0.02</v>
      </c>
      <c r="DS123" s="229">
        <v>3.0800000000000001E-2</v>
      </c>
      <c r="DT123" s="228">
        <v>600</v>
      </c>
      <c r="DU123" s="228">
        <v>560</v>
      </c>
      <c r="DV123" s="228">
        <v>0.38</v>
      </c>
      <c r="DW123" s="228">
        <v>0.39</v>
      </c>
      <c r="DX123" s="228">
        <v>-0.01</v>
      </c>
      <c r="DY123" s="229">
        <v>-2.5600000000000001E-2</v>
      </c>
      <c r="DZ123" s="229">
        <v>7.2800000000000004E-2</v>
      </c>
      <c r="EA123" s="230">
        <v>1555700</v>
      </c>
      <c r="EB123" s="229">
        <v>2.8E-3</v>
      </c>
      <c r="EC123" s="229">
        <v>7.2800000000000004E-2</v>
      </c>
      <c r="ED123" s="228">
        <v>1.6</v>
      </c>
      <c r="EE123" s="229">
        <v>2.7000000000000001E-3</v>
      </c>
      <c r="EF123" s="230">
        <v>1090208</v>
      </c>
      <c r="EG123" s="230">
        <v>712364</v>
      </c>
      <c r="EH123" s="229">
        <v>0.53039999999999998</v>
      </c>
      <c r="EI123" s="229">
        <v>0.40029999999999999</v>
      </c>
      <c r="EJ123" s="231">
        <v>36055.93</v>
      </c>
      <c r="EK123" s="231">
        <v>12993.48</v>
      </c>
      <c r="EL123" s="231">
        <v>12013.01</v>
      </c>
      <c r="EM123" s="228">
        <v>0</v>
      </c>
      <c r="EN123" s="231">
        <v>61062.42</v>
      </c>
      <c r="EO123" s="231">
        <v>92259.57</v>
      </c>
      <c r="EP123" s="231">
        <v>-31197.15</v>
      </c>
      <c r="EQ123" s="229">
        <v>-0.33810000000000001</v>
      </c>
      <c r="ER123" s="231">
        <v>35886</v>
      </c>
      <c r="ES123" s="231">
        <v>22259</v>
      </c>
      <c r="ET123" s="231">
        <v>131354</v>
      </c>
      <c r="EU123" s="231">
        <v>76642895</v>
      </c>
      <c r="EV123" s="231">
        <v>189498</v>
      </c>
      <c r="EW123" s="231">
        <v>192675</v>
      </c>
      <c r="EX123" s="231">
        <v>-3177</v>
      </c>
      <c r="EY123" s="229">
        <v>-1.6500000000000001E-2</v>
      </c>
      <c r="EZ123" s="229">
        <v>0.4178</v>
      </c>
      <c r="FA123" s="227" t="s">
        <v>556</v>
      </c>
      <c r="FB123" s="161">
        <f t="shared" si="1"/>
        <v>1686125</v>
      </c>
    </row>
    <row r="124" spans="1:158" ht="17.25" thickBot="1" x14ac:dyDescent="0.3">
      <c r="A124" s="226">
        <v>45860</v>
      </c>
      <c r="B124" s="227" t="s">
        <v>184</v>
      </c>
      <c r="C124" s="227" t="s">
        <v>678</v>
      </c>
      <c r="D124" s="228">
        <v>100</v>
      </c>
      <c r="E124" s="231">
        <v>5797</v>
      </c>
      <c r="F124" s="231">
        <v>5919.5</v>
      </c>
      <c r="G124" s="228">
        <v>-122.5</v>
      </c>
      <c r="H124" s="229">
        <v>-2.07E-2</v>
      </c>
      <c r="I124" s="231">
        <v>5783</v>
      </c>
      <c r="J124" s="231">
        <v>5897</v>
      </c>
      <c r="K124" s="228">
        <v>-114</v>
      </c>
      <c r="L124" s="229">
        <v>-1.9300000000000001E-2</v>
      </c>
      <c r="M124" s="231">
        <v>5797</v>
      </c>
      <c r="N124" s="231">
        <v>5919.5</v>
      </c>
      <c r="O124" s="228">
        <v>-122.5</v>
      </c>
      <c r="P124" s="229">
        <v>-2.07E-2</v>
      </c>
      <c r="Q124" s="231">
        <v>5821.5</v>
      </c>
      <c r="R124" s="231">
        <v>5941.5</v>
      </c>
      <c r="S124" s="228">
        <v>-120</v>
      </c>
      <c r="T124" s="229">
        <v>-2.0199999999999999E-2</v>
      </c>
      <c r="U124" s="228">
        <v>0</v>
      </c>
      <c r="V124" s="228">
        <v>0</v>
      </c>
      <c r="W124" s="228">
        <v>0</v>
      </c>
      <c r="X124" s="229">
        <v>0</v>
      </c>
      <c r="Y124" s="228">
        <v>14</v>
      </c>
      <c r="Z124" s="228">
        <v>22.5</v>
      </c>
      <c r="AA124" s="228">
        <v>-8.5</v>
      </c>
      <c r="AB124" s="229">
        <v>2.3999999999999998E-3</v>
      </c>
      <c r="AC124" s="228">
        <v>14</v>
      </c>
      <c r="AD124" s="228">
        <v>22.5</v>
      </c>
      <c r="AE124" s="228">
        <v>-8.5</v>
      </c>
      <c r="AF124" s="229">
        <v>2.3999999999999998E-3</v>
      </c>
      <c r="AG124" s="228">
        <v>38.5</v>
      </c>
      <c r="AH124" s="228">
        <v>44.5</v>
      </c>
      <c r="AI124" s="228">
        <v>-6</v>
      </c>
      <c r="AJ124" s="229">
        <v>6.7000000000000002E-3</v>
      </c>
      <c r="AK124" s="228">
        <v>0</v>
      </c>
      <c r="AL124" s="228">
        <v>0</v>
      </c>
      <c r="AM124" s="228">
        <v>0</v>
      </c>
      <c r="AN124" s="229">
        <v>0</v>
      </c>
      <c r="AO124" s="231">
        <v>5817.54</v>
      </c>
      <c r="AP124" s="231">
        <v>5843.66</v>
      </c>
      <c r="AQ124" s="228">
        <v>0</v>
      </c>
      <c r="AR124" s="230">
        <v>155000</v>
      </c>
      <c r="AS124" s="230">
        <v>193200</v>
      </c>
      <c r="AT124" s="230">
        <v>-38200</v>
      </c>
      <c r="AU124" s="229">
        <v>-0.19769999999999999</v>
      </c>
      <c r="AV124" s="230">
        <v>137600</v>
      </c>
      <c r="AW124" s="230">
        <v>176900</v>
      </c>
      <c r="AX124" s="230">
        <v>-39300</v>
      </c>
      <c r="AY124" s="229">
        <v>-0.22220000000000001</v>
      </c>
      <c r="AZ124" s="230">
        <v>15300</v>
      </c>
      <c r="BA124" s="230">
        <v>15600</v>
      </c>
      <c r="BB124" s="228">
        <v>-300</v>
      </c>
      <c r="BC124" s="229">
        <v>-1.9199999999999998E-2</v>
      </c>
      <c r="BD124" s="228">
        <v>0</v>
      </c>
      <c r="BE124" s="228">
        <v>0</v>
      </c>
      <c r="BF124" s="228">
        <v>0</v>
      </c>
      <c r="BG124" s="229">
        <v>0</v>
      </c>
      <c r="BH124" s="230">
        <v>376800</v>
      </c>
      <c r="BI124" s="230">
        <v>475900</v>
      </c>
      <c r="BJ124" s="230">
        <v>-99100</v>
      </c>
      <c r="BK124" s="229">
        <v>-0.2082</v>
      </c>
      <c r="BL124" s="230">
        <v>80400</v>
      </c>
      <c r="BM124" s="230">
        <v>93400</v>
      </c>
      <c r="BN124" s="230">
        <v>-13000</v>
      </c>
      <c r="BO124" s="229">
        <v>-0.13919999999999999</v>
      </c>
      <c r="BP124" s="230">
        <v>612200</v>
      </c>
      <c r="BQ124" s="230">
        <v>762500</v>
      </c>
      <c r="BR124" s="230">
        <v>-150300</v>
      </c>
      <c r="BS124" s="229">
        <v>-0.1971</v>
      </c>
      <c r="BT124" s="230">
        <v>195151</v>
      </c>
      <c r="BU124" s="230">
        <v>210350</v>
      </c>
      <c r="BV124" s="230">
        <v>-15199</v>
      </c>
      <c r="BW124" s="229">
        <v>-7.2300000000000003E-2</v>
      </c>
      <c r="BX124" s="230">
        <v>624400</v>
      </c>
      <c r="BY124" s="230">
        <v>620900</v>
      </c>
      <c r="BZ124" s="230">
        <v>3500</v>
      </c>
      <c r="CA124" s="229">
        <v>5.5999999999999999E-3</v>
      </c>
      <c r="CB124" s="230">
        <v>566000</v>
      </c>
      <c r="CC124" s="230">
        <v>573700</v>
      </c>
      <c r="CD124" s="230">
        <v>-7700</v>
      </c>
      <c r="CE124" s="229">
        <v>-1.34E-2</v>
      </c>
      <c r="CF124" s="230">
        <v>50500</v>
      </c>
      <c r="CG124" s="230">
        <v>41200</v>
      </c>
      <c r="CH124" s="230">
        <v>9300</v>
      </c>
      <c r="CI124" s="229">
        <v>0.22570000000000001</v>
      </c>
      <c r="CJ124" s="228">
        <v>0</v>
      </c>
      <c r="CK124" s="228">
        <v>0</v>
      </c>
      <c r="CL124" s="228">
        <v>0</v>
      </c>
      <c r="CM124" s="229">
        <v>0</v>
      </c>
      <c r="CN124" s="230">
        <v>596100</v>
      </c>
      <c r="CO124" s="230">
        <v>590300</v>
      </c>
      <c r="CP124" s="230">
        <v>5800</v>
      </c>
      <c r="CQ124" s="229">
        <v>9.7999999999999997E-3</v>
      </c>
      <c r="CR124" s="230">
        <v>249300</v>
      </c>
      <c r="CS124" s="230">
        <v>245000</v>
      </c>
      <c r="CT124" s="230">
        <v>4300</v>
      </c>
      <c r="CU124" s="229">
        <v>1.7600000000000001E-2</v>
      </c>
      <c r="CV124" s="230">
        <v>1469800</v>
      </c>
      <c r="CW124" s="230">
        <v>1456200</v>
      </c>
      <c r="CX124" s="230">
        <v>13600</v>
      </c>
      <c r="CY124" s="229">
        <v>9.2999999999999992E-3</v>
      </c>
      <c r="CZ124" s="228">
        <v>45.09</v>
      </c>
      <c r="DA124" s="228">
        <v>43.39</v>
      </c>
      <c r="DB124" s="228">
        <v>1.7</v>
      </c>
      <c r="DC124" s="228">
        <v>1.7</v>
      </c>
      <c r="DD124" s="228">
        <v>58.1</v>
      </c>
      <c r="DE124" s="228">
        <v>58.17</v>
      </c>
      <c r="DF124" s="228">
        <v>-13.01</v>
      </c>
      <c r="DG124" s="228">
        <v>-7.0000000000000007E-2</v>
      </c>
      <c r="DH124" s="228">
        <v>45.7</v>
      </c>
      <c r="DI124" s="228">
        <v>43.47</v>
      </c>
      <c r="DJ124" s="228">
        <v>2.23</v>
      </c>
      <c r="DK124" s="228">
        <v>2.23</v>
      </c>
      <c r="DL124" s="228">
        <v>42.26</v>
      </c>
      <c r="DM124" s="228">
        <v>42.97</v>
      </c>
      <c r="DN124" s="228">
        <v>-0.71</v>
      </c>
      <c r="DO124" s="228">
        <v>-0.71</v>
      </c>
      <c r="DP124" s="228">
        <v>0.42</v>
      </c>
      <c r="DQ124" s="228">
        <v>0.42</v>
      </c>
      <c r="DR124" s="228">
        <v>0</v>
      </c>
      <c r="DS124" s="229">
        <v>0</v>
      </c>
      <c r="DT124" s="231">
        <v>6000</v>
      </c>
      <c r="DU124" s="231">
        <v>6000</v>
      </c>
      <c r="DV124" s="228">
        <v>0.21</v>
      </c>
      <c r="DW124" s="228">
        <v>0.2</v>
      </c>
      <c r="DX124" s="228">
        <v>0.01</v>
      </c>
      <c r="DY124" s="229">
        <v>0.05</v>
      </c>
      <c r="DZ124" s="229">
        <v>8.09E-2</v>
      </c>
      <c r="EA124" s="230">
        <v>41200</v>
      </c>
      <c r="EB124" s="229">
        <v>4.1999999999999997E-3</v>
      </c>
      <c r="EC124" s="229">
        <v>8.09E-2</v>
      </c>
      <c r="ED124" s="228">
        <v>26.12</v>
      </c>
      <c r="EE124" s="229">
        <v>4.4999999999999997E-3</v>
      </c>
      <c r="EF124" s="230">
        <v>82618</v>
      </c>
      <c r="EG124" s="230">
        <v>60809</v>
      </c>
      <c r="EH124" s="229">
        <v>0.35859999999999997</v>
      </c>
      <c r="EI124" s="229">
        <v>0.4234</v>
      </c>
      <c r="EJ124" s="231">
        <v>23834.77</v>
      </c>
      <c r="EK124" s="231">
        <v>4730.3599999999997</v>
      </c>
      <c r="EL124" s="231">
        <v>9022.01</v>
      </c>
      <c r="EM124" s="228">
        <v>0</v>
      </c>
      <c r="EN124" s="231">
        <v>37587.14</v>
      </c>
      <c r="EO124" s="231">
        <v>46798.99</v>
      </c>
      <c r="EP124" s="231">
        <v>-9211.85</v>
      </c>
      <c r="EQ124" s="229">
        <v>-0.1968</v>
      </c>
      <c r="ER124" s="231">
        <v>37250</v>
      </c>
      <c r="ES124" s="231">
        <v>14628</v>
      </c>
      <c r="ET124" s="231">
        <v>36213</v>
      </c>
      <c r="EU124" s="231">
        <v>5409447</v>
      </c>
      <c r="EV124" s="231">
        <v>88091</v>
      </c>
      <c r="EW124" s="231">
        <v>88202</v>
      </c>
      <c r="EX124" s="228">
        <v>-111</v>
      </c>
      <c r="EY124" s="229">
        <v>-1.2999999999999999E-3</v>
      </c>
      <c r="EZ124" s="229">
        <v>0.2717</v>
      </c>
      <c r="FA124" s="227" t="s">
        <v>567</v>
      </c>
      <c r="FB124" s="161">
        <f t="shared" si="1"/>
        <v>58400</v>
      </c>
    </row>
    <row r="125" spans="1:158" ht="17.25" thickBot="1" x14ac:dyDescent="0.3">
      <c r="A125" s="226">
        <v>45860</v>
      </c>
      <c r="B125" s="227" t="s">
        <v>161</v>
      </c>
      <c r="C125" s="227" t="s">
        <v>611</v>
      </c>
      <c r="D125" s="228">
        <v>175</v>
      </c>
      <c r="E125" s="231">
        <v>3992.5</v>
      </c>
      <c r="F125" s="231">
        <v>3978</v>
      </c>
      <c r="G125" s="228">
        <v>14.5</v>
      </c>
      <c r="H125" s="229">
        <v>3.5999999999999999E-3</v>
      </c>
      <c r="I125" s="231">
        <v>3990.3</v>
      </c>
      <c r="J125" s="231">
        <v>3972.4</v>
      </c>
      <c r="K125" s="228">
        <v>17.899999999999999</v>
      </c>
      <c r="L125" s="229">
        <v>4.4999999999999997E-3</v>
      </c>
      <c r="M125" s="231">
        <v>3992.5</v>
      </c>
      <c r="N125" s="231">
        <v>3978</v>
      </c>
      <c r="O125" s="228">
        <v>14.5</v>
      </c>
      <c r="P125" s="229">
        <v>3.5999999999999999E-3</v>
      </c>
      <c r="Q125" s="231">
        <v>3997.8</v>
      </c>
      <c r="R125" s="231">
        <v>3972.4</v>
      </c>
      <c r="S125" s="228">
        <v>25.4</v>
      </c>
      <c r="T125" s="229">
        <v>6.4000000000000003E-3</v>
      </c>
      <c r="U125" s="228">
        <v>0</v>
      </c>
      <c r="V125" s="228">
        <v>0</v>
      </c>
      <c r="W125" s="228">
        <v>0</v>
      </c>
      <c r="X125" s="229">
        <v>0</v>
      </c>
      <c r="Y125" s="228">
        <v>2.2000000000000002</v>
      </c>
      <c r="Z125" s="228">
        <v>5.6</v>
      </c>
      <c r="AA125" s="228">
        <v>-3.4</v>
      </c>
      <c r="AB125" s="229">
        <v>5.9999999999999995E-4</v>
      </c>
      <c r="AC125" s="228">
        <v>2.2000000000000002</v>
      </c>
      <c r="AD125" s="228">
        <v>5.6</v>
      </c>
      <c r="AE125" s="228">
        <v>-3.4</v>
      </c>
      <c r="AF125" s="229">
        <v>5.9999999999999995E-4</v>
      </c>
      <c r="AG125" s="228">
        <v>7.5</v>
      </c>
      <c r="AH125" s="228">
        <v>0</v>
      </c>
      <c r="AI125" s="228">
        <v>7.5</v>
      </c>
      <c r="AJ125" s="229">
        <v>1.9E-3</v>
      </c>
      <c r="AK125" s="228">
        <v>0</v>
      </c>
      <c r="AL125" s="228">
        <v>0</v>
      </c>
      <c r="AM125" s="228">
        <v>0</v>
      </c>
      <c r="AN125" s="229">
        <v>0</v>
      </c>
      <c r="AO125" s="231">
        <v>3996.29</v>
      </c>
      <c r="AP125" s="231">
        <v>4001.46</v>
      </c>
      <c r="AQ125" s="228">
        <v>0</v>
      </c>
      <c r="AR125" s="230">
        <v>571725</v>
      </c>
      <c r="AS125" s="230">
        <v>505750</v>
      </c>
      <c r="AT125" s="230">
        <v>65975</v>
      </c>
      <c r="AU125" s="229">
        <v>0.13039999999999999</v>
      </c>
      <c r="AV125" s="230">
        <v>501025</v>
      </c>
      <c r="AW125" s="230">
        <v>434175</v>
      </c>
      <c r="AX125" s="230">
        <v>66850</v>
      </c>
      <c r="AY125" s="229">
        <v>0.154</v>
      </c>
      <c r="AZ125" s="230">
        <v>65100</v>
      </c>
      <c r="BA125" s="230">
        <v>68775</v>
      </c>
      <c r="BB125" s="230">
        <v>-3675</v>
      </c>
      <c r="BC125" s="229">
        <v>-5.3400000000000003E-2</v>
      </c>
      <c r="BD125" s="228">
        <v>0</v>
      </c>
      <c r="BE125" s="228">
        <v>0</v>
      </c>
      <c r="BF125" s="228">
        <v>0</v>
      </c>
      <c r="BG125" s="229">
        <v>0</v>
      </c>
      <c r="BH125" s="230">
        <v>2623950</v>
      </c>
      <c r="BI125" s="230">
        <v>1173025</v>
      </c>
      <c r="BJ125" s="230">
        <v>1450925</v>
      </c>
      <c r="BK125" s="229">
        <v>1.2369000000000001</v>
      </c>
      <c r="BL125" s="230">
        <v>883225</v>
      </c>
      <c r="BM125" s="230">
        <v>444850</v>
      </c>
      <c r="BN125" s="230">
        <v>438375</v>
      </c>
      <c r="BO125" s="229">
        <v>0.98540000000000005</v>
      </c>
      <c r="BP125" s="230">
        <v>4078900</v>
      </c>
      <c r="BQ125" s="230">
        <v>2123625</v>
      </c>
      <c r="BR125" s="230">
        <v>1955275</v>
      </c>
      <c r="BS125" s="229">
        <v>0.92069999999999996</v>
      </c>
      <c r="BT125" s="230">
        <v>348972</v>
      </c>
      <c r="BU125" s="230">
        <v>375375</v>
      </c>
      <c r="BV125" s="230">
        <v>-26403</v>
      </c>
      <c r="BW125" s="229">
        <v>-7.0300000000000001E-2</v>
      </c>
      <c r="BX125" s="230">
        <v>1186500</v>
      </c>
      <c r="BY125" s="230">
        <v>1194375</v>
      </c>
      <c r="BZ125" s="230">
        <v>-7875</v>
      </c>
      <c r="CA125" s="229">
        <v>-6.6E-3</v>
      </c>
      <c r="CB125" s="230">
        <v>1073275</v>
      </c>
      <c r="CC125" s="230">
        <v>1092700</v>
      </c>
      <c r="CD125" s="230">
        <v>-19425</v>
      </c>
      <c r="CE125" s="229">
        <v>-1.78E-2</v>
      </c>
      <c r="CF125" s="230">
        <v>105525</v>
      </c>
      <c r="CG125" s="230">
        <v>96075</v>
      </c>
      <c r="CH125" s="230">
        <v>9450</v>
      </c>
      <c r="CI125" s="229">
        <v>9.8400000000000001E-2</v>
      </c>
      <c r="CJ125" s="228">
        <v>0</v>
      </c>
      <c r="CK125" s="228">
        <v>0</v>
      </c>
      <c r="CL125" s="228">
        <v>0</v>
      </c>
      <c r="CM125" s="229">
        <v>0</v>
      </c>
      <c r="CN125" s="230">
        <v>816550</v>
      </c>
      <c r="CO125" s="230">
        <v>608475</v>
      </c>
      <c r="CP125" s="230">
        <v>208075</v>
      </c>
      <c r="CQ125" s="229">
        <v>0.34200000000000003</v>
      </c>
      <c r="CR125" s="230">
        <v>506625</v>
      </c>
      <c r="CS125" s="230">
        <v>384650</v>
      </c>
      <c r="CT125" s="230">
        <v>121975</v>
      </c>
      <c r="CU125" s="229">
        <v>0.31709999999999999</v>
      </c>
      <c r="CV125" s="230">
        <v>2509675</v>
      </c>
      <c r="CW125" s="230">
        <v>2187500</v>
      </c>
      <c r="CX125" s="230">
        <v>322175</v>
      </c>
      <c r="CY125" s="229">
        <v>0.14729999999999999</v>
      </c>
      <c r="CZ125" s="228">
        <v>43.43</v>
      </c>
      <c r="DA125" s="228">
        <v>40.49</v>
      </c>
      <c r="DB125" s="228">
        <v>2.94</v>
      </c>
      <c r="DC125" s="228">
        <v>2.94</v>
      </c>
      <c r="DD125" s="228">
        <v>53.92</v>
      </c>
      <c r="DE125" s="228">
        <v>54.05</v>
      </c>
      <c r="DF125" s="228">
        <v>-10.49</v>
      </c>
      <c r="DG125" s="228">
        <v>-0.13</v>
      </c>
      <c r="DH125" s="228">
        <v>43.57</v>
      </c>
      <c r="DI125" s="228">
        <v>40.68</v>
      </c>
      <c r="DJ125" s="228">
        <v>2.89</v>
      </c>
      <c r="DK125" s="228">
        <v>2.89</v>
      </c>
      <c r="DL125" s="228">
        <v>43.03</v>
      </c>
      <c r="DM125" s="228">
        <v>40.01</v>
      </c>
      <c r="DN125" s="228">
        <v>3.02</v>
      </c>
      <c r="DO125" s="228">
        <v>3.02</v>
      </c>
      <c r="DP125" s="228">
        <v>0.62</v>
      </c>
      <c r="DQ125" s="228">
        <v>0.63</v>
      </c>
      <c r="DR125" s="228">
        <v>-0.01</v>
      </c>
      <c r="DS125" s="229">
        <v>-1.5900000000000001E-2</v>
      </c>
      <c r="DT125" s="231">
        <v>4000</v>
      </c>
      <c r="DU125" s="231">
        <v>3800</v>
      </c>
      <c r="DV125" s="228">
        <v>0.34</v>
      </c>
      <c r="DW125" s="228">
        <v>0.38</v>
      </c>
      <c r="DX125" s="228">
        <v>-0.04</v>
      </c>
      <c r="DY125" s="229">
        <v>-0.1053</v>
      </c>
      <c r="DZ125" s="229">
        <v>8.8900000000000007E-2</v>
      </c>
      <c r="EA125" s="230">
        <v>96075</v>
      </c>
      <c r="EB125" s="229">
        <v>1.2999999999999999E-3</v>
      </c>
      <c r="EC125" s="229">
        <v>8.8900000000000007E-2</v>
      </c>
      <c r="ED125" s="228">
        <v>5.17</v>
      </c>
      <c r="EE125" s="229">
        <v>1.2999999999999999E-3</v>
      </c>
      <c r="EF125" s="230">
        <v>139446</v>
      </c>
      <c r="EG125" s="230">
        <v>171911</v>
      </c>
      <c r="EH125" s="229">
        <v>-0.1888</v>
      </c>
      <c r="EI125" s="229">
        <v>0.39960000000000001</v>
      </c>
      <c r="EJ125" s="231">
        <v>109598.24</v>
      </c>
      <c r="EK125" s="231">
        <v>34397.53</v>
      </c>
      <c r="EL125" s="231">
        <v>22851.95</v>
      </c>
      <c r="EM125" s="228">
        <v>0</v>
      </c>
      <c r="EN125" s="231">
        <v>166847.72</v>
      </c>
      <c r="EO125" s="231">
        <v>85747.18</v>
      </c>
      <c r="EP125" s="231">
        <v>81100.539999999994</v>
      </c>
      <c r="EQ125" s="229">
        <v>0.94579999999999997</v>
      </c>
      <c r="ER125" s="231">
        <v>33271</v>
      </c>
      <c r="ES125" s="231">
        <v>18979</v>
      </c>
      <c r="ET125" s="231">
        <v>47377</v>
      </c>
      <c r="EU125" s="231">
        <v>12418320</v>
      </c>
      <c r="EV125" s="231">
        <v>99627</v>
      </c>
      <c r="EW125" s="231">
        <v>86297</v>
      </c>
      <c r="EX125" s="231">
        <v>13330</v>
      </c>
      <c r="EY125" s="229">
        <v>0.1545</v>
      </c>
      <c r="EZ125" s="229">
        <v>0.2021</v>
      </c>
      <c r="FA125" s="227" t="s">
        <v>556</v>
      </c>
      <c r="FB125" s="161">
        <f t="shared" si="1"/>
        <v>113225</v>
      </c>
    </row>
    <row r="126" spans="1:158" ht="17.25" thickBot="1" x14ac:dyDescent="0.3">
      <c r="A126" s="226">
        <v>45860</v>
      </c>
      <c r="B126" s="227" t="s">
        <v>175</v>
      </c>
      <c r="C126" s="227" t="s">
        <v>685</v>
      </c>
      <c r="D126" s="228">
        <v>450</v>
      </c>
      <c r="E126" s="231">
        <v>1283.0999999999999</v>
      </c>
      <c r="F126" s="231">
        <v>1276.5</v>
      </c>
      <c r="G126" s="228">
        <v>6.6</v>
      </c>
      <c r="H126" s="229">
        <v>5.1999999999999998E-3</v>
      </c>
      <c r="I126" s="231">
        <v>1282.4000000000001</v>
      </c>
      <c r="J126" s="231">
        <v>1274.2</v>
      </c>
      <c r="K126" s="228">
        <v>8.1999999999999993</v>
      </c>
      <c r="L126" s="229">
        <v>6.4000000000000003E-3</v>
      </c>
      <c r="M126" s="231">
        <v>1283.0999999999999</v>
      </c>
      <c r="N126" s="231">
        <v>1276.5</v>
      </c>
      <c r="O126" s="228">
        <v>6.6</v>
      </c>
      <c r="P126" s="229">
        <v>5.1999999999999998E-3</v>
      </c>
      <c r="Q126" s="231">
        <v>1285.7</v>
      </c>
      <c r="R126" s="231">
        <v>1279</v>
      </c>
      <c r="S126" s="228">
        <v>6.7</v>
      </c>
      <c r="T126" s="229">
        <v>5.1999999999999998E-3</v>
      </c>
      <c r="U126" s="228">
        <v>0</v>
      </c>
      <c r="V126" s="228">
        <v>0</v>
      </c>
      <c r="W126" s="228">
        <v>0</v>
      </c>
      <c r="X126" s="229">
        <v>0</v>
      </c>
      <c r="Y126" s="228">
        <v>0.7</v>
      </c>
      <c r="Z126" s="228">
        <v>2.2999999999999998</v>
      </c>
      <c r="AA126" s="228">
        <v>-1.6</v>
      </c>
      <c r="AB126" s="229">
        <v>5.0000000000000001E-4</v>
      </c>
      <c r="AC126" s="228">
        <v>0.7</v>
      </c>
      <c r="AD126" s="228">
        <v>2.2999999999999998</v>
      </c>
      <c r="AE126" s="228">
        <v>-1.6</v>
      </c>
      <c r="AF126" s="229">
        <v>5.0000000000000001E-4</v>
      </c>
      <c r="AG126" s="228">
        <v>3.3</v>
      </c>
      <c r="AH126" s="228">
        <v>4.8</v>
      </c>
      <c r="AI126" s="228">
        <v>-1.5</v>
      </c>
      <c r="AJ126" s="229">
        <v>2.5999999999999999E-3</v>
      </c>
      <c r="AK126" s="228">
        <v>0</v>
      </c>
      <c r="AL126" s="228">
        <v>0</v>
      </c>
      <c r="AM126" s="228">
        <v>0</v>
      </c>
      <c r="AN126" s="229">
        <v>0</v>
      </c>
      <c r="AO126" s="231">
        <v>1279.32</v>
      </c>
      <c r="AP126" s="231">
        <v>1281.8800000000001</v>
      </c>
      <c r="AQ126" s="228">
        <v>0</v>
      </c>
      <c r="AR126" s="230">
        <v>630450</v>
      </c>
      <c r="AS126" s="230">
        <v>329400</v>
      </c>
      <c r="AT126" s="230">
        <v>301050</v>
      </c>
      <c r="AU126" s="229">
        <v>0.91390000000000005</v>
      </c>
      <c r="AV126" s="230">
        <v>597600</v>
      </c>
      <c r="AW126" s="230">
        <v>297450</v>
      </c>
      <c r="AX126" s="230">
        <v>300150</v>
      </c>
      <c r="AY126" s="229">
        <v>1.0091000000000001</v>
      </c>
      <c r="AZ126" s="230">
        <v>29250</v>
      </c>
      <c r="BA126" s="230">
        <v>31950</v>
      </c>
      <c r="BB126" s="230">
        <v>-2700</v>
      </c>
      <c r="BC126" s="229">
        <v>-8.4500000000000006E-2</v>
      </c>
      <c r="BD126" s="228">
        <v>0</v>
      </c>
      <c r="BE126" s="228">
        <v>0</v>
      </c>
      <c r="BF126" s="228">
        <v>0</v>
      </c>
      <c r="BG126" s="229">
        <v>0</v>
      </c>
      <c r="BH126" s="230">
        <v>456750</v>
      </c>
      <c r="BI126" s="230">
        <v>548100</v>
      </c>
      <c r="BJ126" s="230">
        <v>-91350</v>
      </c>
      <c r="BK126" s="229">
        <v>-0.16669999999999999</v>
      </c>
      <c r="BL126" s="230">
        <v>81450</v>
      </c>
      <c r="BM126" s="230">
        <v>125100</v>
      </c>
      <c r="BN126" s="230">
        <v>-43650</v>
      </c>
      <c r="BO126" s="229">
        <v>-0.34889999999999999</v>
      </c>
      <c r="BP126" s="230">
        <v>1168650</v>
      </c>
      <c r="BQ126" s="230">
        <v>1002600</v>
      </c>
      <c r="BR126" s="230">
        <v>166050</v>
      </c>
      <c r="BS126" s="229">
        <v>0.1656</v>
      </c>
      <c r="BT126" s="230">
        <v>878404</v>
      </c>
      <c r="BU126" s="230">
        <v>455807</v>
      </c>
      <c r="BV126" s="230">
        <v>422597</v>
      </c>
      <c r="BW126" s="229">
        <v>0.92710000000000004</v>
      </c>
      <c r="BX126" s="230">
        <v>1058400</v>
      </c>
      <c r="BY126" s="230">
        <v>1142100</v>
      </c>
      <c r="BZ126" s="230">
        <v>-83700</v>
      </c>
      <c r="CA126" s="229">
        <v>-7.3300000000000004E-2</v>
      </c>
      <c r="CB126" s="230">
        <v>971100</v>
      </c>
      <c r="CC126" s="230">
        <v>1068750</v>
      </c>
      <c r="CD126" s="230">
        <v>-97650</v>
      </c>
      <c r="CE126" s="229">
        <v>-9.1399999999999995E-2</v>
      </c>
      <c r="CF126" s="230">
        <v>75600</v>
      </c>
      <c r="CG126" s="230">
        <v>63450</v>
      </c>
      <c r="CH126" s="230">
        <v>12150</v>
      </c>
      <c r="CI126" s="229">
        <v>0.1915</v>
      </c>
      <c r="CJ126" s="228">
        <v>0</v>
      </c>
      <c r="CK126" s="228">
        <v>0</v>
      </c>
      <c r="CL126" s="228">
        <v>0</v>
      </c>
      <c r="CM126" s="229">
        <v>0</v>
      </c>
      <c r="CN126" s="230">
        <v>877500</v>
      </c>
      <c r="CO126" s="230">
        <v>877500</v>
      </c>
      <c r="CP126" s="228">
        <v>0</v>
      </c>
      <c r="CQ126" s="229">
        <v>0</v>
      </c>
      <c r="CR126" s="230">
        <v>298350</v>
      </c>
      <c r="CS126" s="230">
        <v>321300</v>
      </c>
      <c r="CT126" s="230">
        <v>-22950</v>
      </c>
      <c r="CU126" s="229">
        <v>-7.1400000000000005E-2</v>
      </c>
      <c r="CV126" s="230">
        <v>2234250</v>
      </c>
      <c r="CW126" s="230">
        <v>2340900</v>
      </c>
      <c r="CX126" s="230">
        <v>-106650</v>
      </c>
      <c r="CY126" s="229">
        <v>-4.5600000000000002E-2</v>
      </c>
      <c r="CZ126" s="228">
        <v>50.39</v>
      </c>
      <c r="DA126" s="228">
        <v>50.81</v>
      </c>
      <c r="DB126" s="228">
        <v>-0.42</v>
      </c>
      <c r="DC126" s="228">
        <v>-0.42</v>
      </c>
      <c r="DD126" s="228">
        <v>60.53</v>
      </c>
      <c r="DE126" s="228">
        <v>60.68</v>
      </c>
      <c r="DF126" s="228">
        <v>-10.14</v>
      </c>
      <c r="DG126" s="228">
        <v>-0.15</v>
      </c>
      <c r="DH126" s="228">
        <v>50.39</v>
      </c>
      <c r="DI126" s="228">
        <v>51.44</v>
      </c>
      <c r="DJ126" s="228">
        <v>-1.05</v>
      </c>
      <c r="DK126" s="228">
        <v>-1.05</v>
      </c>
      <c r="DL126" s="228">
        <v>50.44</v>
      </c>
      <c r="DM126" s="228">
        <v>48.05</v>
      </c>
      <c r="DN126" s="228">
        <v>2.39</v>
      </c>
      <c r="DO126" s="228">
        <v>2.39</v>
      </c>
      <c r="DP126" s="228">
        <v>0.34</v>
      </c>
      <c r="DQ126" s="228">
        <v>0.37</v>
      </c>
      <c r="DR126" s="228">
        <v>-0.03</v>
      </c>
      <c r="DS126" s="229">
        <v>-8.1100000000000005E-2</v>
      </c>
      <c r="DT126" s="231">
        <v>1300</v>
      </c>
      <c r="DU126" s="231">
        <v>1200</v>
      </c>
      <c r="DV126" s="228">
        <v>0.18</v>
      </c>
      <c r="DW126" s="228">
        <v>0.23</v>
      </c>
      <c r="DX126" s="228">
        <v>-0.05</v>
      </c>
      <c r="DY126" s="229">
        <v>-0.21740000000000001</v>
      </c>
      <c r="DZ126" s="229">
        <v>7.1400000000000005E-2</v>
      </c>
      <c r="EA126" s="230">
        <v>63450</v>
      </c>
      <c r="EB126" s="229">
        <v>2E-3</v>
      </c>
      <c r="EC126" s="229">
        <v>7.1400000000000005E-2</v>
      </c>
      <c r="ED126" s="228">
        <v>2.56</v>
      </c>
      <c r="EE126" s="229">
        <v>2E-3</v>
      </c>
      <c r="EF126" s="230">
        <v>479724</v>
      </c>
      <c r="EG126" s="230">
        <v>169774</v>
      </c>
      <c r="EH126" s="229">
        <v>1.8257000000000001</v>
      </c>
      <c r="EI126" s="229">
        <v>0.54610000000000003</v>
      </c>
      <c r="EJ126" s="231">
        <v>6194.65</v>
      </c>
      <c r="EK126" s="231">
        <v>1028.2</v>
      </c>
      <c r="EL126" s="231">
        <v>8066.53</v>
      </c>
      <c r="EM126" s="228">
        <v>0</v>
      </c>
      <c r="EN126" s="231">
        <v>15289.38</v>
      </c>
      <c r="EO126" s="231">
        <v>13358.52</v>
      </c>
      <c r="EP126" s="231">
        <v>1930.86</v>
      </c>
      <c r="EQ126" s="229">
        <v>0.14449999999999999</v>
      </c>
      <c r="ER126" s="231">
        <v>12161</v>
      </c>
      <c r="ES126" s="231">
        <v>3656</v>
      </c>
      <c r="ET126" s="231">
        <v>13583</v>
      </c>
      <c r="EU126" s="231">
        <v>23088182</v>
      </c>
      <c r="EV126" s="231">
        <v>29400</v>
      </c>
      <c r="EW126" s="231">
        <v>30691</v>
      </c>
      <c r="EX126" s="231">
        <v>-1291</v>
      </c>
      <c r="EY126" s="229">
        <v>-4.2099999999999999E-2</v>
      </c>
      <c r="EZ126" s="229">
        <v>9.6799999999999997E-2</v>
      </c>
      <c r="FA126" s="227" t="s">
        <v>556</v>
      </c>
      <c r="FB126" s="161">
        <f t="shared" si="1"/>
        <v>87300</v>
      </c>
    </row>
    <row r="127" spans="1:158" ht="17.25" thickBot="1" x14ac:dyDescent="0.3">
      <c r="A127" s="226">
        <v>45860</v>
      </c>
      <c r="B127" s="227" t="s">
        <v>172</v>
      </c>
      <c r="C127" s="227" t="s">
        <v>246</v>
      </c>
      <c r="D127" s="228">
        <v>400</v>
      </c>
      <c r="E127" s="231">
        <v>2161.8000000000002</v>
      </c>
      <c r="F127" s="231">
        <v>2166.8000000000002</v>
      </c>
      <c r="G127" s="228">
        <v>-5</v>
      </c>
      <c r="H127" s="229">
        <v>-2.3E-3</v>
      </c>
      <c r="I127" s="231">
        <v>2160.1999999999998</v>
      </c>
      <c r="J127" s="231">
        <v>2165.1999999999998</v>
      </c>
      <c r="K127" s="228">
        <v>-5</v>
      </c>
      <c r="L127" s="229">
        <v>-2.3E-3</v>
      </c>
      <c r="M127" s="231">
        <v>2161.8000000000002</v>
      </c>
      <c r="N127" s="231">
        <v>2166.8000000000002</v>
      </c>
      <c r="O127" s="228">
        <v>-5</v>
      </c>
      <c r="P127" s="229">
        <v>-2.3E-3</v>
      </c>
      <c r="Q127" s="231">
        <v>2172.8000000000002</v>
      </c>
      <c r="R127" s="231">
        <v>2177.1999999999998</v>
      </c>
      <c r="S127" s="228">
        <v>-4.4000000000000004</v>
      </c>
      <c r="T127" s="229">
        <v>-2E-3</v>
      </c>
      <c r="U127" s="228">
        <v>0</v>
      </c>
      <c r="V127" s="228">
        <v>0</v>
      </c>
      <c r="W127" s="228">
        <v>0</v>
      </c>
      <c r="X127" s="229">
        <v>0</v>
      </c>
      <c r="Y127" s="228">
        <v>1.6</v>
      </c>
      <c r="Z127" s="228">
        <v>1.6</v>
      </c>
      <c r="AA127" s="228">
        <v>0</v>
      </c>
      <c r="AB127" s="229">
        <v>6.9999999999999999E-4</v>
      </c>
      <c r="AC127" s="228">
        <v>1.6</v>
      </c>
      <c r="AD127" s="228">
        <v>1.6</v>
      </c>
      <c r="AE127" s="228">
        <v>0</v>
      </c>
      <c r="AF127" s="229">
        <v>6.9999999999999999E-4</v>
      </c>
      <c r="AG127" s="228">
        <v>12.6</v>
      </c>
      <c r="AH127" s="228">
        <v>12</v>
      </c>
      <c r="AI127" s="228">
        <v>0.6</v>
      </c>
      <c r="AJ127" s="229">
        <v>5.7999999999999996E-3</v>
      </c>
      <c r="AK127" s="228">
        <v>0</v>
      </c>
      <c r="AL127" s="228">
        <v>0</v>
      </c>
      <c r="AM127" s="228">
        <v>0</v>
      </c>
      <c r="AN127" s="229">
        <v>0</v>
      </c>
      <c r="AO127" s="231">
        <v>2157.08</v>
      </c>
      <c r="AP127" s="231">
        <v>2166.16</v>
      </c>
      <c r="AQ127" s="228">
        <v>0</v>
      </c>
      <c r="AR127" s="230">
        <v>3141200</v>
      </c>
      <c r="AS127" s="230">
        <v>4018000</v>
      </c>
      <c r="AT127" s="230">
        <v>-876800</v>
      </c>
      <c r="AU127" s="229">
        <v>-0.21820000000000001</v>
      </c>
      <c r="AV127" s="230">
        <v>2464800</v>
      </c>
      <c r="AW127" s="230">
        <v>3524800</v>
      </c>
      <c r="AX127" s="230">
        <v>-1060000</v>
      </c>
      <c r="AY127" s="229">
        <v>-0.30070000000000002</v>
      </c>
      <c r="AZ127" s="230">
        <v>652000</v>
      </c>
      <c r="BA127" s="230">
        <v>479200</v>
      </c>
      <c r="BB127" s="230">
        <v>172800</v>
      </c>
      <c r="BC127" s="229">
        <v>0.36059999999999998</v>
      </c>
      <c r="BD127" s="228">
        <v>0</v>
      </c>
      <c r="BE127" s="228">
        <v>0</v>
      </c>
      <c r="BF127" s="228">
        <v>0</v>
      </c>
      <c r="BG127" s="229">
        <v>0</v>
      </c>
      <c r="BH127" s="230">
        <v>6010800</v>
      </c>
      <c r="BI127" s="230">
        <v>9595200</v>
      </c>
      <c r="BJ127" s="230">
        <v>-3584400</v>
      </c>
      <c r="BK127" s="229">
        <v>-0.37359999999999999</v>
      </c>
      <c r="BL127" s="230">
        <v>3639600</v>
      </c>
      <c r="BM127" s="230">
        <v>5380000</v>
      </c>
      <c r="BN127" s="230">
        <v>-1740400</v>
      </c>
      <c r="BO127" s="229">
        <v>-0.32350000000000001</v>
      </c>
      <c r="BP127" s="230">
        <v>12791600</v>
      </c>
      <c r="BQ127" s="230">
        <v>18993200</v>
      </c>
      <c r="BR127" s="230">
        <v>-6201600</v>
      </c>
      <c r="BS127" s="229">
        <v>-0.32650000000000001</v>
      </c>
      <c r="BT127" s="230">
        <v>1588966</v>
      </c>
      <c r="BU127" s="230">
        <v>1863293</v>
      </c>
      <c r="BV127" s="230">
        <v>-274327</v>
      </c>
      <c r="BW127" s="229">
        <v>-0.1472</v>
      </c>
      <c r="BX127" s="230">
        <v>33210400</v>
      </c>
      <c r="BY127" s="230">
        <v>32786400</v>
      </c>
      <c r="BZ127" s="230">
        <v>424000</v>
      </c>
      <c r="CA127" s="229">
        <v>1.29E-2</v>
      </c>
      <c r="CB127" s="230">
        <v>26638800</v>
      </c>
      <c r="CC127" s="230">
        <v>26490400</v>
      </c>
      <c r="CD127" s="230">
        <v>148400</v>
      </c>
      <c r="CE127" s="229">
        <v>5.5999999999999999E-3</v>
      </c>
      <c r="CF127" s="230">
        <v>6291600</v>
      </c>
      <c r="CG127" s="230">
        <v>6015200</v>
      </c>
      <c r="CH127" s="230">
        <v>276400</v>
      </c>
      <c r="CI127" s="229">
        <v>4.5999999999999999E-2</v>
      </c>
      <c r="CJ127" s="228">
        <v>0</v>
      </c>
      <c r="CK127" s="228">
        <v>0</v>
      </c>
      <c r="CL127" s="228">
        <v>0</v>
      </c>
      <c r="CM127" s="229">
        <v>0</v>
      </c>
      <c r="CN127" s="230">
        <v>8566000</v>
      </c>
      <c r="CO127" s="230">
        <v>8490000</v>
      </c>
      <c r="CP127" s="230">
        <v>76000</v>
      </c>
      <c r="CQ127" s="229">
        <v>8.9999999999999993E-3</v>
      </c>
      <c r="CR127" s="230">
        <v>6984400</v>
      </c>
      <c r="CS127" s="230">
        <v>7004800</v>
      </c>
      <c r="CT127" s="230">
        <v>-20400</v>
      </c>
      <c r="CU127" s="229">
        <v>-2.8999999999999998E-3</v>
      </c>
      <c r="CV127" s="230">
        <v>48760800</v>
      </c>
      <c r="CW127" s="230">
        <v>48281200</v>
      </c>
      <c r="CX127" s="230">
        <v>479600</v>
      </c>
      <c r="CY127" s="229">
        <v>9.9000000000000008E-3</v>
      </c>
      <c r="CZ127" s="228">
        <v>27.97</v>
      </c>
      <c r="DA127" s="228">
        <v>27.34</v>
      </c>
      <c r="DB127" s="228">
        <v>0.63</v>
      </c>
      <c r="DC127" s="228">
        <v>0.63</v>
      </c>
      <c r="DD127" s="228">
        <v>27.59</v>
      </c>
      <c r="DE127" s="228">
        <v>27.66</v>
      </c>
      <c r="DF127" s="228">
        <v>0.38</v>
      </c>
      <c r="DG127" s="228">
        <v>-7.0000000000000007E-2</v>
      </c>
      <c r="DH127" s="228">
        <v>27.67</v>
      </c>
      <c r="DI127" s="228">
        <v>26.75</v>
      </c>
      <c r="DJ127" s="228">
        <v>0.92</v>
      </c>
      <c r="DK127" s="228">
        <v>0.92</v>
      </c>
      <c r="DL127" s="228">
        <v>28.45</v>
      </c>
      <c r="DM127" s="228">
        <v>28.39</v>
      </c>
      <c r="DN127" s="228">
        <v>0.06</v>
      </c>
      <c r="DO127" s="228">
        <v>0.06</v>
      </c>
      <c r="DP127" s="228">
        <v>0.82</v>
      </c>
      <c r="DQ127" s="228">
        <v>0.83</v>
      </c>
      <c r="DR127" s="228">
        <v>-0.01</v>
      </c>
      <c r="DS127" s="229">
        <v>-1.2E-2</v>
      </c>
      <c r="DT127" s="231">
        <v>2200</v>
      </c>
      <c r="DU127" s="231">
        <v>2100</v>
      </c>
      <c r="DV127" s="228">
        <v>0.61</v>
      </c>
      <c r="DW127" s="228">
        <v>0.56000000000000005</v>
      </c>
      <c r="DX127" s="228">
        <v>0.05</v>
      </c>
      <c r="DY127" s="229">
        <v>8.9300000000000004E-2</v>
      </c>
      <c r="DZ127" s="229">
        <v>0.18940000000000001</v>
      </c>
      <c r="EA127" s="230">
        <v>6015200</v>
      </c>
      <c r="EB127" s="229">
        <v>5.1000000000000004E-3</v>
      </c>
      <c r="EC127" s="229">
        <v>0.18940000000000001</v>
      </c>
      <c r="ED127" s="228">
        <v>9.08</v>
      </c>
      <c r="EE127" s="229">
        <v>4.1999999999999997E-3</v>
      </c>
      <c r="EF127" s="230">
        <v>1054042</v>
      </c>
      <c r="EG127" s="230">
        <v>1290618</v>
      </c>
      <c r="EH127" s="229">
        <v>-0.18329999999999999</v>
      </c>
      <c r="EI127" s="229">
        <v>0.66339999999999999</v>
      </c>
      <c r="EJ127" s="231">
        <v>134312.79999999999</v>
      </c>
      <c r="EK127" s="231">
        <v>78109.7</v>
      </c>
      <c r="EL127" s="231">
        <v>67822.81</v>
      </c>
      <c r="EM127" s="228">
        <v>0</v>
      </c>
      <c r="EN127" s="231">
        <v>280245.31</v>
      </c>
      <c r="EO127" s="231">
        <v>416394.88</v>
      </c>
      <c r="EP127" s="231">
        <v>-136149.57</v>
      </c>
      <c r="EQ127" s="229">
        <v>-0.32700000000000001</v>
      </c>
      <c r="ER127" s="231">
        <v>195053</v>
      </c>
      <c r="ES127" s="231">
        <v>145563</v>
      </c>
      <c r="ET127" s="231">
        <v>718697</v>
      </c>
      <c r="EU127" s="231">
        <v>294716519</v>
      </c>
      <c r="EV127" s="231">
        <v>1059313</v>
      </c>
      <c r="EW127" s="231">
        <v>1050535</v>
      </c>
      <c r="EX127" s="231">
        <v>8778</v>
      </c>
      <c r="EY127" s="229">
        <v>8.3999999999999995E-3</v>
      </c>
      <c r="EZ127" s="229">
        <v>0.16539999999999999</v>
      </c>
      <c r="FA127" s="227" t="s">
        <v>567</v>
      </c>
      <c r="FB127" s="161">
        <f t="shared" si="1"/>
        <v>6571600</v>
      </c>
    </row>
    <row r="128" spans="1:158" ht="17.25" thickBot="1" x14ac:dyDescent="0.3">
      <c r="A128" s="226">
        <v>45860</v>
      </c>
      <c r="B128" s="227" t="s">
        <v>221</v>
      </c>
      <c r="C128" s="227" t="s">
        <v>578</v>
      </c>
      <c r="D128" s="228">
        <v>400</v>
      </c>
      <c r="E128" s="231">
        <v>1252.5999999999999</v>
      </c>
      <c r="F128" s="231">
        <v>1263.9000000000001</v>
      </c>
      <c r="G128" s="228">
        <v>-11.3</v>
      </c>
      <c r="H128" s="229">
        <v>-8.8999999999999999E-3</v>
      </c>
      <c r="I128" s="231">
        <v>1256</v>
      </c>
      <c r="J128" s="231">
        <v>1264.5999999999999</v>
      </c>
      <c r="K128" s="228">
        <v>-8.6</v>
      </c>
      <c r="L128" s="229">
        <v>-6.7999999999999996E-3</v>
      </c>
      <c r="M128" s="231">
        <v>1252.5999999999999</v>
      </c>
      <c r="N128" s="231">
        <v>1263.9000000000001</v>
      </c>
      <c r="O128" s="228">
        <v>-11.3</v>
      </c>
      <c r="P128" s="229">
        <v>-8.8999999999999999E-3</v>
      </c>
      <c r="Q128" s="231">
        <v>1255.0999999999999</v>
      </c>
      <c r="R128" s="231">
        <v>1267.4000000000001</v>
      </c>
      <c r="S128" s="228">
        <v>-12.3</v>
      </c>
      <c r="T128" s="229">
        <v>-9.7000000000000003E-3</v>
      </c>
      <c r="U128" s="228">
        <v>0</v>
      </c>
      <c r="V128" s="228">
        <v>0</v>
      </c>
      <c r="W128" s="228">
        <v>0</v>
      </c>
      <c r="X128" s="229">
        <v>0</v>
      </c>
      <c r="Y128" s="228">
        <v>-3.4</v>
      </c>
      <c r="Z128" s="228">
        <v>-0.7</v>
      </c>
      <c r="AA128" s="228">
        <v>-2.7</v>
      </c>
      <c r="AB128" s="229">
        <v>-2.7000000000000001E-3</v>
      </c>
      <c r="AC128" s="228">
        <v>-3.4</v>
      </c>
      <c r="AD128" s="228">
        <v>-0.7</v>
      </c>
      <c r="AE128" s="228">
        <v>-2.7</v>
      </c>
      <c r="AF128" s="229">
        <v>-2.7000000000000001E-3</v>
      </c>
      <c r="AG128" s="228">
        <v>-0.9</v>
      </c>
      <c r="AH128" s="228">
        <v>2.8</v>
      </c>
      <c r="AI128" s="228">
        <v>-3.7</v>
      </c>
      <c r="AJ128" s="229">
        <v>-6.9999999999999999E-4</v>
      </c>
      <c r="AK128" s="228">
        <v>0</v>
      </c>
      <c r="AL128" s="228">
        <v>0</v>
      </c>
      <c r="AM128" s="228">
        <v>0</v>
      </c>
      <c r="AN128" s="229">
        <v>0</v>
      </c>
      <c r="AO128" s="231">
        <v>1253.8499999999999</v>
      </c>
      <c r="AP128" s="231">
        <v>1256.56</v>
      </c>
      <c r="AQ128" s="228">
        <v>0</v>
      </c>
      <c r="AR128" s="230">
        <v>510800</v>
      </c>
      <c r="AS128" s="230">
        <v>534800</v>
      </c>
      <c r="AT128" s="230">
        <v>-24000</v>
      </c>
      <c r="AU128" s="229">
        <v>-4.4900000000000002E-2</v>
      </c>
      <c r="AV128" s="230">
        <v>351600</v>
      </c>
      <c r="AW128" s="230">
        <v>418800</v>
      </c>
      <c r="AX128" s="230">
        <v>-67200</v>
      </c>
      <c r="AY128" s="229">
        <v>-0.1605</v>
      </c>
      <c r="AZ128" s="230">
        <v>150000</v>
      </c>
      <c r="BA128" s="230">
        <v>106400</v>
      </c>
      <c r="BB128" s="230">
        <v>43600</v>
      </c>
      <c r="BC128" s="229">
        <v>0.4098</v>
      </c>
      <c r="BD128" s="228">
        <v>0</v>
      </c>
      <c r="BE128" s="228">
        <v>0</v>
      </c>
      <c r="BF128" s="228">
        <v>0</v>
      </c>
      <c r="BG128" s="229">
        <v>0</v>
      </c>
      <c r="BH128" s="230">
        <v>964000</v>
      </c>
      <c r="BI128" s="230">
        <v>1377200</v>
      </c>
      <c r="BJ128" s="230">
        <v>-413200</v>
      </c>
      <c r="BK128" s="229">
        <v>-0.3</v>
      </c>
      <c r="BL128" s="230">
        <v>454400</v>
      </c>
      <c r="BM128" s="230">
        <v>393600</v>
      </c>
      <c r="BN128" s="230">
        <v>60800</v>
      </c>
      <c r="BO128" s="229">
        <v>0.1545</v>
      </c>
      <c r="BP128" s="230">
        <v>1929200</v>
      </c>
      <c r="BQ128" s="230">
        <v>2305600</v>
      </c>
      <c r="BR128" s="230">
        <v>-376400</v>
      </c>
      <c r="BS128" s="229">
        <v>-0.1633</v>
      </c>
      <c r="BT128" s="230">
        <v>445421</v>
      </c>
      <c r="BU128" s="230">
        <v>422144</v>
      </c>
      <c r="BV128" s="230">
        <v>23277</v>
      </c>
      <c r="BW128" s="229">
        <v>5.5100000000000003E-2</v>
      </c>
      <c r="BX128" s="230">
        <v>4958000</v>
      </c>
      <c r="BY128" s="230">
        <v>4845600</v>
      </c>
      <c r="BZ128" s="230">
        <v>112400</v>
      </c>
      <c r="CA128" s="229">
        <v>2.3199999999999998E-2</v>
      </c>
      <c r="CB128" s="230">
        <v>4479600</v>
      </c>
      <c r="CC128" s="230">
        <v>4412000</v>
      </c>
      <c r="CD128" s="230">
        <v>67600</v>
      </c>
      <c r="CE128" s="229">
        <v>1.5299999999999999E-2</v>
      </c>
      <c r="CF128" s="230">
        <v>424800</v>
      </c>
      <c r="CG128" s="230">
        <v>385200</v>
      </c>
      <c r="CH128" s="230">
        <v>39600</v>
      </c>
      <c r="CI128" s="229">
        <v>0.1028</v>
      </c>
      <c r="CJ128" s="228">
        <v>0</v>
      </c>
      <c r="CK128" s="228">
        <v>0</v>
      </c>
      <c r="CL128" s="228">
        <v>0</v>
      </c>
      <c r="CM128" s="229">
        <v>0</v>
      </c>
      <c r="CN128" s="230">
        <v>3423200</v>
      </c>
      <c r="CO128" s="230">
        <v>3408800</v>
      </c>
      <c r="CP128" s="230">
        <v>14400</v>
      </c>
      <c r="CQ128" s="229">
        <v>4.1999999999999997E-3</v>
      </c>
      <c r="CR128" s="230">
        <v>2278000</v>
      </c>
      <c r="CS128" s="230">
        <v>2195600</v>
      </c>
      <c r="CT128" s="230">
        <v>82400</v>
      </c>
      <c r="CU128" s="229">
        <v>3.7499999999999999E-2</v>
      </c>
      <c r="CV128" s="230">
        <v>10659200</v>
      </c>
      <c r="CW128" s="230">
        <v>10450000</v>
      </c>
      <c r="CX128" s="230">
        <v>209200</v>
      </c>
      <c r="CY128" s="229">
        <v>0.02</v>
      </c>
      <c r="CZ128" s="228">
        <v>38.92</v>
      </c>
      <c r="DA128" s="228">
        <v>39.01</v>
      </c>
      <c r="DB128" s="228">
        <v>-0.09</v>
      </c>
      <c r="DC128" s="228">
        <v>-0.09</v>
      </c>
      <c r="DD128" s="228">
        <v>46.4</v>
      </c>
      <c r="DE128" s="228">
        <v>46.5</v>
      </c>
      <c r="DF128" s="228">
        <v>-7.48</v>
      </c>
      <c r="DG128" s="228">
        <v>-0.1</v>
      </c>
      <c r="DH128" s="228">
        <v>39.76</v>
      </c>
      <c r="DI128" s="228">
        <v>39.479999999999997</v>
      </c>
      <c r="DJ128" s="228">
        <v>0.28000000000000003</v>
      </c>
      <c r="DK128" s="228">
        <v>0.28000000000000003</v>
      </c>
      <c r="DL128" s="228">
        <v>37.15</v>
      </c>
      <c r="DM128" s="228">
        <v>37.36</v>
      </c>
      <c r="DN128" s="228">
        <v>-0.21</v>
      </c>
      <c r="DO128" s="228">
        <v>-0.21</v>
      </c>
      <c r="DP128" s="228">
        <v>0.67</v>
      </c>
      <c r="DQ128" s="228">
        <v>0.64</v>
      </c>
      <c r="DR128" s="228">
        <v>0.03</v>
      </c>
      <c r="DS128" s="229">
        <v>4.6899999999999997E-2</v>
      </c>
      <c r="DT128" s="231">
        <v>1300</v>
      </c>
      <c r="DU128" s="231">
        <v>1200</v>
      </c>
      <c r="DV128" s="228">
        <v>0.47</v>
      </c>
      <c r="DW128" s="228">
        <v>0.28999999999999998</v>
      </c>
      <c r="DX128" s="228">
        <v>0.18</v>
      </c>
      <c r="DY128" s="229">
        <v>0.62070000000000003</v>
      </c>
      <c r="DZ128" s="229">
        <v>8.5699999999999998E-2</v>
      </c>
      <c r="EA128" s="230">
        <v>385200</v>
      </c>
      <c r="EB128" s="229">
        <v>2E-3</v>
      </c>
      <c r="EC128" s="229">
        <v>8.5699999999999998E-2</v>
      </c>
      <c r="ED128" s="228">
        <v>2.71</v>
      </c>
      <c r="EE128" s="229">
        <v>2.2000000000000001E-3</v>
      </c>
      <c r="EF128" s="230">
        <v>245241</v>
      </c>
      <c r="EG128" s="230">
        <v>225431</v>
      </c>
      <c r="EH128" s="229">
        <v>8.7900000000000006E-2</v>
      </c>
      <c r="EI128" s="229">
        <v>0.55059999999999998</v>
      </c>
      <c r="EJ128" s="231">
        <v>12790.92</v>
      </c>
      <c r="EK128" s="231">
        <v>5530.07</v>
      </c>
      <c r="EL128" s="231">
        <v>6409.05</v>
      </c>
      <c r="EM128" s="228">
        <v>0</v>
      </c>
      <c r="EN128" s="231">
        <v>24730.04</v>
      </c>
      <c r="EO128" s="231">
        <v>30118.16</v>
      </c>
      <c r="EP128" s="231">
        <v>-5388.12</v>
      </c>
      <c r="EQ128" s="229">
        <v>-0.1789</v>
      </c>
      <c r="ER128" s="231">
        <v>45876</v>
      </c>
      <c r="ES128" s="231">
        <v>27734</v>
      </c>
      <c r="ET128" s="231">
        <v>62116</v>
      </c>
      <c r="EU128" s="231">
        <v>32698512</v>
      </c>
      <c r="EV128" s="231">
        <v>135727</v>
      </c>
      <c r="EW128" s="231">
        <v>133762</v>
      </c>
      <c r="EX128" s="231">
        <v>1965</v>
      </c>
      <c r="EY128" s="229">
        <v>1.47E-2</v>
      </c>
      <c r="EZ128" s="229">
        <v>0.32600000000000001</v>
      </c>
      <c r="FA128" s="227" t="s">
        <v>567</v>
      </c>
      <c r="FB128" s="161">
        <f t="shared" si="1"/>
        <v>478400</v>
      </c>
    </row>
    <row r="129" spans="1:158" ht="17.25" thickBot="1" x14ac:dyDescent="0.3">
      <c r="A129" s="226">
        <v>45860</v>
      </c>
      <c r="B129" s="227" t="s">
        <v>170</v>
      </c>
      <c r="C129" s="227" t="s">
        <v>535</v>
      </c>
      <c r="D129" s="228">
        <v>1700</v>
      </c>
      <c r="E129" s="228">
        <v>824.75</v>
      </c>
      <c r="F129" s="228">
        <v>830.25</v>
      </c>
      <c r="G129" s="228">
        <v>-5.5</v>
      </c>
      <c r="H129" s="229">
        <v>-6.6E-3</v>
      </c>
      <c r="I129" s="228">
        <v>823.35</v>
      </c>
      <c r="J129" s="228">
        <v>829.45</v>
      </c>
      <c r="K129" s="228">
        <v>-6.1</v>
      </c>
      <c r="L129" s="229">
        <v>-7.4000000000000003E-3</v>
      </c>
      <c r="M129" s="228">
        <v>824.75</v>
      </c>
      <c r="N129" s="228">
        <v>830.25</v>
      </c>
      <c r="O129" s="228">
        <v>-5.5</v>
      </c>
      <c r="P129" s="229">
        <v>-6.6E-3</v>
      </c>
      <c r="Q129" s="228">
        <v>828.9</v>
      </c>
      <c r="R129" s="228">
        <v>834</v>
      </c>
      <c r="S129" s="228">
        <v>-5.0999999999999996</v>
      </c>
      <c r="T129" s="229">
        <v>-6.1000000000000004E-3</v>
      </c>
      <c r="U129" s="228">
        <v>0</v>
      </c>
      <c r="V129" s="228">
        <v>0</v>
      </c>
      <c r="W129" s="228">
        <v>0</v>
      </c>
      <c r="X129" s="229">
        <v>0</v>
      </c>
      <c r="Y129" s="228">
        <v>1.4</v>
      </c>
      <c r="Z129" s="228">
        <v>0.8</v>
      </c>
      <c r="AA129" s="228">
        <v>0.6</v>
      </c>
      <c r="AB129" s="229">
        <v>1.6999999999999999E-3</v>
      </c>
      <c r="AC129" s="228">
        <v>1.4</v>
      </c>
      <c r="AD129" s="228">
        <v>0.8</v>
      </c>
      <c r="AE129" s="228">
        <v>0.6</v>
      </c>
      <c r="AF129" s="229">
        <v>1.6999999999999999E-3</v>
      </c>
      <c r="AG129" s="228">
        <v>5.55</v>
      </c>
      <c r="AH129" s="228">
        <v>4.55</v>
      </c>
      <c r="AI129" s="228">
        <v>1</v>
      </c>
      <c r="AJ129" s="229">
        <v>6.7000000000000002E-3</v>
      </c>
      <c r="AK129" s="228">
        <v>0</v>
      </c>
      <c r="AL129" s="228">
        <v>0</v>
      </c>
      <c r="AM129" s="228">
        <v>0</v>
      </c>
      <c r="AN129" s="229">
        <v>0</v>
      </c>
      <c r="AO129" s="228">
        <v>823.2</v>
      </c>
      <c r="AP129" s="228">
        <v>827</v>
      </c>
      <c r="AQ129" s="228">
        <v>0</v>
      </c>
      <c r="AR129" s="230">
        <v>3483300</v>
      </c>
      <c r="AS129" s="230">
        <v>2964800</v>
      </c>
      <c r="AT129" s="230">
        <v>518500</v>
      </c>
      <c r="AU129" s="229">
        <v>0.1749</v>
      </c>
      <c r="AV129" s="230">
        <v>2799900</v>
      </c>
      <c r="AW129" s="230">
        <v>2468400</v>
      </c>
      <c r="AX129" s="230">
        <v>331500</v>
      </c>
      <c r="AY129" s="229">
        <v>0.1343</v>
      </c>
      <c r="AZ129" s="230">
        <v>649400</v>
      </c>
      <c r="BA129" s="230">
        <v>474300</v>
      </c>
      <c r="BB129" s="230">
        <v>175100</v>
      </c>
      <c r="BC129" s="229">
        <v>0.36919999999999997</v>
      </c>
      <c r="BD129" s="228">
        <v>0</v>
      </c>
      <c r="BE129" s="228">
        <v>0</v>
      </c>
      <c r="BF129" s="228">
        <v>0</v>
      </c>
      <c r="BG129" s="229">
        <v>0</v>
      </c>
      <c r="BH129" s="230">
        <v>7884600</v>
      </c>
      <c r="BI129" s="230">
        <v>8229700</v>
      </c>
      <c r="BJ129" s="230">
        <v>-345100</v>
      </c>
      <c r="BK129" s="229">
        <v>-4.19E-2</v>
      </c>
      <c r="BL129" s="230">
        <v>6266200</v>
      </c>
      <c r="BM129" s="230">
        <v>6949600</v>
      </c>
      <c r="BN129" s="230">
        <v>-683400</v>
      </c>
      <c r="BO129" s="229">
        <v>-9.8299999999999998E-2</v>
      </c>
      <c r="BP129" s="230">
        <v>17634100</v>
      </c>
      <c r="BQ129" s="230">
        <v>18144100</v>
      </c>
      <c r="BR129" s="230">
        <v>-510000</v>
      </c>
      <c r="BS129" s="229">
        <v>-2.81E-2</v>
      </c>
      <c r="BT129" s="230">
        <v>987312</v>
      </c>
      <c r="BU129" s="230">
        <v>1263512</v>
      </c>
      <c r="BV129" s="230">
        <v>-276200</v>
      </c>
      <c r="BW129" s="229">
        <v>-0.21859999999999999</v>
      </c>
      <c r="BX129" s="230">
        <v>21637600</v>
      </c>
      <c r="BY129" s="230">
        <v>21892600</v>
      </c>
      <c r="BZ129" s="230">
        <v>-255000</v>
      </c>
      <c r="CA129" s="229">
        <v>-1.1599999999999999E-2</v>
      </c>
      <c r="CB129" s="230">
        <v>20002200</v>
      </c>
      <c r="CC129" s="230">
        <v>20292900</v>
      </c>
      <c r="CD129" s="230">
        <v>-290700</v>
      </c>
      <c r="CE129" s="229">
        <v>-1.43E-2</v>
      </c>
      <c r="CF129" s="230">
        <v>1327700</v>
      </c>
      <c r="CG129" s="230">
        <v>1298800</v>
      </c>
      <c r="CH129" s="230">
        <v>28900</v>
      </c>
      <c r="CI129" s="229">
        <v>2.23E-2</v>
      </c>
      <c r="CJ129" s="228">
        <v>0</v>
      </c>
      <c r="CK129" s="228">
        <v>0</v>
      </c>
      <c r="CL129" s="228">
        <v>0</v>
      </c>
      <c r="CM129" s="229">
        <v>0</v>
      </c>
      <c r="CN129" s="230">
        <v>16609000</v>
      </c>
      <c r="CO129" s="230">
        <v>16576700</v>
      </c>
      <c r="CP129" s="230">
        <v>32300</v>
      </c>
      <c r="CQ129" s="229">
        <v>1.9E-3</v>
      </c>
      <c r="CR129" s="230">
        <v>19221900</v>
      </c>
      <c r="CS129" s="230">
        <v>19276300</v>
      </c>
      <c r="CT129" s="230">
        <v>-54400</v>
      </c>
      <c r="CU129" s="229">
        <v>-2.8E-3</v>
      </c>
      <c r="CV129" s="230">
        <v>57468500</v>
      </c>
      <c r="CW129" s="230">
        <v>57745600</v>
      </c>
      <c r="CX129" s="230">
        <v>-277100</v>
      </c>
      <c r="CY129" s="229">
        <v>-4.7999999999999996E-3</v>
      </c>
      <c r="CZ129" s="228">
        <v>39.65</v>
      </c>
      <c r="DA129" s="228">
        <v>38.840000000000003</v>
      </c>
      <c r="DB129" s="228">
        <v>0.81</v>
      </c>
      <c r="DC129" s="228">
        <v>0.81</v>
      </c>
      <c r="DD129" s="228">
        <v>42.46</v>
      </c>
      <c r="DE129" s="228">
        <v>42.56</v>
      </c>
      <c r="DF129" s="228">
        <v>-2.81</v>
      </c>
      <c r="DG129" s="228">
        <v>-0.1</v>
      </c>
      <c r="DH129" s="228">
        <v>38.14</v>
      </c>
      <c r="DI129" s="228">
        <v>36.6</v>
      </c>
      <c r="DJ129" s="228">
        <v>1.54</v>
      </c>
      <c r="DK129" s="228">
        <v>1.54</v>
      </c>
      <c r="DL129" s="228">
        <v>41.55</v>
      </c>
      <c r="DM129" s="228">
        <v>41.49</v>
      </c>
      <c r="DN129" s="228">
        <v>0.06</v>
      </c>
      <c r="DO129" s="228">
        <v>0.06</v>
      </c>
      <c r="DP129" s="228">
        <v>1.1599999999999999</v>
      </c>
      <c r="DQ129" s="228">
        <v>1.1599999999999999</v>
      </c>
      <c r="DR129" s="228">
        <v>0</v>
      </c>
      <c r="DS129" s="229">
        <v>0</v>
      </c>
      <c r="DT129" s="228">
        <v>840</v>
      </c>
      <c r="DU129" s="228">
        <v>780</v>
      </c>
      <c r="DV129" s="228">
        <v>0.79</v>
      </c>
      <c r="DW129" s="228">
        <v>0.84</v>
      </c>
      <c r="DX129" s="228">
        <v>-0.05</v>
      </c>
      <c r="DY129" s="229">
        <v>-5.9499999999999997E-2</v>
      </c>
      <c r="DZ129" s="229">
        <v>6.1400000000000003E-2</v>
      </c>
      <c r="EA129" s="230">
        <v>1298800</v>
      </c>
      <c r="EB129" s="229">
        <v>5.0000000000000001E-3</v>
      </c>
      <c r="EC129" s="229">
        <v>6.1400000000000003E-2</v>
      </c>
      <c r="ED129" s="228">
        <v>3.8</v>
      </c>
      <c r="EE129" s="229">
        <v>4.5999999999999999E-3</v>
      </c>
      <c r="EF129" s="230">
        <v>372054</v>
      </c>
      <c r="EG129" s="230">
        <v>610396</v>
      </c>
      <c r="EH129" s="229">
        <v>-0.39050000000000001</v>
      </c>
      <c r="EI129" s="229">
        <v>0.37680000000000002</v>
      </c>
      <c r="EJ129" s="231">
        <v>67844.639999999999</v>
      </c>
      <c r="EK129" s="231">
        <v>50054.73</v>
      </c>
      <c r="EL129" s="231">
        <v>28701.439999999999</v>
      </c>
      <c r="EM129" s="228">
        <v>0</v>
      </c>
      <c r="EN129" s="231">
        <v>146600.81</v>
      </c>
      <c r="EO129" s="231">
        <v>150460.23000000001</v>
      </c>
      <c r="EP129" s="231">
        <v>-3859.42</v>
      </c>
      <c r="EQ129" s="229">
        <v>-2.5700000000000001E-2</v>
      </c>
      <c r="ER129" s="231">
        <v>134145</v>
      </c>
      <c r="ES129" s="231">
        <v>142986</v>
      </c>
      <c r="ET129" s="231">
        <v>178532</v>
      </c>
      <c r="EU129" s="231">
        <v>78058155</v>
      </c>
      <c r="EV129" s="231">
        <v>455664</v>
      </c>
      <c r="EW129" s="231">
        <v>458781</v>
      </c>
      <c r="EX129" s="231">
        <v>-3117</v>
      </c>
      <c r="EY129" s="229">
        <v>-6.7999999999999996E-3</v>
      </c>
      <c r="EZ129" s="229">
        <v>0.73619999999999997</v>
      </c>
      <c r="FA129" s="227" t="s">
        <v>568</v>
      </c>
      <c r="FB129" s="161">
        <f t="shared" si="1"/>
        <v>1635400</v>
      </c>
    </row>
    <row r="130" spans="1:158" ht="17.25" thickBot="1" x14ac:dyDescent="0.3">
      <c r="A130" s="226">
        <v>45860</v>
      </c>
      <c r="B130" s="227" t="s">
        <v>175</v>
      </c>
      <c r="C130" s="227" t="s">
        <v>248</v>
      </c>
      <c r="D130" s="228">
        <v>1000</v>
      </c>
      <c r="E130" s="228">
        <v>621.9</v>
      </c>
      <c r="F130" s="228">
        <v>625.79999999999995</v>
      </c>
      <c r="G130" s="228">
        <v>-3.9</v>
      </c>
      <c r="H130" s="229">
        <v>-6.1999999999999998E-3</v>
      </c>
      <c r="I130" s="228">
        <v>620.20000000000005</v>
      </c>
      <c r="J130" s="228">
        <v>623.65</v>
      </c>
      <c r="K130" s="228">
        <v>-3.45</v>
      </c>
      <c r="L130" s="229">
        <v>-5.4999999999999997E-3</v>
      </c>
      <c r="M130" s="228">
        <v>621.9</v>
      </c>
      <c r="N130" s="228">
        <v>625.79999999999995</v>
      </c>
      <c r="O130" s="228">
        <v>-3.9</v>
      </c>
      <c r="P130" s="229">
        <v>-6.1999999999999998E-3</v>
      </c>
      <c r="Q130" s="228">
        <v>618</v>
      </c>
      <c r="R130" s="228">
        <v>621.85</v>
      </c>
      <c r="S130" s="228">
        <v>-3.85</v>
      </c>
      <c r="T130" s="229">
        <v>-6.1999999999999998E-3</v>
      </c>
      <c r="U130" s="228">
        <v>0</v>
      </c>
      <c r="V130" s="228">
        <v>0</v>
      </c>
      <c r="W130" s="228">
        <v>0</v>
      </c>
      <c r="X130" s="229">
        <v>0</v>
      </c>
      <c r="Y130" s="228">
        <v>1.7</v>
      </c>
      <c r="Z130" s="228">
        <v>2.15</v>
      </c>
      <c r="AA130" s="228">
        <v>-0.45</v>
      </c>
      <c r="AB130" s="229">
        <v>2.7000000000000001E-3</v>
      </c>
      <c r="AC130" s="228">
        <v>1.7</v>
      </c>
      <c r="AD130" s="228">
        <v>2.15</v>
      </c>
      <c r="AE130" s="228">
        <v>-0.45</v>
      </c>
      <c r="AF130" s="229">
        <v>2.7000000000000001E-3</v>
      </c>
      <c r="AG130" s="228">
        <v>-2.2000000000000002</v>
      </c>
      <c r="AH130" s="228">
        <v>-1.8</v>
      </c>
      <c r="AI130" s="228">
        <v>-0.4</v>
      </c>
      <c r="AJ130" s="229">
        <v>-3.5000000000000001E-3</v>
      </c>
      <c r="AK130" s="228">
        <v>0</v>
      </c>
      <c r="AL130" s="228">
        <v>0</v>
      </c>
      <c r="AM130" s="228">
        <v>0</v>
      </c>
      <c r="AN130" s="229">
        <v>0</v>
      </c>
      <c r="AO130" s="228">
        <v>627.15</v>
      </c>
      <c r="AP130" s="228">
        <v>622.96</v>
      </c>
      <c r="AQ130" s="228">
        <v>0</v>
      </c>
      <c r="AR130" s="230">
        <v>5585000</v>
      </c>
      <c r="AS130" s="230">
        <v>4186000</v>
      </c>
      <c r="AT130" s="230">
        <v>1399000</v>
      </c>
      <c r="AU130" s="229">
        <v>0.3342</v>
      </c>
      <c r="AV130" s="230">
        <v>3407000</v>
      </c>
      <c r="AW130" s="230">
        <v>2498000</v>
      </c>
      <c r="AX130" s="230">
        <v>909000</v>
      </c>
      <c r="AY130" s="229">
        <v>0.3639</v>
      </c>
      <c r="AZ130" s="230">
        <v>1430000</v>
      </c>
      <c r="BA130" s="230">
        <v>1032000</v>
      </c>
      <c r="BB130" s="230">
        <v>398000</v>
      </c>
      <c r="BC130" s="229">
        <v>0.38569999999999999</v>
      </c>
      <c r="BD130" s="228">
        <v>0</v>
      </c>
      <c r="BE130" s="228">
        <v>0</v>
      </c>
      <c r="BF130" s="228">
        <v>0</v>
      </c>
      <c r="BG130" s="229">
        <v>0</v>
      </c>
      <c r="BH130" s="230">
        <v>8501000</v>
      </c>
      <c r="BI130" s="230">
        <v>9662000</v>
      </c>
      <c r="BJ130" s="230">
        <v>-1161000</v>
      </c>
      <c r="BK130" s="229">
        <v>-0.1202</v>
      </c>
      <c r="BL130" s="230">
        <v>2727000</v>
      </c>
      <c r="BM130" s="230">
        <v>3252000</v>
      </c>
      <c r="BN130" s="230">
        <v>-525000</v>
      </c>
      <c r="BO130" s="229">
        <v>-0.16139999999999999</v>
      </c>
      <c r="BP130" s="230">
        <v>16813000</v>
      </c>
      <c r="BQ130" s="230">
        <v>17100000</v>
      </c>
      <c r="BR130" s="230">
        <v>-287000</v>
      </c>
      <c r="BS130" s="229">
        <v>-1.6799999999999999E-2</v>
      </c>
      <c r="BT130" s="230">
        <v>1089886</v>
      </c>
      <c r="BU130" s="230">
        <v>1296573</v>
      </c>
      <c r="BV130" s="230">
        <v>-206687</v>
      </c>
      <c r="BW130" s="229">
        <v>-0.15939999999999999</v>
      </c>
      <c r="BX130" s="230">
        <v>28322000</v>
      </c>
      <c r="BY130" s="230">
        <v>27772000</v>
      </c>
      <c r="BZ130" s="230">
        <v>550000</v>
      </c>
      <c r="CA130" s="229">
        <v>1.9800000000000002E-2</v>
      </c>
      <c r="CB130" s="230">
        <v>19101000</v>
      </c>
      <c r="CC130" s="230">
        <v>19762000</v>
      </c>
      <c r="CD130" s="230">
        <v>-661000</v>
      </c>
      <c r="CE130" s="229">
        <v>-3.3399999999999999E-2</v>
      </c>
      <c r="CF130" s="230">
        <v>5652000</v>
      </c>
      <c r="CG130" s="230">
        <v>4997000</v>
      </c>
      <c r="CH130" s="230">
        <v>655000</v>
      </c>
      <c r="CI130" s="229">
        <v>0.13109999999999999</v>
      </c>
      <c r="CJ130" s="228">
        <v>0</v>
      </c>
      <c r="CK130" s="228">
        <v>0</v>
      </c>
      <c r="CL130" s="228">
        <v>0</v>
      </c>
      <c r="CM130" s="229">
        <v>0</v>
      </c>
      <c r="CN130" s="230">
        <v>8366000</v>
      </c>
      <c r="CO130" s="230">
        <v>8177000</v>
      </c>
      <c r="CP130" s="230">
        <v>189000</v>
      </c>
      <c r="CQ130" s="229">
        <v>2.3099999999999999E-2</v>
      </c>
      <c r="CR130" s="230">
        <v>7120000</v>
      </c>
      <c r="CS130" s="230">
        <v>7187000</v>
      </c>
      <c r="CT130" s="230">
        <v>-67000</v>
      </c>
      <c r="CU130" s="229">
        <v>-9.2999999999999992E-3</v>
      </c>
      <c r="CV130" s="230">
        <v>43808000</v>
      </c>
      <c r="CW130" s="230">
        <v>43136000</v>
      </c>
      <c r="CX130" s="230">
        <v>672000</v>
      </c>
      <c r="CY130" s="229">
        <v>1.5599999999999999E-2</v>
      </c>
      <c r="CZ130" s="228">
        <v>24.89</v>
      </c>
      <c r="DA130" s="228">
        <v>24.78</v>
      </c>
      <c r="DB130" s="228">
        <v>0.11</v>
      </c>
      <c r="DC130" s="228">
        <v>0.11</v>
      </c>
      <c r="DD130" s="228">
        <v>37.729999999999997</v>
      </c>
      <c r="DE130" s="228">
        <v>37.81</v>
      </c>
      <c r="DF130" s="228">
        <v>-12.84</v>
      </c>
      <c r="DG130" s="228">
        <v>-0.08</v>
      </c>
      <c r="DH130" s="228">
        <v>24.92</v>
      </c>
      <c r="DI130" s="228">
        <v>24.58</v>
      </c>
      <c r="DJ130" s="228">
        <v>0.34</v>
      </c>
      <c r="DK130" s="228">
        <v>0.34</v>
      </c>
      <c r="DL130" s="228">
        <v>24.78</v>
      </c>
      <c r="DM130" s="228">
        <v>25.38</v>
      </c>
      <c r="DN130" s="228">
        <v>-0.6</v>
      </c>
      <c r="DO130" s="228">
        <v>-0.6</v>
      </c>
      <c r="DP130" s="228">
        <v>0.85</v>
      </c>
      <c r="DQ130" s="228">
        <v>0.88</v>
      </c>
      <c r="DR130" s="228">
        <v>-0.03</v>
      </c>
      <c r="DS130" s="229">
        <v>-3.4099999999999998E-2</v>
      </c>
      <c r="DT130" s="228">
        <v>640</v>
      </c>
      <c r="DU130" s="228">
        <v>600</v>
      </c>
      <c r="DV130" s="228">
        <v>0.32</v>
      </c>
      <c r="DW130" s="228">
        <v>0.34</v>
      </c>
      <c r="DX130" s="228">
        <v>-0.02</v>
      </c>
      <c r="DY130" s="229">
        <v>-5.8799999999999998E-2</v>
      </c>
      <c r="DZ130" s="229">
        <v>0.1996</v>
      </c>
      <c r="EA130" s="230">
        <v>4997000</v>
      </c>
      <c r="EB130" s="229">
        <v>-6.3E-3</v>
      </c>
      <c r="EC130" s="229">
        <v>0.1996</v>
      </c>
      <c r="ED130" s="228">
        <v>-4.1900000000000004</v>
      </c>
      <c r="EE130" s="229">
        <v>-6.7000000000000002E-3</v>
      </c>
      <c r="EF130" s="230">
        <v>451264</v>
      </c>
      <c r="EG130" s="230">
        <v>625055</v>
      </c>
      <c r="EH130" s="229">
        <v>-0.27800000000000002</v>
      </c>
      <c r="EI130" s="229">
        <v>0.41399999999999998</v>
      </c>
      <c r="EJ130" s="231">
        <v>55221.83</v>
      </c>
      <c r="EK130" s="231">
        <v>16835.490000000002</v>
      </c>
      <c r="EL130" s="231">
        <v>34940.31</v>
      </c>
      <c r="EM130" s="228">
        <v>0</v>
      </c>
      <c r="EN130" s="231">
        <v>106997.63</v>
      </c>
      <c r="EO130" s="231">
        <v>109111.2</v>
      </c>
      <c r="EP130" s="231">
        <v>-2113.5700000000002</v>
      </c>
      <c r="EQ130" s="229">
        <v>-1.9400000000000001E-2</v>
      </c>
      <c r="ER130" s="231">
        <v>53767</v>
      </c>
      <c r="ES130" s="231">
        <v>42755</v>
      </c>
      <c r="ET130" s="231">
        <v>175811</v>
      </c>
      <c r="EU130" s="231">
        <v>60244101</v>
      </c>
      <c r="EV130" s="231">
        <v>272333</v>
      </c>
      <c r="EW130" s="231">
        <v>269216</v>
      </c>
      <c r="EX130" s="231">
        <v>3117</v>
      </c>
      <c r="EY130" s="229">
        <v>1.1599999999999999E-2</v>
      </c>
      <c r="EZ130" s="229">
        <v>0.72719999999999996</v>
      </c>
      <c r="FA130" s="227" t="s">
        <v>567</v>
      </c>
      <c r="FB130" s="161">
        <f t="shared" si="1"/>
        <v>9221000</v>
      </c>
    </row>
    <row r="131" spans="1:158" ht="17.25" thickBot="1" x14ac:dyDescent="0.3">
      <c r="A131" s="226">
        <v>45860</v>
      </c>
      <c r="B131" s="227" t="s">
        <v>175</v>
      </c>
      <c r="C131" s="227" t="s">
        <v>608</v>
      </c>
      <c r="D131" s="228">
        <v>700</v>
      </c>
      <c r="E131" s="228">
        <v>908.2</v>
      </c>
      <c r="F131" s="228">
        <v>916.8</v>
      </c>
      <c r="G131" s="228">
        <v>-8.6</v>
      </c>
      <c r="H131" s="229">
        <v>-9.4000000000000004E-3</v>
      </c>
      <c r="I131" s="228">
        <v>919.05</v>
      </c>
      <c r="J131" s="228">
        <v>928.15</v>
      </c>
      <c r="K131" s="228">
        <v>-9.1</v>
      </c>
      <c r="L131" s="229">
        <v>-9.7999999999999997E-3</v>
      </c>
      <c r="M131" s="228">
        <v>908.2</v>
      </c>
      <c r="N131" s="228">
        <v>916.8</v>
      </c>
      <c r="O131" s="228">
        <v>-8.6</v>
      </c>
      <c r="P131" s="229">
        <v>-9.4000000000000004E-3</v>
      </c>
      <c r="Q131" s="228">
        <v>913</v>
      </c>
      <c r="R131" s="228">
        <v>920.9</v>
      </c>
      <c r="S131" s="228">
        <v>-7.9</v>
      </c>
      <c r="T131" s="229">
        <v>-8.6E-3</v>
      </c>
      <c r="U131" s="228">
        <v>0</v>
      </c>
      <c r="V131" s="228">
        <v>0</v>
      </c>
      <c r="W131" s="228">
        <v>0</v>
      </c>
      <c r="X131" s="229">
        <v>0</v>
      </c>
      <c r="Y131" s="228">
        <v>-10.85</v>
      </c>
      <c r="Z131" s="228">
        <v>-11.35</v>
      </c>
      <c r="AA131" s="228">
        <v>0.5</v>
      </c>
      <c r="AB131" s="229">
        <v>-1.18E-2</v>
      </c>
      <c r="AC131" s="228">
        <v>-10.85</v>
      </c>
      <c r="AD131" s="228">
        <v>-11.35</v>
      </c>
      <c r="AE131" s="228">
        <v>0.5</v>
      </c>
      <c r="AF131" s="229">
        <v>-1.18E-2</v>
      </c>
      <c r="AG131" s="228">
        <v>-6.05</v>
      </c>
      <c r="AH131" s="228">
        <v>-7.25</v>
      </c>
      <c r="AI131" s="228">
        <v>1.2</v>
      </c>
      <c r="AJ131" s="229">
        <v>-6.6E-3</v>
      </c>
      <c r="AK131" s="228">
        <v>0</v>
      </c>
      <c r="AL131" s="228">
        <v>0</v>
      </c>
      <c r="AM131" s="228">
        <v>0</v>
      </c>
      <c r="AN131" s="229">
        <v>0</v>
      </c>
      <c r="AO131" s="228">
        <v>912.66</v>
      </c>
      <c r="AP131" s="228">
        <v>916.72</v>
      </c>
      <c r="AQ131" s="228">
        <v>0</v>
      </c>
      <c r="AR131" s="230">
        <v>819700</v>
      </c>
      <c r="AS131" s="230">
        <v>737800</v>
      </c>
      <c r="AT131" s="230">
        <v>81900</v>
      </c>
      <c r="AU131" s="229">
        <v>0.111</v>
      </c>
      <c r="AV131" s="230">
        <v>618100</v>
      </c>
      <c r="AW131" s="230">
        <v>529900</v>
      </c>
      <c r="AX131" s="230">
        <v>88200</v>
      </c>
      <c r="AY131" s="229">
        <v>0.16639999999999999</v>
      </c>
      <c r="AZ131" s="230">
        <v>195300</v>
      </c>
      <c r="BA131" s="230">
        <v>192500</v>
      </c>
      <c r="BB131" s="230">
        <v>2800</v>
      </c>
      <c r="BC131" s="229">
        <v>1.4500000000000001E-2</v>
      </c>
      <c r="BD131" s="228">
        <v>0</v>
      </c>
      <c r="BE131" s="228">
        <v>0</v>
      </c>
      <c r="BF131" s="228">
        <v>0</v>
      </c>
      <c r="BG131" s="229">
        <v>0</v>
      </c>
      <c r="BH131" s="230">
        <v>2749600</v>
      </c>
      <c r="BI131" s="230">
        <v>2300200</v>
      </c>
      <c r="BJ131" s="230">
        <v>449400</v>
      </c>
      <c r="BK131" s="229">
        <v>0.19539999999999999</v>
      </c>
      <c r="BL131" s="230">
        <v>771400</v>
      </c>
      <c r="BM131" s="230">
        <v>689500</v>
      </c>
      <c r="BN131" s="230">
        <v>81900</v>
      </c>
      <c r="BO131" s="229">
        <v>0.1188</v>
      </c>
      <c r="BP131" s="230">
        <v>4340700</v>
      </c>
      <c r="BQ131" s="230">
        <v>3727500</v>
      </c>
      <c r="BR131" s="230">
        <v>613200</v>
      </c>
      <c r="BS131" s="229">
        <v>0.16450000000000001</v>
      </c>
      <c r="BT131" s="230">
        <v>523179</v>
      </c>
      <c r="BU131" s="230">
        <v>484162</v>
      </c>
      <c r="BV131" s="230">
        <v>39017</v>
      </c>
      <c r="BW131" s="229">
        <v>8.0600000000000005E-2</v>
      </c>
      <c r="BX131" s="230">
        <v>8439200</v>
      </c>
      <c r="BY131" s="230">
        <v>8369200</v>
      </c>
      <c r="BZ131" s="230">
        <v>70000</v>
      </c>
      <c r="CA131" s="229">
        <v>8.3999999999999995E-3</v>
      </c>
      <c r="CB131" s="230">
        <v>7594300</v>
      </c>
      <c r="CC131" s="230">
        <v>7622300</v>
      </c>
      <c r="CD131" s="230">
        <v>-28000</v>
      </c>
      <c r="CE131" s="229">
        <v>-3.7000000000000002E-3</v>
      </c>
      <c r="CF131" s="230">
        <v>760200</v>
      </c>
      <c r="CG131" s="230">
        <v>665000</v>
      </c>
      <c r="CH131" s="230">
        <v>95200</v>
      </c>
      <c r="CI131" s="229">
        <v>0.14319999999999999</v>
      </c>
      <c r="CJ131" s="228">
        <v>0</v>
      </c>
      <c r="CK131" s="228">
        <v>0</v>
      </c>
      <c r="CL131" s="228">
        <v>0</v>
      </c>
      <c r="CM131" s="229">
        <v>0</v>
      </c>
      <c r="CN131" s="230">
        <v>5427800</v>
      </c>
      <c r="CO131" s="230">
        <v>5437600</v>
      </c>
      <c r="CP131" s="230">
        <v>-9800</v>
      </c>
      <c r="CQ131" s="229">
        <v>-1.8E-3</v>
      </c>
      <c r="CR131" s="230">
        <v>2487800</v>
      </c>
      <c r="CS131" s="230">
        <v>2422700</v>
      </c>
      <c r="CT131" s="230">
        <v>65100</v>
      </c>
      <c r="CU131" s="229">
        <v>2.69E-2</v>
      </c>
      <c r="CV131" s="230">
        <v>16354800</v>
      </c>
      <c r="CW131" s="230">
        <v>16229500</v>
      </c>
      <c r="CX131" s="230">
        <v>125300</v>
      </c>
      <c r="CY131" s="229">
        <v>7.7000000000000002E-3</v>
      </c>
      <c r="CZ131" s="228">
        <v>25.48</v>
      </c>
      <c r="DA131" s="228">
        <v>24.8</v>
      </c>
      <c r="DB131" s="228">
        <v>0.68</v>
      </c>
      <c r="DC131" s="228">
        <v>0.68</v>
      </c>
      <c r="DD131" s="228">
        <v>35.229999999999997</v>
      </c>
      <c r="DE131" s="228">
        <v>35.299999999999997</v>
      </c>
      <c r="DF131" s="228">
        <v>-9.75</v>
      </c>
      <c r="DG131" s="228">
        <v>-7.0000000000000007E-2</v>
      </c>
      <c r="DH131" s="228">
        <v>26.41</v>
      </c>
      <c r="DI131" s="228">
        <v>25.23</v>
      </c>
      <c r="DJ131" s="228">
        <v>1.18</v>
      </c>
      <c r="DK131" s="228">
        <v>1.18</v>
      </c>
      <c r="DL131" s="228">
        <v>22.17</v>
      </c>
      <c r="DM131" s="228">
        <v>23.33</v>
      </c>
      <c r="DN131" s="228">
        <v>-1.1599999999999999</v>
      </c>
      <c r="DO131" s="228">
        <v>-1.1599999999999999</v>
      </c>
      <c r="DP131" s="228">
        <v>0.46</v>
      </c>
      <c r="DQ131" s="228">
        <v>0.45</v>
      </c>
      <c r="DR131" s="228">
        <v>0.01</v>
      </c>
      <c r="DS131" s="229">
        <v>2.2200000000000001E-2</v>
      </c>
      <c r="DT131" s="231">
        <v>1000</v>
      </c>
      <c r="DU131" s="228">
        <v>900</v>
      </c>
      <c r="DV131" s="228">
        <v>0.28000000000000003</v>
      </c>
      <c r="DW131" s="228">
        <v>0.3</v>
      </c>
      <c r="DX131" s="228">
        <v>-0.02</v>
      </c>
      <c r="DY131" s="229">
        <v>-6.6699999999999995E-2</v>
      </c>
      <c r="DZ131" s="229">
        <v>9.01E-2</v>
      </c>
      <c r="EA131" s="230">
        <v>665000</v>
      </c>
      <c r="EB131" s="229">
        <v>5.3E-3</v>
      </c>
      <c r="EC131" s="229">
        <v>9.01E-2</v>
      </c>
      <c r="ED131" s="228">
        <v>4.0599999999999996</v>
      </c>
      <c r="EE131" s="229">
        <v>4.4000000000000003E-3</v>
      </c>
      <c r="EF131" s="230">
        <v>258554</v>
      </c>
      <c r="EG131" s="230">
        <v>233493</v>
      </c>
      <c r="EH131" s="229">
        <v>0.10730000000000001</v>
      </c>
      <c r="EI131" s="229">
        <v>0.49419999999999997</v>
      </c>
      <c r="EJ131" s="231">
        <v>26278.34</v>
      </c>
      <c r="EK131" s="231">
        <v>7018.26</v>
      </c>
      <c r="EL131" s="231">
        <v>7489.7</v>
      </c>
      <c r="EM131" s="228">
        <v>0</v>
      </c>
      <c r="EN131" s="231">
        <v>40786.300000000003</v>
      </c>
      <c r="EO131" s="231">
        <v>35055.279999999999</v>
      </c>
      <c r="EP131" s="231">
        <v>5731.02</v>
      </c>
      <c r="EQ131" s="229">
        <v>0.16350000000000001</v>
      </c>
      <c r="ER131" s="231">
        <v>52842</v>
      </c>
      <c r="ES131" s="231">
        <v>22571</v>
      </c>
      <c r="ET131" s="231">
        <v>76690</v>
      </c>
      <c r="EU131" s="231">
        <v>44274984</v>
      </c>
      <c r="EV131" s="231">
        <v>152103</v>
      </c>
      <c r="EW131" s="231">
        <v>151750</v>
      </c>
      <c r="EX131" s="228">
        <v>353</v>
      </c>
      <c r="EY131" s="229">
        <v>2.3E-3</v>
      </c>
      <c r="EZ131" s="229">
        <v>0.36940000000000001</v>
      </c>
      <c r="FA131" s="227" t="s">
        <v>567</v>
      </c>
      <c r="FB131" s="161">
        <f t="shared" ref="FB131:FB138" si="2">BX131-CB131</f>
        <v>844900</v>
      </c>
    </row>
    <row r="132" spans="1:158" ht="17.25" thickBot="1" x14ac:dyDescent="0.3">
      <c r="A132" s="226">
        <v>45860</v>
      </c>
      <c r="B132" s="227" t="s">
        <v>206</v>
      </c>
      <c r="C132" s="227" t="s">
        <v>589</v>
      </c>
      <c r="D132" s="228">
        <v>450</v>
      </c>
      <c r="E132" s="231">
        <v>1443</v>
      </c>
      <c r="F132" s="231">
        <v>1452.5</v>
      </c>
      <c r="G132" s="228">
        <v>-9.5</v>
      </c>
      <c r="H132" s="229">
        <v>-6.4999999999999997E-3</v>
      </c>
      <c r="I132" s="231">
        <v>1442.3</v>
      </c>
      <c r="J132" s="231">
        <v>1448.7</v>
      </c>
      <c r="K132" s="228">
        <v>-6.4</v>
      </c>
      <c r="L132" s="229">
        <v>-4.4000000000000003E-3</v>
      </c>
      <c r="M132" s="231">
        <v>1443</v>
      </c>
      <c r="N132" s="231">
        <v>1452.5</v>
      </c>
      <c r="O132" s="228">
        <v>-9.5</v>
      </c>
      <c r="P132" s="229">
        <v>-6.4999999999999997E-3</v>
      </c>
      <c r="Q132" s="231">
        <v>1445</v>
      </c>
      <c r="R132" s="231">
        <v>1454</v>
      </c>
      <c r="S132" s="228">
        <v>-9</v>
      </c>
      <c r="T132" s="229">
        <v>-6.1999999999999998E-3</v>
      </c>
      <c r="U132" s="228">
        <v>0</v>
      </c>
      <c r="V132" s="228">
        <v>0</v>
      </c>
      <c r="W132" s="228">
        <v>0</v>
      </c>
      <c r="X132" s="229">
        <v>0</v>
      </c>
      <c r="Y132" s="228">
        <v>0.7</v>
      </c>
      <c r="Z132" s="228">
        <v>3.8</v>
      </c>
      <c r="AA132" s="228">
        <v>-3.1</v>
      </c>
      <c r="AB132" s="229">
        <v>5.0000000000000001E-4</v>
      </c>
      <c r="AC132" s="228">
        <v>0.7</v>
      </c>
      <c r="AD132" s="228">
        <v>3.8</v>
      </c>
      <c r="AE132" s="228">
        <v>-3.1</v>
      </c>
      <c r="AF132" s="229">
        <v>5.0000000000000001E-4</v>
      </c>
      <c r="AG132" s="228">
        <v>2.7</v>
      </c>
      <c r="AH132" s="228">
        <v>5.3</v>
      </c>
      <c r="AI132" s="228">
        <v>-2.6</v>
      </c>
      <c r="AJ132" s="229">
        <v>1.9E-3</v>
      </c>
      <c r="AK132" s="228">
        <v>0</v>
      </c>
      <c r="AL132" s="228">
        <v>0</v>
      </c>
      <c r="AM132" s="228">
        <v>0</v>
      </c>
      <c r="AN132" s="229">
        <v>0</v>
      </c>
      <c r="AO132" s="231">
        <v>1443.5</v>
      </c>
      <c r="AP132" s="231">
        <v>1444.75</v>
      </c>
      <c r="AQ132" s="228">
        <v>0</v>
      </c>
      <c r="AR132" s="230">
        <v>390150</v>
      </c>
      <c r="AS132" s="230">
        <v>443700</v>
      </c>
      <c r="AT132" s="230">
        <v>-53550</v>
      </c>
      <c r="AU132" s="229">
        <v>-0.1207</v>
      </c>
      <c r="AV132" s="230">
        <v>356400</v>
      </c>
      <c r="AW132" s="230">
        <v>399600</v>
      </c>
      <c r="AX132" s="230">
        <v>-43200</v>
      </c>
      <c r="AY132" s="229">
        <v>-0.1081</v>
      </c>
      <c r="AZ132" s="230">
        <v>32400</v>
      </c>
      <c r="BA132" s="230">
        <v>43200</v>
      </c>
      <c r="BB132" s="230">
        <v>-10800</v>
      </c>
      <c r="BC132" s="229">
        <v>-0.25</v>
      </c>
      <c r="BD132" s="228">
        <v>0</v>
      </c>
      <c r="BE132" s="228">
        <v>0</v>
      </c>
      <c r="BF132" s="228">
        <v>0</v>
      </c>
      <c r="BG132" s="229">
        <v>0</v>
      </c>
      <c r="BH132" s="230">
        <v>1361250</v>
      </c>
      <c r="BI132" s="230">
        <v>944100</v>
      </c>
      <c r="BJ132" s="230">
        <v>417150</v>
      </c>
      <c r="BK132" s="229">
        <v>0.44180000000000003</v>
      </c>
      <c r="BL132" s="230">
        <v>539100</v>
      </c>
      <c r="BM132" s="230">
        <v>513000</v>
      </c>
      <c r="BN132" s="230">
        <v>26100</v>
      </c>
      <c r="BO132" s="229">
        <v>5.0900000000000001E-2</v>
      </c>
      <c r="BP132" s="230">
        <v>2290500</v>
      </c>
      <c r="BQ132" s="230">
        <v>1900800</v>
      </c>
      <c r="BR132" s="230">
        <v>389700</v>
      </c>
      <c r="BS132" s="229">
        <v>0.20499999999999999</v>
      </c>
      <c r="BT132" s="230">
        <v>377819</v>
      </c>
      <c r="BU132" s="230">
        <v>325812</v>
      </c>
      <c r="BV132" s="230">
        <v>52007</v>
      </c>
      <c r="BW132" s="229">
        <v>0.15959999999999999</v>
      </c>
      <c r="BX132" s="230">
        <v>5482800</v>
      </c>
      <c r="BY132" s="230">
        <v>5481450</v>
      </c>
      <c r="BZ132" s="230">
        <v>1350</v>
      </c>
      <c r="CA132" s="229">
        <v>2.0000000000000001E-4</v>
      </c>
      <c r="CB132" s="230">
        <v>5347800</v>
      </c>
      <c r="CC132" s="230">
        <v>5356800</v>
      </c>
      <c r="CD132" s="230">
        <v>-9000</v>
      </c>
      <c r="CE132" s="229">
        <v>-1.6999999999999999E-3</v>
      </c>
      <c r="CF132" s="230">
        <v>119250</v>
      </c>
      <c r="CG132" s="230">
        <v>110250</v>
      </c>
      <c r="CH132" s="230">
        <v>9000</v>
      </c>
      <c r="CI132" s="229">
        <v>8.1600000000000006E-2</v>
      </c>
      <c r="CJ132" s="228">
        <v>0</v>
      </c>
      <c r="CK132" s="228">
        <v>0</v>
      </c>
      <c r="CL132" s="228">
        <v>0</v>
      </c>
      <c r="CM132" s="229">
        <v>0</v>
      </c>
      <c r="CN132" s="230">
        <v>1523700</v>
      </c>
      <c r="CO132" s="230">
        <v>1421100</v>
      </c>
      <c r="CP132" s="230">
        <v>102600</v>
      </c>
      <c r="CQ132" s="229">
        <v>7.22E-2</v>
      </c>
      <c r="CR132" s="230">
        <v>1017000</v>
      </c>
      <c r="CS132" s="230">
        <v>1030950</v>
      </c>
      <c r="CT132" s="230">
        <v>-13950</v>
      </c>
      <c r="CU132" s="229">
        <v>-1.35E-2</v>
      </c>
      <c r="CV132" s="230">
        <v>8023500</v>
      </c>
      <c r="CW132" s="230">
        <v>7933500</v>
      </c>
      <c r="CX132" s="230">
        <v>90000</v>
      </c>
      <c r="CY132" s="229">
        <v>1.1299999999999999E-2</v>
      </c>
      <c r="CZ132" s="228">
        <v>34.54</v>
      </c>
      <c r="DA132" s="228">
        <v>33.64</v>
      </c>
      <c r="DB132" s="228">
        <v>0.9</v>
      </c>
      <c r="DC132" s="228">
        <v>0.9</v>
      </c>
      <c r="DD132" s="228">
        <v>50.63</v>
      </c>
      <c r="DE132" s="228">
        <v>50.75</v>
      </c>
      <c r="DF132" s="228">
        <v>-16.09</v>
      </c>
      <c r="DG132" s="228">
        <v>-0.12</v>
      </c>
      <c r="DH132" s="228">
        <v>34.57</v>
      </c>
      <c r="DI132" s="228">
        <v>33.4</v>
      </c>
      <c r="DJ132" s="228">
        <v>1.17</v>
      </c>
      <c r="DK132" s="228">
        <v>1.17</v>
      </c>
      <c r="DL132" s="228">
        <v>34.479999999999997</v>
      </c>
      <c r="DM132" s="228">
        <v>34.090000000000003</v>
      </c>
      <c r="DN132" s="228">
        <v>0.39</v>
      </c>
      <c r="DO132" s="228">
        <v>0.39</v>
      </c>
      <c r="DP132" s="228">
        <v>0.67</v>
      </c>
      <c r="DQ132" s="228">
        <v>0.73</v>
      </c>
      <c r="DR132" s="228">
        <v>-0.06</v>
      </c>
      <c r="DS132" s="229">
        <v>-8.2199999999999995E-2</v>
      </c>
      <c r="DT132" s="231">
        <v>1500</v>
      </c>
      <c r="DU132" s="231">
        <v>1400</v>
      </c>
      <c r="DV132" s="228">
        <v>0.4</v>
      </c>
      <c r="DW132" s="228">
        <v>0.54</v>
      </c>
      <c r="DX132" s="228">
        <v>-0.14000000000000001</v>
      </c>
      <c r="DY132" s="229">
        <v>-0.25929999999999997</v>
      </c>
      <c r="DZ132" s="229">
        <v>2.1700000000000001E-2</v>
      </c>
      <c r="EA132" s="230">
        <v>110250</v>
      </c>
      <c r="EB132" s="229">
        <v>1.4E-3</v>
      </c>
      <c r="EC132" s="229">
        <v>2.1700000000000001E-2</v>
      </c>
      <c r="ED132" s="228">
        <v>1.25</v>
      </c>
      <c r="EE132" s="229">
        <v>8.9999999999999998E-4</v>
      </c>
      <c r="EF132" s="230">
        <v>231002</v>
      </c>
      <c r="EG132" s="230">
        <v>188359</v>
      </c>
      <c r="EH132" s="229">
        <v>0.22639999999999999</v>
      </c>
      <c r="EI132" s="229">
        <v>0.61140000000000005</v>
      </c>
      <c r="EJ132" s="231">
        <v>20492.43</v>
      </c>
      <c r="EK132" s="231">
        <v>7651.65</v>
      </c>
      <c r="EL132" s="231">
        <v>5632.27</v>
      </c>
      <c r="EM132" s="228">
        <v>0</v>
      </c>
      <c r="EN132" s="231">
        <v>33776.35</v>
      </c>
      <c r="EO132" s="231">
        <v>27812.49</v>
      </c>
      <c r="EP132" s="231">
        <v>5963.86</v>
      </c>
      <c r="EQ132" s="229">
        <v>0.21440000000000001</v>
      </c>
      <c r="ER132" s="231">
        <v>22561</v>
      </c>
      <c r="ES132" s="231">
        <v>13957</v>
      </c>
      <c r="ET132" s="231">
        <v>79120</v>
      </c>
      <c r="EU132" s="231">
        <v>55985194</v>
      </c>
      <c r="EV132" s="231">
        <v>115638</v>
      </c>
      <c r="EW132" s="231">
        <v>114760</v>
      </c>
      <c r="EX132" s="228">
        <v>878</v>
      </c>
      <c r="EY132" s="229">
        <v>7.7000000000000002E-3</v>
      </c>
      <c r="EZ132" s="229">
        <v>0.14330000000000001</v>
      </c>
      <c r="FA132" s="227" t="s">
        <v>567</v>
      </c>
      <c r="FB132" s="161">
        <f t="shared" si="2"/>
        <v>135000</v>
      </c>
    </row>
    <row r="133" spans="1:158" ht="17.25" thickBot="1" x14ac:dyDescent="0.3">
      <c r="A133" s="226">
        <v>45860</v>
      </c>
      <c r="B133" s="227" t="s">
        <v>184</v>
      </c>
      <c r="C133" s="227" t="s">
        <v>249</v>
      </c>
      <c r="D133" s="228">
        <v>175</v>
      </c>
      <c r="E133" s="231">
        <v>3475.2</v>
      </c>
      <c r="F133" s="231">
        <v>3510</v>
      </c>
      <c r="G133" s="228">
        <v>-34.799999999999997</v>
      </c>
      <c r="H133" s="229">
        <v>-9.9000000000000008E-3</v>
      </c>
      <c r="I133" s="231">
        <v>3464.6</v>
      </c>
      <c r="J133" s="231">
        <v>3502.8</v>
      </c>
      <c r="K133" s="228">
        <v>-38.200000000000003</v>
      </c>
      <c r="L133" s="229">
        <v>-1.09E-2</v>
      </c>
      <c r="M133" s="231">
        <v>3475.2</v>
      </c>
      <c r="N133" s="231">
        <v>3510</v>
      </c>
      <c r="O133" s="228">
        <v>-34.799999999999997</v>
      </c>
      <c r="P133" s="229">
        <v>-9.9000000000000008E-3</v>
      </c>
      <c r="Q133" s="231">
        <v>3491.8</v>
      </c>
      <c r="R133" s="231">
        <v>3527.8</v>
      </c>
      <c r="S133" s="228">
        <v>-36</v>
      </c>
      <c r="T133" s="229">
        <v>-1.0200000000000001E-2</v>
      </c>
      <c r="U133" s="228">
        <v>0</v>
      </c>
      <c r="V133" s="228">
        <v>0</v>
      </c>
      <c r="W133" s="228">
        <v>0</v>
      </c>
      <c r="X133" s="229">
        <v>0</v>
      </c>
      <c r="Y133" s="228">
        <v>10.6</v>
      </c>
      <c r="Z133" s="228">
        <v>7.2</v>
      </c>
      <c r="AA133" s="228">
        <v>3.4</v>
      </c>
      <c r="AB133" s="229">
        <v>3.0999999999999999E-3</v>
      </c>
      <c r="AC133" s="228">
        <v>10.6</v>
      </c>
      <c r="AD133" s="228">
        <v>7.2</v>
      </c>
      <c r="AE133" s="228">
        <v>3.4</v>
      </c>
      <c r="AF133" s="229">
        <v>3.0999999999999999E-3</v>
      </c>
      <c r="AG133" s="228">
        <v>27.2</v>
      </c>
      <c r="AH133" s="228">
        <v>25</v>
      </c>
      <c r="AI133" s="228">
        <v>2.2000000000000002</v>
      </c>
      <c r="AJ133" s="229">
        <v>7.9000000000000008E-3</v>
      </c>
      <c r="AK133" s="228">
        <v>0</v>
      </c>
      <c r="AL133" s="228">
        <v>0</v>
      </c>
      <c r="AM133" s="228">
        <v>0</v>
      </c>
      <c r="AN133" s="229">
        <v>0</v>
      </c>
      <c r="AO133" s="231">
        <v>3478.37</v>
      </c>
      <c r="AP133" s="231">
        <v>3495.92</v>
      </c>
      <c r="AQ133" s="228">
        <v>0</v>
      </c>
      <c r="AR133" s="230">
        <v>1978550</v>
      </c>
      <c r="AS133" s="230">
        <v>1719200</v>
      </c>
      <c r="AT133" s="230">
        <v>259350</v>
      </c>
      <c r="AU133" s="229">
        <v>0.15090000000000001</v>
      </c>
      <c r="AV133" s="230">
        <v>1394750</v>
      </c>
      <c r="AW133" s="230">
        <v>1458100</v>
      </c>
      <c r="AX133" s="230">
        <v>-63350</v>
      </c>
      <c r="AY133" s="229">
        <v>-4.3400000000000001E-2</v>
      </c>
      <c r="AZ133" s="230">
        <v>324800</v>
      </c>
      <c r="BA133" s="230">
        <v>249025</v>
      </c>
      <c r="BB133" s="230">
        <v>75775</v>
      </c>
      <c r="BC133" s="229">
        <v>0.30430000000000001</v>
      </c>
      <c r="BD133" s="228">
        <v>0</v>
      </c>
      <c r="BE133" s="228">
        <v>0</v>
      </c>
      <c r="BF133" s="228">
        <v>0</v>
      </c>
      <c r="BG133" s="229">
        <v>0</v>
      </c>
      <c r="BH133" s="230">
        <v>5869675</v>
      </c>
      <c r="BI133" s="230">
        <v>6899375</v>
      </c>
      <c r="BJ133" s="230">
        <v>-1029700</v>
      </c>
      <c r="BK133" s="229">
        <v>-0.1492</v>
      </c>
      <c r="BL133" s="230">
        <v>1589350</v>
      </c>
      <c r="BM133" s="230">
        <v>2286550</v>
      </c>
      <c r="BN133" s="230">
        <v>-697200</v>
      </c>
      <c r="BO133" s="229">
        <v>-0.3049</v>
      </c>
      <c r="BP133" s="230">
        <v>9437575</v>
      </c>
      <c r="BQ133" s="230">
        <v>10905125</v>
      </c>
      <c r="BR133" s="230">
        <v>-1467550</v>
      </c>
      <c r="BS133" s="229">
        <v>-0.1346</v>
      </c>
      <c r="BT133" s="230">
        <v>2655031</v>
      </c>
      <c r="BU133" s="230">
        <v>1637558</v>
      </c>
      <c r="BV133" s="230">
        <v>1017473</v>
      </c>
      <c r="BW133" s="229">
        <v>0.62129999999999996</v>
      </c>
      <c r="BX133" s="230">
        <v>17688650</v>
      </c>
      <c r="BY133" s="230">
        <v>17336725</v>
      </c>
      <c r="BZ133" s="230">
        <v>351925</v>
      </c>
      <c r="CA133" s="229">
        <v>2.0299999999999999E-2</v>
      </c>
      <c r="CB133" s="230">
        <v>14950775</v>
      </c>
      <c r="CC133" s="230">
        <v>15078700</v>
      </c>
      <c r="CD133" s="230">
        <v>-127925</v>
      </c>
      <c r="CE133" s="229">
        <v>-8.5000000000000006E-3</v>
      </c>
      <c r="CF133" s="230">
        <v>2168775</v>
      </c>
      <c r="CG133" s="230">
        <v>1940225</v>
      </c>
      <c r="CH133" s="230">
        <v>228550</v>
      </c>
      <c r="CI133" s="229">
        <v>0.1178</v>
      </c>
      <c r="CJ133" s="228">
        <v>0</v>
      </c>
      <c r="CK133" s="228">
        <v>0</v>
      </c>
      <c r="CL133" s="228">
        <v>0</v>
      </c>
      <c r="CM133" s="229">
        <v>0</v>
      </c>
      <c r="CN133" s="230">
        <v>9349375</v>
      </c>
      <c r="CO133" s="230">
        <v>9212350</v>
      </c>
      <c r="CP133" s="230">
        <v>137025</v>
      </c>
      <c r="CQ133" s="229">
        <v>1.49E-2</v>
      </c>
      <c r="CR133" s="230">
        <v>3644200</v>
      </c>
      <c r="CS133" s="230">
        <v>3536225</v>
      </c>
      <c r="CT133" s="230">
        <v>107975</v>
      </c>
      <c r="CU133" s="229">
        <v>3.0499999999999999E-2</v>
      </c>
      <c r="CV133" s="230">
        <v>30682225</v>
      </c>
      <c r="CW133" s="230">
        <v>30085300</v>
      </c>
      <c r="CX133" s="230">
        <v>596925</v>
      </c>
      <c r="CY133" s="229">
        <v>1.9800000000000002E-2</v>
      </c>
      <c r="CZ133" s="228">
        <v>22.97</v>
      </c>
      <c r="DA133" s="228">
        <v>22.6</v>
      </c>
      <c r="DB133" s="228">
        <v>0.37</v>
      </c>
      <c r="DC133" s="228">
        <v>0.37</v>
      </c>
      <c r="DD133" s="228">
        <v>30.01</v>
      </c>
      <c r="DE133" s="228">
        <v>30.05</v>
      </c>
      <c r="DF133" s="228">
        <v>-7.04</v>
      </c>
      <c r="DG133" s="228">
        <v>-0.04</v>
      </c>
      <c r="DH133" s="228">
        <v>23.36</v>
      </c>
      <c r="DI133" s="228">
        <v>22.71</v>
      </c>
      <c r="DJ133" s="228">
        <v>0.65</v>
      </c>
      <c r="DK133" s="228">
        <v>0.65</v>
      </c>
      <c r="DL133" s="228">
        <v>21.51</v>
      </c>
      <c r="DM133" s="228">
        <v>22.26</v>
      </c>
      <c r="DN133" s="228">
        <v>-0.75</v>
      </c>
      <c r="DO133" s="228">
        <v>-0.75</v>
      </c>
      <c r="DP133" s="228">
        <v>0.39</v>
      </c>
      <c r="DQ133" s="228">
        <v>0.38</v>
      </c>
      <c r="DR133" s="228">
        <v>0.01</v>
      </c>
      <c r="DS133" s="229">
        <v>2.63E-2</v>
      </c>
      <c r="DT133" s="231">
        <v>3700</v>
      </c>
      <c r="DU133" s="231">
        <v>3500</v>
      </c>
      <c r="DV133" s="228">
        <v>0.27</v>
      </c>
      <c r="DW133" s="228">
        <v>0.33</v>
      </c>
      <c r="DX133" s="228">
        <v>-0.06</v>
      </c>
      <c r="DY133" s="229">
        <v>-0.18179999999999999</v>
      </c>
      <c r="DZ133" s="229">
        <v>0.1226</v>
      </c>
      <c r="EA133" s="230">
        <v>1940225</v>
      </c>
      <c r="EB133" s="229">
        <v>4.7999999999999996E-3</v>
      </c>
      <c r="EC133" s="229">
        <v>0.1226</v>
      </c>
      <c r="ED133" s="228">
        <v>17.55</v>
      </c>
      <c r="EE133" s="229">
        <v>5.0000000000000001E-3</v>
      </c>
      <c r="EF133" s="230">
        <v>2219467</v>
      </c>
      <c r="EG133" s="230">
        <v>1105590</v>
      </c>
      <c r="EH133" s="229">
        <v>1.0075000000000001</v>
      </c>
      <c r="EI133" s="229">
        <v>0.83589999999999998</v>
      </c>
      <c r="EJ133" s="231">
        <v>213829.58</v>
      </c>
      <c r="EK133" s="231">
        <v>55285.5</v>
      </c>
      <c r="EL133" s="231">
        <v>68957.990000000005</v>
      </c>
      <c r="EM133" s="228">
        <v>0</v>
      </c>
      <c r="EN133" s="231">
        <v>338073.07</v>
      </c>
      <c r="EO133" s="231">
        <v>390406.49</v>
      </c>
      <c r="EP133" s="231">
        <v>-52333.42</v>
      </c>
      <c r="EQ133" s="229">
        <v>-0.13400000000000001</v>
      </c>
      <c r="ER133" s="231">
        <v>344802</v>
      </c>
      <c r="ES133" s="231">
        <v>127743</v>
      </c>
      <c r="ET133" s="231">
        <v>615283</v>
      </c>
      <c r="EU133" s="231">
        <v>271909552</v>
      </c>
      <c r="EV133" s="231">
        <v>1087828</v>
      </c>
      <c r="EW133" s="231">
        <v>1073364</v>
      </c>
      <c r="EX133" s="231">
        <v>14464</v>
      </c>
      <c r="EY133" s="229">
        <v>1.35E-2</v>
      </c>
      <c r="EZ133" s="229">
        <v>0.1128</v>
      </c>
      <c r="FA133" s="227" t="s">
        <v>567</v>
      </c>
      <c r="FB133" s="161">
        <f t="shared" si="2"/>
        <v>2737875</v>
      </c>
    </row>
    <row r="134" spans="1:158" ht="17.25" thickBot="1" x14ac:dyDescent="0.3">
      <c r="A134" s="226">
        <v>45860</v>
      </c>
      <c r="B134" s="227" t="s">
        <v>175</v>
      </c>
      <c r="C134" s="227" t="s">
        <v>565</v>
      </c>
      <c r="D134" s="228">
        <v>4462</v>
      </c>
      <c r="E134" s="228">
        <v>209.42</v>
      </c>
      <c r="F134" s="228">
        <v>211.4</v>
      </c>
      <c r="G134" s="228">
        <v>-1.98</v>
      </c>
      <c r="H134" s="229">
        <v>-9.4000000000000004E-3</v>
      </c>
      <c r="I134" s="228">
        <v>209.21</v>
      </c>
      <c r="J134" s="228">
        <v>210.58</v>
      </c>
      <c r="K134" s="228">
        <v>-1.37</v>
      </c>
      <c r="L134" s="229">
        <v>-6.4999999999999997E-3</v>
      </c>
      <c r="M134" s="228">
        <v>209.42</v>
      </c>
      <c r="N134" s="228">
        <v>211.4</v>
      </c>
      <c r="O134" s="228">
        <v>-1.98</v>
      </c>
      <c r="P134" s="229">
        <v>-9.4000000000000004E-3</v>
      </c>
      <c r="Q134" s="228">
        <v>210</v>
      </c>
      <c r="R134" s="228">
        <v>211.76</v>
      </c>
      <c r="S134" s="228">
        <v>-1.76</v>
      </c>
      <c r="T134" s="229">
        <v>-8.3000000000000001E-3</v>
      </c>
      <c r="U134" s="228">
        <v>0</v>
      </c>
      <c r="V134" s="228">
        <v>0</v>
      </c>
      <c r="W134" s="228">
        <v>0</v>
      </c>
      <c r="X134" s="229">
        <v>0</v>
      </c>
      <c r="Y134" s="228">
        <v>0.21</v>
      </c>
      <c r="Z134" s="228">
        <v>0.82</v>
      </c>
      <c r="AA134" s="228">
        <v>-0.61</v>
      </c>
      <c r="AB134" s="229">
        <v>1E-3</v>
      </c>
      <c r="AC134" s="228">
        <v>0.21</v>
      </c>
      <c r="AD134" s="228">
        <v>0.82</v>
      </c>
      <c r="AE134" s="228">
        <v>-0.61</v>
      </c>
      <c r="AF134" s="229">
        <v>1E-3</v>
      </c>
      <c r="AG134" s="228">
        <v>0.79</v>
      </c>
      <c r="AH134" s="228">
        <v>1.18</v>
      </c>
      <c r="AI134" s="228">
        <v>-0.39</v>
      </c>
      <c r="AJ134" s="229">
        <v>3.8E-3</v>
      </c>
      <c r="AK134" s="228">
        <v>0</v>
      </c>
      <c r="AL134" s="228">
        <v>0</v>
      </c>
      <c r="AM134" s="228">
        <v>0</v>
      </c>
      <c r="AN134" s="229">
        <v>0</v>
      </c>
      <c r="AO134" s="228">
        <v>207.89</v>
      </c>
      <c r="AP134" s="228">
        <v>208.33</v>
      </c>
      <c r="AQ134" s="228">
        <v>0</v>
      </c>
      <c r="AR134" s="230">
        <v>31327702</v>
      </c>
      <c r="AS134" s="230">
        <v>77960064</v>
      </c>
      <c r="AT134" s="230">
        <v>-46632362</v>
      </c>
      <c r="AU134" s="229">
        <v>-0.59819999999999995</v>
      </c>
      <c r="AV134" s="230">
        <v>24657012</v>
      </c>
      <c r="AW134" s="230">
        <v>60402094</v>
      </c>
      <c r="AX134" s="230">
        <v>-35745082</v>
      </c>
      <c r="AY134" s="229">
        <v>-0.59179999999999999</v>
      </c>
      <c r="AZ134" s="230">
        <v>6318192</v>
      </c>
      <c r="BA134" s="230">
        <v>16973448</v>
      </c>
      <c r="BB134" s="230">
        <v>-10655256</v>
      </c>
      <c r="BC134" s="229">
        <v>-0.62780000000000002</v>
      </c>
      <c r="BD134" s="228">
        <v>0</v>
      </c>
      <c r="BE134" s="228">
        <v>0</v>
      </c>
      <c r="BF134" s="228">
        <v>0</v>
      </c>
      <c r="BG134" s="229">
        <v>0</v>
      </c>
      <c r="BH134" s="230">
        <v>77821742</v>
      </c>
      <c r="BI134" s="230">
        <v>192254194</v>
      </c>
      <c r="BJ134" s="230">
        <v>-114432452</v>
      </c>
      <c r="BK134" s="229">
        <v>-0.59519999999999995</v>
      </c>
      <c r="BL134" s="230">
        <v>40568504</v>
      </c>
      <c r="BM134" s="230">
        <v>110403266</v>
      </c>
      <c r="BN134" s="230">
        <v>-69834762</v>
      </c>
      <c r="BO134" s="229">
        <v>-0.63249999999999995</v>
      </c>
      <c r="BP134" s="230">
        <v>149717948</v>
      </c>
      <c r="BQ134" s="230">
        <v>380617524</v>
      </c>
      <c r="BR134" s="230">
        <v>-230899576</v>
      </c>
      <c r="BS134" s="229">
        <v>-0.60660000000000003</v>
      </c>
      <c r="BT134" s="230">
        <v>10999381</v>
      </c>
      <c r="BU134" s="230">
        <v>29862420</v>
      </c>
      <c r="BV134" s="230">
        <v>-18863039</v>
      </c>
      <c r="BW134" s="229">
        <v>-0.63170000000000004</v>
      </c>
      <c r="BX134" s="230">
        <v>64997954</v>
      </c>
      <c r="BY134" s="230">
        <v>61847782</v>
      </c>
      <c r="BZ134" s="230">
        <v>3150172</v>
      </c>
      <c r="CA134" s="229">
        <v>5.0900000000000001E-2</v>
      </c>
      <c r="CB134" s="230">
        <v>51812744</v>
      </c>
      <c r="CC134" s="230">
        <v>51366544</v>
      </c>
      <c r="CD134" s="230">
        <v>446200</v>
      </c>
      <c r="CE134" s="229">
        <v>8.6999999999999994E-3</v>
      </c>
      <c r="CF134" s="230">
        <v>12315120</v>
      </c>
      <c r="CG134" s="230">
        <v>9709312</v>
      </c>
      <c r="CH134" s="230">
        <v>2605808</v>
      </c>
      <c r="CI134" s="229">
        <v>0.26840000000000003</v>
      </c>
      <c r="CJ134" s="228">
        <v>0</v>
      </c>
      <c r="CK134" s="228">
        <v>0</v>
      </c>
      <c r="CL134" s="228">
        <v>0</v>
      </c>
      <c r="CM134" s="229">
        <v>0</v>
      </c>
      <c r="CN134" s="230">
        <v>39698414</v>
      </c>
      <c r="CO134" s="230">
        <v>40836224</v>
      </c>
      <c r="CP134" s="230">
        <v>-1137810</v>
      </c>
      <c r="CQ134" s="229">
        <v>-2.7900000000000001E-2</v>
      </c>
      <c r="CR134" s="230">
        <v>27316364</v>
      </c>
      <c r="CS134" s="230">
        <v>32594910</v>
      </c>
      <c r="CT134" s="230">
        <v>-5278546</v>
      </c>
      <c r="CU134" s="229">
        <v>-0.16189999999999999</v>
      </c>
      <c r="CV134" s="230">
        <v>132012732</v>
      </c>
      <c r="CW134" s="230">
        <v>135278916</v>
      </c>
      <c r="CX134" s="230">
        <v>-3266184</v>
      </c>
      <c r="CY134" s="229">
        <v>-2.41E-2</v>
      </c>
      <c r="CZ134" s="228">
        <v>30.91</v>
      </c>
      <c r="DA134" s="228">
        <v>33.9</v>
      </c>
      <c r="DB134" s="228">
        <v>-2.99</v>
      </c>
      <c r="DC134" s="228">
        <v>-2.99</v>
      </c>
      <c r="DD134" s="228">
        <v>40.39</v>
      </c>
      <c r="DE134" s="228">
        <v>40.47</v>
      </c>
      <c r="DF134" s="228">
        <v>-9.48</v>
      </c>
      <c r="DG134" s="228">
        <v>-0.08</v>
      </c>
      <c r="DH134" s="228">
        <v>30.09</v>
      </c>
      <c r="DI134" s="228">
        <v>32.11</v>
      </c>
      <c r="DJ134" s="228">
        <v>-2.02</v>
      </c>
      <c r="DK134" s="228">
        <v>-2.02</v>
      </c>
      <c r="DL134" s="228">
        <v>32.47</v>
      </c>
      <c r="DM134" s="228">
        <v>37.020000000000003</v>
      </c>
      <c r="DN134" s="228">
        <v>-4.55</v>
      </c>
      <c r="DO134" s="228">
        <v>-4.55</v>
      </c>
      <c r="DP134" s="228">
        <v>0.69</v>
      </c>
      <c r="DQ134" s="228">
        <v>0.8</v>
      </c>
      <c r="DR134" s="228">
        <v>-0.11</v>
      </c>
      <c r="DS134" s="229">
        <v>-0.13750000000000001</v>
      </c>
      <c r="DT134" s="228">
        <v>210</v>
      </c>
      <c r="DU134" s="228">
        <v>200</v>
      </c>
      <c r="DV134" s="228">
        <v>0.52</v>
      </c>
      <c r="DW134" s="228">
        <v>0.56999999999999995</v>
      </c>
      <c r="DX134" s="228">
        <v>-0.05</v>
      </c>
      <c r="DY134" s="229">
        <v>-8.77E-2</v>
      </c>
      <c r="DZ134" s="229">
        <v>0.1895</v>
      </c>
      <c r="EA134" s="230">
        <v>9709312</v>
      </c>
      <c r="EB134" s="229">
        <v>2.8E-3</v>
      </c>
      <c r="EC134" s="229">
        <v>0.1895</v>
      </c>
      <c r="ED134" s="228">
        <v>0.44</v>
      </c>
      <c r="EE134" s="229">
        <v>2.0999999999999999E-3</v>
      </c>
      <c r="EF134" s="230">
        <v>3935097</v>
      </c>
      <c r="EG134" s="230">
        <v>12250208</v>
      </c>
      <c r="EH134" s="229">
        <v>-0.67879999999999996</v>
      </c>
      <c r="EI134" s="229">
        <v>0.35780000000000001</v>
      </c>
      <c r="EJ134" s="231">
        <v>168547.76</v>
      </c>
      <c r="EK134" s="231">
        <v>82908.27</v>
      </c>
      <c r="EL134" s="231">
        <v>65155.64</v>
      </c>
      <c r="EM134" s="228">
        <v>0</v>
      </c>
      <c r="EN134" s="231">
        <v>316611.67</v>
      </c>
      <c r="EO134" s="231">
        <v>806226.8</v>
      </c>
      <c r="EP134" s="231">
        <v>-489615.13</v>
      </c>
      <c r="EQ134" s="229">
        <v>-0.60729999999999995</v>
      </c>
      <c r="ER134" s="231">
        <v>84763</v>
      </c>
      <c r="ES134" s="231">
        <v>53519</v>
      </c>
      <c r="ET134" s="231">
        <v>136197</v>
      </c>
      <c r="EU134" s="231">
        <v>168467595</v>
      </c>
      <c r="EV134" s="231">
        <v>274479</v>
      </c>
      <c r="EW134" s="231">
        <v>282104</v>
      </c>
      <c r="EX134" s="231">
        <v>-7625</v>
      </c>
      <c r="EY134" s="229">
        <v>-2.7E-2</v>
      </c>
      <c r="EZ134" s="229">
        <v>0.78359999999999996</v>
      </c>
      <c r="FA134" s="227" t="s">
        <v>567</v>
      </c>
      <c r="FB134" s="161">
        <f t="shared" si="2"/>
        <v>13185210</v>
      </c>
    </row>
    <row r="135" spans="1:158" ht="17.25" thickBot="1" x14ac:dyDescent="0.3">
      <c r="A135" s="226">
        <v>45860</v>
      </c>
      <c r="B135" s="227" t="s">
        <v>221</v>
      </c>
      <c r="C135" s="227" t="s">
        <v>561</v>
      </c>
      <c r="D135" s="228">
        <v>150</v>
      </c>
      <c r="E135" s="231">
        <v>5179</v>
      </c>
      <c r="F135" s="231">
        <v>5149.5</v>
      </c>
      <c r="G135" s="228">
        <v>29.5</v>
      </c>
      <c r="H135" s="229">
        <v>5.7000000000000002E-3</v>
      </c>
      <c r="I135" s="231">
        <v>5175.5</v>
      </c>
      <c r="J135" s="231">
        <v>5154</v>
      </c>
      <c r="K135" s="228">
        <v>21.5</v>
      </c>
      <c r="L135" s="229">
        <v>4.1999999999999997E-3</v>
      </c>
      <c r="M135" s="231">
        <v>5179</v>
      </c>
      <c r="N135" s="231">
        <v>5149.5</v>
      </c>
      <c r="O135" s="228">
        <v>29.5</v>
      </c>
      <c r="P135" s="229">
        <v>5.7000000000000002E-3</v>
      </c>
      <c r="Q135" s="231">
        <v>5173</v>
      </c>
      <c r="R135" s="231">
        <v>5151</v>
      </c>
      <c r="S135" s="228">
        <v>22</v>
      </c>
      <c r="T135" s="229">
        <v>4.3E-3</v>
      </c>
      <c r="U135" s="228">
        <v>0</v>
      </c>
      <c r="V135" s="228">
        <v>0</v>
      </c>
      <c r="W135" s="228">
        <v>0</v>
      </c>
      <c r="X135" s="229">
        <v>0</v>
      </c>
      <c r="Y135" s="228">
        <v>3.5</v>
      </c>
      <c r="Z135" s="228">
        <v>-4.5</v>
      </c>
      <c r="AA135" s="228">
        <v>8</v>
      </c>
      <c r="AB135" s="229">
        <v>6.9999999999999999E-4</v>
      </c>
      <c r="AC135" s="228">
        <v>3.5</v>
      </c>
      <c r="AD135" s="228">
        <v>-4.5</v>
      </c>
      <c r="AE135" s="228">
        <v>8</v>
      </c>
      <c r="AF135" s="229">
        <v>6.9999999999999999E-4</v>
      </c>
      <c r="AG135" s="228">
        <v>-2.5</v>
      </c>
      <c r="AH135" s="228">
        <v>-3</v>
      </c>
      <c r="AI135" s="228">
        <v>0.5</v>
      </c>
      <c r="AJ135" s="229">
        <v>-5.0000000000000001E-4</v>
      </c>
      <c r="AK135" s="228">
        <v>0</v>
      </c>
      <c r="AL135" s="228">
        <v>0</v>
      </c>
      <c r="AM135" s="228">
        <v>0</v>
      </c>
      <c r="AN135" s="229">
        <v>0</v>
      </c>
      <c r="AO135" s="231">
        <v>5175.57</v>
      </c>
      <c r="AP135" s="231">
        <v>5169.24</v>
      </c>
      <c r="AQ135" s="228">
        <v>0</v>
      </c>
      <c r="AR135" s="230">
        <v>548100</v>
      </c>
      <c r="AS135" s="230">
        <v>608100</v>
      </c>
      <c r="AT135" s="230">
        <v>-60000</v>
      </c>
      <c r="AU135" s="229">
        <v>-9.8699999999999996E-2</v>
      </c>
      <c r="AV135" s="230">
        <v>434550</v>
      </c>
      <c r="AW135" s="230">
        <v>518100</v>
      </c>
      <c r="AX135" s="230">
        <v>-83550</v>
      </c>
      <c r="AY135" s="229">
        <v>-0.1613</v>
      </c>
      <c r="AZ135" s="230">
        <v>111300</v>
      </c>
      <c r="BA135" s="230">
        <v>87600</v>
      </c>
      <c r="BB135" s="230">
        <v>23700</v>
      </c>
      <c r="BC135" s="229">
        <v>0.27050000000000002</v>
      </c>
      <c r="BD135" s="228">
        <v>0</v>
      </c>
      <c r="BE135" s="228">
        <v>0</v>
      </c>
      <c r="BF135" s="228">
        <v>0</v>
      </c>
      <c r="BG135" s="229">
        <v>0</v>
      </c>
      <c r="BH135" s="230">
        <v>1181250</v>
      </c>
      <c r="BI135" s="230">
        <v>1640700</v>
      </c>
      <c r="BJ135" s="230">
        <v>-459450</v>
      </c>
      <c r="BK135" s="229">
        <v>-0.28000000000000003</v>
      </c>
      <c r="BL135" s="230">
        <v>615300</v>
      </c>
      <c r="BM135" s="230">
        <v>752400</v>
      </c>
      <c r="BN135" s="230">
        <v>-137100</v>
      </c>
      <c r="BO135" s="229">
        <v>-0.1822</v>
      </c>
      <c r="BP135" s="230">
        <v>2344650</v>
      </c>
      <c r="BQ135" s="230">
        <v>3001200</v>
      </c>
      <c r="BR135" s="230">
        <v>-656550</v>
      </c>
      <c r="BS135" s="229">
        <v>-0.21879999999999999</v>
      </c>
      <c r="BT135" s="230">
        <v>183244</v>
      </c>
      <c r="BU135" s="230">
        <v>190174</v>
      </c>
      <c r="BV135" s="230">
        <v>-6930</v>
      </c>
      <c r="BW135" s="229">
        <v>-3.6400000000000002E-2</v>
      </c>
      <c r="BX135" s="230">
        <v>2833800</v>
      </c>
      <c r="BY135" s="230">
        <v>2913750</v>
      </c>
      <c r="BZ135" s="230">
        <v>-79950</v>
      </c>
      <c r="CA135" s="229">
        <v>-2.7400000000000001E-2</v>
      </c>
      <c r="CB135" s="230">
        <v>2530650</v>
      </c>
      <c r="CC135" s="230">
        <v>2628900</v>
      </c>
      <c r="CD135" s="230">
        <v>-98250</v>
      </c>
      <c r="CE135" s="229">
        <v>-3.7400000000000003E-2</v>
      </c>
      <c r="CF135" s="230">
        <v>281550</v>
      </c>
      <c r="CG135" s="230">
        <v>263700</v>
      </c>
      <c r="CH135" s="230">
        <v>17850</v>
      </c>
      <c r="CI135" s="229">
        <v>6.7699999999999996E-2</v>
      </c>
      <c r="CJ135" s="228">
        <v>0</v>
      </c>
      <c r="CK135" s="228">
        <v>0</v>
      </c>
      <c r="CL135" s="228">
        <v>0</v>
      </c>
      <c r="CM135" s="229">
        <v>0</v>
      </c>
      <c r="CN135" s="230">
        <v>1208850</v>
      </c>
      <c r="CO135" s="230">
        <v>1389600</v>
      </c>
      <c r="CP135" s="230">
        <v>-180750</v>
      </c>
      <c r="CQ135" s="229">
        <v>-0.13009999999999999</v>
      </c>
      <c r="CR135" s="230">
        <v>743100</v>
      </c>
      <c r="CS135" s="230">
        <v>829350</v>
      </c>
      <c r="CT135" s="230">
        <v>-86250</v>
      </c>
      <c r="CU135" s="229">
        <v>-0.104</v>
      </c>
      <c r="CV135" s="230">
        <v>4785750</v>
      </c>
      <c r="CW135" s="230">
        <v>5132700</v>
      </c>
      <c r="CX135" s="230">
        <v>-346950</v>
      </c>
      <c r="CY135" s="229">
        <v>-6.7599999999999993E-2</v>
      </c>
      <c r="CZ135" s="228">
        <v>25.97</v>
      </c>
      <c r="DA135" s="228">
        <v>27.83</v>
      </c>
      <c r="DB135" s="228">
        <v>-1.86</v>
      </c>
      <c r="DC135" s="228">
        <v>-1.86</v>
      </c>
      <c r="DD135" s="228">
        <v>35.24</v>
      </c>
      <c r="DE135" s="228">
        <v>35.32</v>
      </c>
      <c r="DF135" s="228">
        <v>-9.27</v>
      </c>
      <c r="DG135" s="228">
        <v>-0.08</v>
      </c>
      <c r="DH135" s="228">
        <v>25.97</v>
      </c>
      <c r="DI135" s="228">
        <v>27.95</v>
      </c>
      <c r="DJ135" s="228">
        <v>-1.98</v>
      </c>
      <c r="DK135" s="228">
        <v>-1.98</v>
      </c>
      <c r="DL135" s="228">
        <v>25.97</v>
      </c>
      <c r="DM135" s="228">
        <v>27.56</v>
      </c>
      <c r="DN135" s="228">
        <v>-1.59</v>
      </c>
      <c r="DO135" s="228">
        <v>-1.59</v>
      </c>
      <c r="DP135" s="228">
        <v>0.61</v>
      </c>
      <c r="DQ135" s="228">
        <v>0.6</v>
      </c>
      <c r="DR135" s="228">
        <v>0.01</v>
      </c>
      <c r="DS135" s="229">
        <v>1.67E-2</v>
      </c>
      <c r="DT135" s="231">
        <v>5200</v>
      </c>
      <c r="DU135" s="231">
        <v>5000</v>
      </c>
      <c r="DV135" s="228">
        <v>0.52</v>
      </c>
      <c r="DW135" s="228">
        <v>0.46</v>
      </c>
      <c r="DX135" s="228">
        <v>0.06</v>
      </c>
      <c r="DY135" s="229">
        <v>0.13039999999999999</v>
      </c>
      <c r="DZ135" s="229">
        <v>9.9400000000000002E-2</v>
      </c>
      <c r="EA135" s="230">
        <v>263700</v>
      </c>
      <c r="EB135" s="229">
        <v>-1.1999999999999999E-3</v>
      </c>
      <c r="EC135" s="229">
        <v>9.9400000000000002E-2</v>
      </c>
      <c r="ED135" s="228">
        <v>-6.33</v>
      </c>
      <c r="EE135" s="229">
        <v>-1.1999999999999999E-3</v>
      </c>
      <c r="EF135" s="230">
        <v>93816</v>
      </c>
      <c r="EG135" s="230">
        <v>84608</v>
      </c>
      <c r="EH135" s="229">
        <v>0.10879999999999999</v>
      </c>
      <c r="EI135" s="229">
        <v>0.51200000000000001</v>
      </c>
      <c r="EJ135" s="231">
        <v>63454.91</v>
      </c>
      <c r="EK135" s="231">
        <v>30989.62</v>
      </c>
      <c r="EL135" s="231">
        <v>28360.49</v>
      </c>
      <c r="EM135" s="228">
        <v>0</v>
      </c>
      <c r="EN135" s="231">
        <v>122805.02</v>
      </c>
      <c r="EO135" s="231">
        <v>157375.92000000001</v>
      </c>
      <c r="EP135" s="231">
        <v>-34570.9</v>
      </c>
      <c r="EQ135" s="229">
        <v>-0.21970000000000001</v>
      </c>
      <c r="ER135" s="231">
        <v>67049</v>
      </c>
      <c r="ES135" s="231">
        <v>37104</v>
      </c>
      <c r="ET135" s="231">
        <v>146745</v>
      </c>
      <c r="EU135" s="231">
        <v>18620728</v>
      </c>
      <c r="EV135" s="231">
        <v>250898</v>
      </c>
      <c r="EW135" s="231">
        <v>268053</v>
      </c>
      <c r="EX135" s="231">
        <v>-17155</v>
      </c>
      <c r="EY135" s="229">
        <v>-6.4000000000000001E-2</v>
      </c>
      <c r="EZ135" s="229">
        <v>0.25700000000000001</v>
      </c>
      <c r="FA135" s="227" t="s">
        <v>556</v>
      </c>
      <c r="FB135" s="161">
        <f t="shared" si="2"/>
        <v>303150</v>
      </c>
    </row>
    <row r="136" spans="1:158" ht="17.25" thickBot="1" x14ac:dyDescent="0.3">
      <c r="A136" s="226">
        <v>45860</v>
      </c>
      <c r="B136" s="227" t="s">
        <v>170</v>
      </c>
      <c r="C136" s="227" t="s">
        <v>250</v>
      </c>
      <c r="D136" s="228">
        <v>425</v>
      </c>
      <c r="E136" s="231">
        <v>1895.6</v>
      </c>
      <c r="F136" s="231">
        <v>1915.3</v>
      </c>
      <c r="G136" s="228">
        <v>-19.7</v>
      </c>
      <c r="H136" s="229">
        <v>-1.03E-2</v>
      </c>
      <c r="I136" s="231">
        <v>1903.2</v>
      </c>
      <c r="J136" s="231">
        <v>1921</v>
      </c>
      <c r="K136" s="228">
        <v>-17.8</v>
      </c>
      <c r="L136" s="229">
        <v>-9.2999999999999992E-3</v>
      </c>
      <c r="M136" s="231">
        <v>1895.6</v>
      </c>
      <c r="N136" s="231">
        <v>1915.3</v>
      </c>
      <c r="O136" s="228">
        <v>-19.7</v>
      </c>
      <c r="P136" s="229">
        <v>-1.03E-2</v>
      </c>
      <c r="Q136" s="231">
        <v>1905</v>
      </c>
      <c r="R136" s="231">
        <v>1924.4</v>
      </c>
      <c r="S136" s="228">
        <v>-19.399999999999999</v>
      </c>
      <c r="T136" s="229">
        <v>-1.01E-2</v>
      </c>
      <c r="U136" s="228">
        <v>0</v>
      </c>
      <c r="V136" s="228">
        <v>0</v>
      </c>
      <c r="W136" s="228">
        <v>0</v>
      </c>
      <c r="X136" s="229">
        <v>0</v>
      </c>
      <c r="Y136" s="228">
        <v>-7.6</v>
      </c>
      <c r="Z136" s="228">
        <v>-5.7</v>
      </c>
      <c r="AA136" s="228">
        <v>-1.9</v>
      </c>
      <c r="AB136" s="229">
        <v>-4.0000000000000001E-3</v>
      </c>
      <c r="AC136" s="228">
        <v>-7.6</v>
      </c>
      <c r="AD136" s="228">
        <v>-5.7</v>
      </c>
      <c r="AE136" s="228">
        <v>-1.9</v>
      </c>
      <c r="AF136" s="229">
        <v>-4.0000000000000001E-3</v>
      </c>
      <c r="AG136" s="228">
        <v>1.8</v>
      </c>
      <c r="AH136" s="228">
        <v>3.4</v>
      </c>
      <c r="AI136" s="228">
        <v>-1.6</v>
      </c>
      <c r="AJ136" s="229">
        <v>8.9999999999999998E-4</v>
      </c>
      <c r="AK136" s="228">
        <v>0</v>
      </c>
      <c r="AL136" s="228">
        <v>0</v>
      </c>
      <c r="AM136" s="228">
        <v>0</v>
      </c>
      <c r="AN136" s="229">
        <v>0</v>
      </c>
      <c r="AO136" s="231">
        <v>1890.57</v>
      </c>
      <c r="AP136" s="231">
        <v>1899.25</v>
      </c>
      <c r="AQ136" s="228">
        <v>0</v>
      </c>
      <c r="AR136" s="230">
        <v>2151775</v>
      </c>
      <c r="AS136" s="230">
        <v>813875</v>
      </c>
      <c r="AT136" s="230">
        <v>1337900</v>
      </c>
      <c r="AU136" s="229">
        <v>1.6438999999999999</v>
      </c>
      <c r="AV136" s="230">
        <v>1613300</v>
      </c>
      <c r="AW136" s="230">
        <v>681275</v>
      </c>
      <c r="AX136" s="230">
        <v>932025</v>
      </c>
      <c r="AY136" s="229">
        <v>1.3681000000000001</v>
      </c>
      <c r="AZ136" s="230">
        <v>517225</v>
      </c>
      <c r="BA136" s="230">
        <v>132600</v>
      </c>
      <c r="BB136" s="230">
        <v>384625</v>
      </c>
      <c r="BC136" s="229">
        <v>2.9005999999999998</v>
      </c>
      <c r="BD136" s="228">
        <v>0</v>
      </c>
      <c r="BE136" s="228">
        <v>0</v>
      </c>
      <c r="BF136" s="228">
        <v>0</v>
      </c>
      <c r="BG136" s="229">
        <v>0</v>
      </c>
      <c r="BH136" s="230">
        <v>6021400</v>
      </c>
      <c r="BI136" s="230">
        <v>1645175</v>
      </c>
      <c r="BJ136" s="230">
        <v>4376225</v>
      </c>
      <c r="BK136" s="229">
        <v>2.66</v>
      </c>
      <c r="BL136" s="230">
        <v>3627800</v>
      </c>
      <c r="BM136" s="230">
        <v>556325</v>
      </c>
      <c r="BN136" s="230">
        <v>3071475</v>
      </c>
      <c r="BO136" s="229">
        <v>5.5209999999999999</v>
      </c>
      <c r="BP136" s="230">
        <v>11800975</v>
      </c>
      <c r="BQ136" s="230">
        <v>3015375</v>
      </c>
      <c r="BR136" s="230">
        <v>8785600</v>
      </c>
      <c r="BS136" s="229">
        <v>2.9136000000000002</v>
      </c>
      <c r="BT136" s="230">
        <v>2250804</v>
      </c>
      <c r="BU136" s="230">
        <v>514404</v>
      </c>
      <c r="BV136" s="230">
        <v>1736400</v>
      </c>
      <c r="BW136" s="229">
        <v>3.3755999999999999</v>
      </c>
      <c r="BX136" s="230">
        <v>12145225</v>
      </c>
      <c r="BY136" s="230">
        <v>11988400</v>
      </c>
      <c r="BZ136" s="230">
        <v>156825</v>
      </c>
      <c r="CA136" s="229">
        <v>1.3100000000000001E-2</v>
      </c>
      <c r="CB136" s="230">
        <v>11251450</v>
      </c>
      <c r="CC136" s="230">
        <v>11274825</v>
      </c>
      <c r="CD136" s="230">
        <v>-23375</v>
      </c>
      <c r="CE136" s="229">
        <v>-2.0999999999999999E-3</v>
      </c>
      <c r="CF136" s="230">
        <v>849150</v>
      </c>
      <c r="CG136" s="230">
        <v>671075</v>
      </c>
      <c r="CH136" s="230">
        <v>178075</v>
      </c>
      <c r="CI136" s="229">
        <v>0.26540000000000002</v>
      </c>
      <c r="CJ136" s="228">
        <v>0</v>
      </c>
      <c r="CK136" s="228">
        <v>0</v>
      </c>
      <c r="CL136" s="228">
        <v>0</v>
      </c>
      <c r="CM136" s="229">
        <v>0</v>
      </c>
      <c r="CN136" s="230">
        <v>3983525</v>
      </c>
      <c r="CO136" s="230">
        <v>3860700</v>
      </c>
      <c r="CP136" s="230">
        <v>122825</v>
      </c>
      <c r="CQ136" s="229">
        <v>3.1800000000000002E-2</v>
      </c>
      <c r="CR136" s="230">
        <v>2561475</v>
      </c>
      <c r="CS136" s="230">
        <v>2379150</v>
      </c>
      <c r="CT136" s="230">
        <v>182325</v>
      </c>
      <c r="CU136" s="229">
        <v>7.6600000000000001E-2</v>
      </c>
      <c r="CV136" s="230">
        <v>18690225</v>
      </c>
      <c r="CW136" s="230">
        <v>18228250</v>
      </c>
      <c r="CX136" s="230">
        <v>461975</v>
      </c>
      <c r="CY136" s="229">
        <v>2.53E-2</v>
      </c>
      <c r="CZ136" s="228">
        <v>25.53</v>
      </c>
      <c r="DA136" s="228">
        <v>25.81</v>
      </c>
      <c r="DB136" s="228">
        <v>-0.28000000000000003</v>
      </c>
      <c r="DC136" s="228">
        <v>-0.28000000000000003</v>
      </c>
      <c r="DD136" s="228">
        <v>33.49</v>
      </c>
      <c r="DE136" s="228">
        <v>33.549999999999997</v>
      </c>
      <c r="DF136" s="228">
        <v>-7.96</v>
      </c>
      <c r="DG136" s="228">
        <v>-0.06</v>
      </c>
      <c r="DH136" s="228">
        <v>25.75</v>
      </c>
      <c r="DI136" s="228">
        <v>25.88</v>
      </c>
      <c r="DJ136" s="228">
        <v>-0.13</v>
      </c>
      <c r="DK136" s="228">
        <v>-0.13</v>
      </c>
      <c r="DL136" s="228">
        <v>25.15</v>
      </c>
      <c r="DM136" s="228">
        <v>25.59</v>
      </c>
      <c r="DN136" s="228">
        <v>-0.44</v>
      </c>
      <c r="DO136" s="228">
        <v>-0.44</v>
      </c>
      <c r="DP136" s="228">
        <v>0.64</v>
      </c>
      <c r="DQ136" s="228">
        <v>0.62</v>
      </c>
      <c r="DR136" s="228">
        <v>0.02</v>
      </c>
      <c r="DS136" s="229">
        <v>3.2300000000000002E-2</v>
      </c>
      <c r="DT136" s="231">
        <v>2000</v>
      </c>
      <c r="DU136" s="231">
        <v>1900</v>
      </c>
      <c r="DV136" s="228">
        <v>0.6</v>
      </c>
      <c r="DW136" s="228">
        <v>0.34</v>
      </c>
      <c r="DX136" s="228">
        <v>0.26</v>
      </c>
      <c r="DY136" s="229">
        <v>0.76470000000000005</v>
      </c>
      <c r="DZ136" s="229">
        <v>6.9900000000000004E-2</v>
      </c>
      <c r="EA136" s="230">
        <v>671075</v>
      </c>
      <c r="EB136" s="229">
        <v>5.0000000000000001E-3</v>
      </c>
      <c r="EC136" s="229">
        <v>6.9900000000000004E-2</v>
      </c>
      <c r="ED136" s="228">
        <v>8.68</v>
      </c>
      <c r="EE136" s="229">
        <v>4.5999999999999999E-3</v>
      </c>
      <c r="EF136" s="230">
        <v>1640583</v>
      </c>
      <c r="EG136" s="230">
        <v>354164</v>
      </c>
      <c r="EH136" s="229">
        <v>3.6322999999999999</v>
      </c>
      <c r="EI136" s="229">
        <v>0.72889999999999999</v>
      </c>
      <c r="EJ136" s="231">
        <v>119221.32</v>
      </c>
      <c r="EK136" s="231">
        <v>68680.27</v>
      </c>
      <c r="EL136" s="231">
        <v>40729.18</v>
      </c>
      <c r="EM136" s="228">
        <v>0</v>
      </c>
      <c r="EN136" s="231">
        <v>228630.77</v>
      </c>
      <c r="EO136" s="231">
        <v>59123.63</v>
      </c>
      <c r="EP136" s="231">
        <v>169507.14</v>
      </c>
      <c r="EQ136" s="229">
        <v>2.867</v>
      </c>
      <c r="ER136" s="231">
        <v>80851</v>
      </c>
      <c r="ES136" s="231">
        <v>47711</v>
      </c>
      <c r="ET136" s="231">
        <v>230314</v>
      </c>
      <c r="EU136" s="231">
        <v>48471506</v>
      </c>
      <c r="EV136" s="231">
        <v>358875</v>
      </c>
      <c r="EW136" s="231">
        <v>352641</v>
      </c>
      <c r="EX136" s="231">
        <v>6234</v>
      </c>
      <c r="EY136" s="229">
        <v>1.77E-2</v>
      </c>
      <c r="EZ136" s="229">
        <v>0.3856</v>
      </c>
      <c r="FA136" s="227" t="s">
        <v>567</v>
      </c>
      <c r="FB136" s="161">
        <f t="shared" si="2"/>
        <v>893775</v>
      </c>
    </row>
    <row r="137" spans="1:158" ht="17.25" thickBot="1" x14ac:dyDescent="0.3">
      <c r="A137" s="226">
        <v>45860</v>
      </c>
      <c r="B137" s="227" t="s">
        <v>162</v>
      </c>
      <c r="C137" s="227" t="s">
        <v>251</v>
      </c>
      <c r="D137" s="228">
        <v>200</v>
      </c>
      <c r="E137" s="231">
        <v>3261.9</v>
      </c>
      <c r="F137" s="231">
        <v>3251.1</v>
      </c>
      <c r="G137" s="228">
        <v>10.8</v>
      </c>
      <c r="H137" s="229">
        <v>3.3E-3</v>
      </c>
      <c r="I137" s="231">
        <v>3257.2</v>
      </c>
      <c r="J137" s="231">
        <v>3246.7</v>
      </c>
      <c r="K137" s="228">
        <v>10.5</v>
      </c>
      <c r="L137" s="229">
        <v>3.2000000000000002E-3</v>
      </c>
      <c r="M137" s="231">
        <v>3261.9</v>
      </c>
      <c r="N137" s="231">
        <v>3251.1</v>
      </c>
      <c r="O137" s="228">
        <v>10.8</v>
      </c>
      <c r="P137" s="229">
        <v>3.3E-3</v>
      </c>
      <c r="Q137" s="231">
        <v>3280.8</v>
      </c>
      <c r="R137" s="231">
        <v>3267</v>
      </c>
      <c r="S137" s="228">
        <v>13.8</v>
      </c>
      <c r="T137" s="229">
        <v>4.1999999999999997E-3</v>
      </c>
      <c r="U137" s="228">
        <v>0</v>
      </c>
      <c r="V137" s="228">
        <v>0</v>
      </c>
      <c r="W137" s="228">
        <v>0</v>
      </c>
      <c r="X137" s="229">
        <v>0</v>
      </c>
      <c r="Y137" s="228">
        <v>4.7</v>
      </c>
      <c r="Z137" s="228">
        <v>4.4000000000000004</v>
      </c>
      <c r="AA137" s="228">
        <v>0.3</v>
      </c>
      <c r="AB137" s="229">
        <v>1.4E-3</v>
      </c>
      <c r="AC137" s="228">
        <v>4.7</v>
      </c>
      <c r="AD137" s="228">
        <v>4.4000000000000004</v>
      </c>
      <c r="AE137" s="228">
        <v>0.3</v>
      </c>
      <c r="AF137" s="229">
        <v>1.4E-3</v>
      </c>
      <c r="AG137" s="228">
        <v>23.6</v>
      </c>
      <c r="AH137" s="228">
        <v>20.3</v>
      </c>
      <c r="AI137" s="228">
        <v>3.3</v>
      </c>
      <c r="AJ137" s="229">
        <v>7.1999999999999998E-3</v>
      </c>
      <c r="AK137" s="228">
        <v>0</v>
      </c>
      <c r="AL137" s="228">
        <v>0</v>
      </c>
      <c r="AM137" s="228">
        <v>0</v>
      </c>
      <c r="AN137" s="229">
        <v>0</v>
      </c>
      <c r="AO137" s="231">
        <v>3250.92</v>
      </c>
      <c r="AP137" s="231">
        <v>3269.14</v>
      </c>
      <c r="AQ137" s="228">
        <v>0</v>
      </c>
      <c r="AR137" s="230">
        <v>3185000</v>
      </c>
      <c r="AS137" s="230">
        <v>3460400</v>
      </c>
      <c r="AT137" s="230">
        <v>-275400</v>
      </c>
      <c r="AU137" s="229">
        <v>-7.9600000000000004E-2</v>
      </c>
      <c r="AV137" s="230">
        <v>2641200</v>
      </c>
      <c r="AW137" s="230">
        <v>3078400</v>
      </c>
      <c r="AX137" s="230">
        <v>-437200</v>
      </c>
      <c r="AY137" s="229">
        <v>-0.14199999999999999</v>
      </c>
      <c r="AZ137" s="230">
        <v>372000</v>
      </c>
      <c r="BA137" s="230">
        <v>347800</v>
      </c>
      <c r="BB137" s="230">
        <v>24200</v>
      </c>
      <c r="BC137" s="229">
        <v>6.9599999999999995E-2</v>
      </c>
      <c r="BD137" s="228">
        <v>0</v>
      </c>
      <c r="BE137" s="228">
        <v>0</v>
      </c>
      <c r="BF137" s="228">
        <v>0</v>
      </c>
      <c r="BG137" s="229">
        <v>0</v>
      </c>
      <c r="BH137" s="230">
        <v>14459400</v>
      </c>
      <c r="BI137" s="230">
        <v>13232200</v>
      </c>
      <c r="BJ137" s="230">
        <v>1227200</v>
      </c>
      <c r="BK137" s="229">
        <v>9.2700000000000005E-2</v>
      </c>
      <c r="BL137" s="230">
        <v>6193400</v>
      </c>
      <c r="BM137" s="230">
        <v>6409200</v>
      </c>
      <c r="BN137" s="230">
        <v>-215800</v>
      </c>
      <c r="BO137" s="229">
        <v>-3.3700000000000001E-2</v>
      </c>
      <c r="BP137" s="230">
        <v>23837800</v>
      </c>
      <c r="BQ137" s="230">
        <v>23101800</v>
      </c>
      <c r="BR137" s="230">
        <v>736000</v>
      </c>
      <c r="BS137" s="229">
        <v>3.1899999999999998E-2</v>
      </c>
      <c r="BT137" s="230">
        <v>2216627</v>
      </c>
      <c r="BU137" s="230">
        <v>2512628</v>
      </c>
      <c r="BV137" s="230">
        <v>-296001</v>
      </c>
      <c r="BW137" s="229">
        <v>-0.1178</v>
      </c>
      <c r="BX137" s="230">
        <v>23689400</v>
      </c>
      <c r="BY137" s="230">
        <v>23551200</v>
      </c>
      <c r="BZ137" s="230">
        <v>138200</v>
      </c>
      <c r="CA137" s="229">
        <v>5.8999999999999999E-3</v>
      </c>
      <c r="CB137" s="230">
        <v>21491000</v>
      </c>
      <c r="CC137" s="230">
        <v>21562000</v>
      </c>
      <c r="CD137" s="230">
        <v>-71000</v>
      </c>
      <c r="CE137" s="229">
        <v>-3.3E-3</v>
      </c>
      <c r="CF137" s="230">
        <v>1416400</v>
      </c>
      <c r="CG137" s="230">
        <v>1355400</v>
      </c>
      <c r="CH137" s="230">
        <v>61000</v>
      </c>
      <c r="CI137" s="229">
        <v>4.4999999999999998E-2</v>
      </c>
      <c r="CJ137" s="228">
        <v>0</v>
      </c>
      <c r="CK137" s="228">
        <v>0</v>
      </c>
      <c r="CL137" s="228">
        <v>0</v>
      </c>
      <c r="CM137" s="229">
        <v>0</v>
      </c>
      <c r="CN137" s="230">
        <v>5962400</v>
      </c>
      <c r="CO137" s="230">
        <v>6065800</v>
      </c>
      <c r="CP137" s="230">
        <v>-103400</v>
      </c>
      <c r="CQ137" s="229">
        <v>-1.7000000000000001E-2</v>
      </c>
      <c r="CR137" s="230">
        <v>3586000</v>
      </c>
      <c r="CS137" s="230">
        <v>3632200</v>
      </c>
      <c r="CT137" s="230">
        <v>-46200</v>
      </c>
      <c r="CU137" s="229">
        <v>-1.2699999999999999E-2</v>
      </c>
      <c r="CV137" s="230">
        <v>33237800</v>
      </c>
      <c r="CW137" s="230">
        <v>33249200</v>
      </c>
      <c r="CX137" s="230">
        <v>-11400</v>
      </c>
      <c r="CY137" s="229">
        <v>-2.9999999999999997E-4</v>
      </c>
      <c r="CZ137" s="228">
        <v>28.62</v>
      </c>
      <c r="DA137" s="228">
        <v>28.6</v>
      </c>
      <c r="DB137" s="228">
        <v>0.02</v>
      </c>
      <c r="DC137" s="228">
        <v>0.02</v>
      </c>
      <c r="DD137" s="228">
        <v>34.93</v>
      </c>
      <c r="DE137" s="228">
        <v>35.020000000000003</v>
      </c>
      <c r="DF137" s="228">
        <v>-6.31</v>
      </c>
      <c r="DG137" s="228">
        <v>-0.09</v>
      </c>
      <c r="DH137" s="228">
        <v>27.88</v>
      </c>
      <c r="DI137" s="228">
        <v>27.48</v>
      </c>
      <c r="DJ137" s="228">
        <v>0.4</v>
      </c>
      <c r="DK137" s="228">
        <v>0.4</v>
      </c>
      <c r="DL137" s="228">
        <v>30.37</v>
      </c>
      <c r="DM137" s="228">
        <v>30.89</v>
      </c>
      <c r="DN137" s="228">
        <v>-0.52</v>
      </c>
      <c r="DO137" s="228">
        <v>-0.52</v>
      </c>
      <c r="DP137" s="228">
        <v>0.6</v>
      </c>
      <c r="DQ137" s="228">
        <v>0.6</v>
      </c>
      <c r="DR137" s="228">
        <v>0</v>
      </c>
      <c r="DS137" s="229">
        <v>0</v>
      </c>
      <c r="DT137" s="231">
        <v>3300</v>
      </c>
      <c r="DU137" s="231">
        <v>3200</v>
      </c>
      <c r="DV137" s="228">
        <v>0.43</v>
      </c>
      <c r="DW137" s="228">
        <v>0.48</v>
      </c>
      <c r="DX137" s="228">
        <v>-0.05</v>
      </c>
      <c r="DY137" s="229">
        <v>-0.1042</v>
      </c>
      <c r="DZ137" s="229">
        <v>5.9799999999999999E-2</v>
      </c>
      <c r="EA137" s="230">
        <v>1355400</v>
      </c>
      <c r="EB137" s="229">
        <v>5.7999999999999996E-3</v>
      </c>
      <c r="EC137" s="229">
        <v>5.9799999999999999E-2</v>
      </c>
      <c r="ED137" s="228">
        <v>18.22</v>
      </c>
      <c r="EE137" s="229">
        <v>5.5999999999999999E-3</v>
      </c>
      <c r="EF137" s="230">
        <v>1276177</v>
      </c>
      <c r="EG137" s="230">
        <v>1426788</v>
      </c>
      <c r="EH137" s="229">
        <v>-0.1056</v>
      </c>
      <c r="EI137" s="229">
        <v>0.57569999999999999</v>
      </c>
      <c r="EJ137" s="231">
        <v>489403.27</v>
      </c>
      <c r="EK137" s="231">
        <v>197115.77</v>
      </c>
      <c r="EL137" s="231">
        <v>103637.88</v>
      </c>
      <c r="EM137" s="228">
        <v>0</v>
      </c>
      <c r="EN137" s="231">
        <v>790156.92</v>
      </c>
      <c r="EO137" s="231">
        <v>756903.48</v>
      </c>
      <c r="EP137" s="231">
        <v>33253.440000000002</v>
      </c>
      <c r="EQ137" s="229">
        <v>4.3900000000000002E-2</v>
      </c>
      <c r="ER137" s="231">
        <v>199623</v>
      </c>
      <c r="ES137" s="231">
        <v>109104</v>
      </c>
      <c r="ET137" s="231">
        <v>773280</v>
      </c>
      <c r="EU137" s="231">
        <v>190580808</v>
      </c>
      <c r="EV137" s="231">
        <v>1082007</v>
      </c>
      <c r="EW137" s="231">
        <v>1079334</v>
      </c>
      <c r="EX137" s="231">
        <v>2673</v>
      </c>
      <c r="EY137" s="229">
        <v>2.5000000000000001E-3</v>
      </c>
      <c r="EZ137" s="229">
        <v>0.1744</v>
      </c>
      <c r="FA137" s="227" t="s">
        <v>555</v>
      </c>
      <c r="FB137" s="161">
        <f t="shared" si="2"/>
        <v>2198400</v>
      </c>
    </row>
    <row r="138" spans="1:158" ht="17.25" thickBot="1" x14ac:dyDescent="0.3">
      <c r="A138" s="226">
        <v>45860</v>
      </c>
      <c r="B138" s="227" t="s">
        <v>175</v>
      </c>
      <c r="C138" s="227" t="s">
        <v>252</v>
      </c>
      <c r="D138" s="228">
        <v>2056</v>
      </c>
      <c r="E138" s="228">
        <v>265.7</v>
      </c>
      <c r="F138" s="228">
        <v>263.2</v>
      </c>
      <c r="G138" s="228">
        <v>2.5</v>
      </c>
      <c r="H138" s="229">
        <v>9.4999999999999998E-3</v>
      </c>
      <c r="I138" s="228">
        <v>265.55</v>
      </c>
      <c r="J138" s="228">
        <v>262.85000000000002</v>
      </c>
      <c r="K138" s="228">
        <v>2.7</v>
      </c>
      <c r="L138" s="229">
        <v>1.03E-2</v>
      </c>
      <c r="M138" s="228">
        <v>265.7</v>
      </c>
      <c r="N138" s="228">
        <v>263.2</v>
      </c>
      <c r="O138" s="228">
        <v>2.5</v>
      </c>
      <c r="P138" s="229">
        <v>9.4999999999999998E-3</v>
      </c>
      <c r="Q138" s="228">
        <v>0</v>
      </c>
      <c r="R138" s="228">
        <v>0</v>
      </c>
      <c r="S138" s="228">
        <v>0</v>
      </c>
      <c r="T138" s="229">
        <v>0</v>
      </c>
      <c r="U138" s="228">
        <v>0</v>
      </c>
      <c r="V138" s="228">
        <v>0</v>
      </c>
      <c r="W138" s="228">
        <v>0</v>
      </c>
      <c r="X138" s="229">
        <v>0</v>
      </c>
      <c r="Y138" s="228">
        <v>0.15</v>
      </c>
      <c r="Z138" s="228">
        <v>0.35</v>
      </c>
      <c r="AA138" s="228">
        <v>-0.2</v>
      </c>
      <c r="AB138" s="229">
        <v>5.9999999999999995E-4</v>
      </c>
      <c r="AC138" s="228">
        <v>0.15</v>
      </c>
      <c r="AD138" s="228">
        <v>0.35</v>
      </c>
      <c r="AE138" s="228">
        <v>-0.2</v>
      </c>
      <c r="AF138" s="229">
        <v>5.9999999999999995E-4</v>
      </c>
      <c r="AG138" s="228">
        <v>0</v>
      </c>
      <c r="AH138" s="228">
        <v>0</v>
      </c>
      <c r="AI138" s="228">
        <v>0</v>
      </c>
      <c r="AJ138" s="229">
        <v>0</v>
      </c>
      <c r="AK138" s="228">
        <v>0</v>
      </c>
      <c r="AL138" s="228">
        <v>0</v>
      </c>
      <c r="AM138" s="228">
        <v>0</v>
      </c>
      <c r="AN138" s="229">
        <v>0</v>
      </c>
      <c r="AO138" s="228">
        <v>264.77999999999997</v>
      </c>
      <c r="AP138" s="228">
        <v>0</v>
      </c>
      <c r="AQ138" s="228">
        <v>0</v>
      </c>
      <c r="AR138" s="230">
        <v>14626384</v>
      </c>
      <c r="AS138" s="230">
        <v>3178576</v>
      </c>
      <c r="AT138" s="230">
        <v>11447808</v>
      </c>
      <c r="AU138" s="229">
        <v>3.6015999999999999</v>
      </c>
      <c r="AV138" s="230">
        <v>14626384</v>
      </c>
      <c r="AW138" s="230">
        <v>3178576</v>
      </c>
      <c r="AX138" s="230">
        <v>11447808</v>
      </c>
      <c r="AY138" s="229">
        <v>3.6015999999999999</v>
      </c>
      <c r="AZ138" s="228">
        <v>0</v>
      </c>
      <c r="BA138" s="228">
        <v>0</v>
      </c>
      <c r="BB138" s="228">
        <v>0</v>
      </c>
      <c r="BC138" s="229">
        <v>0</v>
      </c>
      <c r="BD138" s="228">
        <v>0</v>
      </c>
      <c r="BE138" s="228">
        <v>0</v>
      </c>
      <c r="BF138" s="228">
        <v>0</v>
      </c>
      <c r="BG138" s="229">
        <v>0</v>
      </c>
      <c r="BH138" s="230">
        <v>29643408</v>
      </c>
      <c r="BI138" s="230">
        <v>4611608</v>
      </c>
      <c r="BJ138" s="230">
        <v>25031800</v>
      </c>
      <c r="BK138" s="229">
        <v>5.4279999999999999</v>
      </c>
      <c r="BL138" s="230">
        <v>11869288</v>
      </c>
      <c r="BM138" s="230">
        <v>2208144</v>
      </c>
      <c r="BN138" s="230">
        <v>9661144</v>
      </c>
      <c r="BO138" s="229">
        <v>4.3752000000000004</v>
      </c>
      <c r="BP138" s="230">
        <v>56139080</v>
      </c>
      <c r="BQ138" s="230">
        <v>9998328</v>
      </c>
      <c r="BR138" s="230">
        <v>46140752</v>
      </c>
      <c r="BS138" s="229">
        <v>4.6147999999999998</v>
      </c>
      <c r="BT138" s="230">
        <v>6534649</v>
      </c>
      <c r="BU138" s="230">
        <v>1099561</v>
      </c>
      <c r="BV138" s="230">
        <v>5435088</v>
      </c>
      <c r="BW138" s="229">
        <v>4.9429999999999996</v>
      </c>
      <c r="BX138" s="230">
        <v>21390624</v>
      </c>
      <c r="BY138" s="230">
        <v>21892288</v>
      </c>
      <c r="BZ138" s="230">
        <v>-501664</v>
      </c>
      <c r="CA138" s="229">
        <v>-2.29E-2</v>
      </c>
      <c r="CB138" s="230">
        <v>21390624</v>
      </c>
      <c r="CC138" s="230">
        <v>21892288</v>
      </c>
      <c r="CD138" s="230">
        <v>-501664</v>
      </c>
      <c r="CE138" s="229">
        <v>-2.29E-2</v>
      </c>
      <c r="CF138" s="228">
        <v>0</v>
      </c>
      <c r="CG138" s="228">
        <v>0</v>
      </c>
      <c r="CH138" s="228">
        <v>0</v>
      </c>
      <c r="CI138" s="229">
        <v>0</v>
      </c>
      <c r="CJ138" s="228">
        <v>0</v>
      </c>
      <c r="CK138" s="228">
        <v>0</v>
      </c>
      <c r="CL138" s="228">
        <v>0</v>
      </c>
      <c r="CM138" s="229">
        <v>0</v>
      </c>
      <c r="CN138" s="230">
        <v>11893960</v>
      </c>
      <c r="CO138" s="230">
        <v>9050512</v>
      </c>
      <c r="CP138" s="230">
        <v>2843448</v>
      </c>
      <c r="CQ138" s="229">
        <v>0.31419999999999998</v>
      </c>
      <c r="CR138" s="230">
        <v>6558640</v>
      </c>
      <c r="CS138" s="230">
        <v>6038472</v>
      </c>
      <c r="CT138" s="230">
        <v>520168</v>
      </c>
      <c r="CU138" s="229">
        <v>8.6099999999999996E-2</v>
      </c>
      <c r="CV138" s="230">
        <v>39843224</v>
      </c>
      <c r="CW138" s="230">
        <v>36981272</v>
      </c>
      <c r="CX138" s="230">
        <v>2861952</v>
      </c>
      <c r="CY138" s="229">
        <v>7.7399999999999997E-2</v>
      </c>
      <c r="CZ138" s="228">
        <v>36.11</v>
      </c>
      <c r="DA138" s="228">
        <v>37.32</v>
      </c>
      <c r="DB138" s="228">
        <v>-1.21</v>
      </c>
      <c r="DC138" s="228">
        <v>-1.21</v>
      </c>
      <c r="DD138" s="228">
        <v>36.97</v>
      </c>
      <c r="DE138" s="228">
        <v>37.04</v>
      </c>
      <c r="DF138" s="228">
        <v>-0.86</v>
      </c>
      <c r="DG138" s="228">
        <v>-7.0000000000000007E-2</v>
      </c>
      <c r="DH138" s="228">
        <v>36.17</v>
      </c>
      <c r="DI138" s="228">
        <v>37.24</v>
      </c>
      <c r="DJ138" s="228">
        <v>-1.07</v>
      </c>
      <c r="DK138" s="228">
        <v>-1.07</v>
      </c>
      <c r="DL138" s="228">
        <v>35.97</v>
      </c>
      <c r="DM138" s="228">
        <v>37.479999999999997</v>
      </c>
      <c r="DN138" s="228">
        <v>-1.51</v>
      </c>
      <c r="DO138" s="228">
        <v>-1.51</v>
      </c>
      <c r="DP138" s="228">
        <v>0.55000000000000004</v>
      </c>
      <c r="DQ138" s="228">
        <v>0.67</v>
      </c>
      <c r="DR138" s="228">
        <v>-0.12</v>
      </c>
      <c r="DS138" s="229">
        <v>-0.17910000000000001</v>
      </c>
      <c r="DT138" s="228">
        <v>273.5</v>
      </c>
      <c r="DU138" s="228">
        <v>243.5</v>
      </c>
      <c r="DV138" s="228">
        <v>0.4</v>
      </c>
      <c r="DW138" s="228">
        <v>0.48</v>
      </c>
      <c r="DX138" s="228">
        <v>-0.08</v>
      </c>
      <c r="DY138" s="229">
        <v>-0.16669999999999999</v>
      </c>
      <c r="DZ138" s="229">
        <v>0</v>
      </c>
      <c r="EA138" s="228">
        <v>0</v>
      </c>
      <c r="EB138" s="229">
        <v>0</v>
      </c>
      <c r="EC138" s="229">
        <v>0</v>
      </c>
      <c r="ED138" s="228">
        <v>0</v>
      </c>
      <c r="EE138" s="229">
        <v>0</v>
      </c>
      <c r="EF138" s="230">
        <v>2661814</v>
      </c>
      <c r="EG138" s="230">
        <v>446015</v>
      </c>
      <c r="EH138" s="229">
        <v>4.968</v>
      </c>
      <c r="EI138" s="229">
        <v>0.4073</v>
      </c>
      <c r="EJ138" s="231">
        <v>81825.62</v>
      </c>
      <c r="EK138" s="231">
        <v>30866.44</v>
      </c>
      <c r="EL138" s="231">
        <v>38727.68</v>
      </c>
      <c r="EM138" s="228">
        <v>0</v>
      </c>
      <c r="EN138" s="231">
        <v>151419.74</v>
      </c>
      <c r="EO138" s="231">
        <v>26553.79</v>
      </c>
      <c r="EP138" s="231">
        <v>124865.95</v>
      </c>
      <c r="EQ138" s="229">
        <v>4.7023999999999999</v>
      </c>
      <c r="ER138" s="231">
        <v>32855</v>
      </c>
      <c r="ES138" s="231">
        <v>16629</v>
      </c>
      <c r="ET138" s="231">
        <v>56835</v>
      </c>
      <c r="EU138" s="231">
        <v>131950203</v>
      </c>
      <c r="EV138" s="231">
        <v>106319</v>
      </c>
      <c r="EW138" s="231">
        <v>97886</v>
      </c>
      <c r="EX138" s="231">
        <v>8433</v>
      </c>
      <c r="EY138" s="229">
        <v>8.6199999999999999E-2</v>
      </c>
      <c r="EZ138" s="229">
        <v>0.30199999999999999</v>
      </c>
      <c r="FA138" s="227" t="s">
        <v>556</v>
      </c>
      <c r="FB138" s="161">
        <f t="shared" si="2"/>
        <v>0</v>
      </c>
    </row>
    <row r="139" spans="1:158" ht="17.25" thickBot="1" x14ac:dyDescent="0.3">
      <c r="A139" s="226">
        <v>45860</v>
      </c>
      <c r="B139" s="227" t="s">
        <v>175</v>
      </c>
      <c r="C139" s="227" t="s">
        <v>253</v>
      </c>
      <c r="D139" s="228">
        <v>3000</v>
      </c>
      <c r="E139" s="228">
        <v>272</v>
      </c>
      <c r="F139" s="228">
        <v>270.64999999999998</v>
      </c>
      <c r="G139" s="228">
        <v>1.35</v>
      </c>
      <c r="H139" s="229">
        <v>5.0000000000000001E-3</v>
      </c>
      <c r="I139" s="228">
        <v>272.05</v>
      </c>
      <c r="J139" s="228">
        <v>270.3</v>
      </c>
      <c r="K139" s="228">
        <v>1.75</v>
      </c>
      <c r="L139" s="229">
        <v>6.4999999999999997E-3</v>
      </c>
      <c r="M139" s="228">
        <v>272</v>
      </c>
      <c r="N139" s="228">
        <v>270.64999999999998</v>
      </c>
      <c r="O139" s="228">
        <v>1.35</v>
      </c>
      <c r="P139" s="229">
        <v>5.0000000000000001E-3</v>
      </c>
      <c r="Q139" s="228">
        <v>272.7</v>
      </c>
      <c r="R139" s="228">
        <v>271.8</v>
      </c>
      <c r="S139" s="228">
        <v>0.9</v>
      </c>
      <c r="T139" s="229">
        <v>3.3E-3</v>
      </c>
      <c r="U139" s="228">
        <v>0</v>
      </c>
      <c r="V139" s="228">
        <v>0</v>
      </c>
      <c r="W139" s="228">
        <v>0</v>
      </c>
      <c r="X139" s="229">
        <v>0</v>
      </c>
      <c r="Y139" s="228">
        <v>-0.05</v>
      </c>
      <c r="Z139" s="228">
        <v>0.35</v>
      </c>
      <c r="AA139" s="228">
        <v>-0.4</v>
      </c>
      <c r="AB139" s="229">
        <v>-2.0000000000000001E-4</v>
      </c>
      <c r="AC139" s="228">
        <v>-0.05</v>
      </c>
      <c r="AD139" s="228">
        <v>0.35</v>
      </c>
      <c r="AE139" s="228">
        <v>-0.4</v>
      </c>
      <c r="AF139" s="229">
        <v>-2.0000000000000001E-4</v>
      </c>
      <c r="AG139" s="228">
        <v>0.65</v>
      </c>
      <c r="AH139" s="228">
        <v>1.5</v>
      </c>
      <c r="AI139" s="228">
        <v>-0.85</v>
      </c>
      <c r="AJ139" s="229">
        <v>2.3999999999999998E-3</v>
      </c>
      <c r="AK139" s="228">
        <v>0</v>
      </c>
      <c r="AL139" s="228">
        <v>0</v>
      </c>
      <c r="AM139" s="228">
        <v>0</v>
      </c>
      <c r="AN139" s="229">
        <v>0</v>
      </c>
      <c r="AO139" s="228">
        <v>271.77999999999997</v>
      </c>
      <c r="AP139" s="228">
        <v>272.73</v>
      </c>
      <c r="AQ139" s="228">
        <v>0</v>
      </c>
      <c r="AR139" s="230">
        <v>3081000</v>
      </c>
      <c r="AS139" s="230">
        <v>5406000</v>
      </c>
      <c r="AT139" s="230">
        <v>-2325000</v>
      </c>
      <c r="AU139" s="229">
        <v>-0.43009999999999998</v>
      </c>
      <c r="AV139" s="230">
        <v>2772000</v>
      </c>
      <c r="AW139" s="230">
        <v>5040000</v>
      </c>
      <c r="AX139" s="230">
        <v>-2268000</v>
      </c>
      <c r="AY139" s="229">
        <v>-0.45</v>
      </c>
      <c r="AZ139" s="230">
        <v>285000</v>
      </c>
      <c r="BA139" s="230">
        <v>351000</v>
      </c>
      <c r="BB139" s="230">
        <v>-66000</v>
      </c>
      <c r="BC139" s="229">
        <v>-0.188</v>
      </c>
      <c r="BD139" s="228">
        <v>0</v>
      </c>
      <c r="BE139" s="228">
        <v>0</v>
      </c>
      <c r="BF139" s="228">
        <v>0</v>
      </c>
      <c r="BG139" s="229">
        <v>0</v>
      </c>
      <c r="BH139" s="230">
        <v>7752000</v>
      </c>
      <c r="BI139" s="230">
        <v>10467000</v>
      </c>
      <c r="BJ139" s="230">
        <v>-2715000</v>
      </c>
      <c r="BK139" s="229">
        <v>-0.25940000000000002</v>
      </c>
      <c r="BL139" s="230">
        <v>2997000</v>
      </c>
      <c r="BM139" s="230">
        <v>5487000</v>
      </c>
      <c r="BN139" s="230">
        <v>-2490000</v>
      </c>
      <c r="BO139" s="229">
        <v>-0.45379999999999998</v>
      </c>
      <c r="BP139" s="230">
        <v>13830000</v>
      </c>
      <c r="BQ139" s="230">
        <v>21360000</v>
      </c>
      <c r="BR139" s="230">
        <v>-7530000</v>
      </c>
      <c r="BS139" s="229">
        <v>-0.35249999999999998</v>
      </c>
      <c r="BT139" s="230">
        <v>2803077</v>
      </c>
      <c r="BU139" s="230">
        <v>3895675</v>
      </c>
      <c r="BV139" s="230">
        <v>-1092598</v>
      </c>
      <c r="BW139" s="229">
        <v>-0.28050000000000003</v>
      </c>
      <c r="BX139" s="230">
        <v>23538000</v>
      </c>
      <c r="BY139" s="230">
        <v>24468000</v>
      </c>
      <c r="BZ139" s="230">
        <v>-930000</v>
      </c>
      <c r="CA139" s="229">
        <v>-3.7999999999999999E-2</v>
      </c>
      <c r="CB139" s="230">
        <v>21777000</v>
      </c>
      <c r="CC139" s="230">
        <v>22788000</v>
      </c>
      <c r="CD139" s="230">
        <v>-1011000</v>
      </c>
      <c r="CE139" s="229">
        <v>-4.4400000000000002E-2</v>
      </c>
      <c r="CF139" s="230">
        <v>1608000</v>
      </c>
      <c r="CG139" s="230">
        <v>1530000</v>
      </c>
      <c r="CH139" s="230">
        <v>78000</v>
      </c>
      <c r="CI139" s="229">
        <v>5.0999999999999997E-2</v>
      </c>
      <c r="CJ139" s="228">
        <v>0</v>
      </c>
      <c r="CK139" s="228">
        <v>0</v>
      </c>
      <c r="CL139" s="228">
        <v>0</v>
      </c>
      <c r="CM139" s="229">
        <v>0</v>
      </c>
      <c r="CN139" s="230">
        <v>16050000</v>
      </c>
      <c r="CO139" s="230">
        <v>16860000</v>
      </c>
      <c r="CP139" s="230">
        <v>-810000</v>
      </c>
      <c r="CQ139" s="229">
        <v>-4.8000000000000001E-2</v>
      </c>
      <c r="CR139" s="230">
        <v>10446000</v>
      </c>
      <c r="CS139" s="230">
        <v>10659000</v>
      </c>
      <c r="CT139" s="230">
        <v>-213000</v>
      </c>
      <c r="CU139" s="229">
        <v>-0.02</v>
      </c>
      <c r="CV139" s="230">
        <v>50034000</v>
      </c>
      <c r="CW139" s="230">
        <v>51987000</v>
      </c>
      <c r="CX139" s="230">
        <v>-1953000</v>
      </c>
      <c r="CY139" s="229">
        <v>-3.7600000000000001E-2</v>
      </c>
      <c r="CZ139" s="228">
        <v>23.66</v>
      </c>
      <c r="DA139" s="228">
        <v>25.16</v>
      </c>
      <c r="DB139" s="228">
        <v>-1.5</v>
      </c>
      <c r="DC139" s="228">
        <v>-1.5</v>
      </c>
      <c r="DD139" s="228">
        <v>45.89</v>
      </c>
      <c r="DE139" s="228">
        <v>46</v>
      </c>
      <c r="DF139" s="228">
        <v>-22.23</v>
      </c>
      <c r="DG139" s="228">
        <v>-0.11</v>
      </c>
      <c r="DH139" s="228">
        <v>23.79</v>
      </c>
      <c r="DI139" s="228">
        <v>25.84</v>
      </c>
      <c r="DJ139" s="228">
        <v>-2.0499999999999998</v>
      </c>
      <c r="DK139" s="228">
        <v>-2.0499999999999998</v>
      </c>
      <c r="DL139" s="228">
        <v>23.33</v>
      </c>
      <c r="DM139" s="228">
        <v>23.86</v>
      </c>
      <c r="DN139" s="228">
        <v>-0.53</v>
      </c>
      <c r="DO139" s="228">
        <v>-0.53</v>
      </c>
      <c r="DP139" s="228">
        <v>0.65</v>
      </c>
      <c r="DQ139" s="228">
        <v>0.63</v>
      </c>
      <c r="DR139" s="228">
        <v>0.02</v>
      </c>
      <c r="DS139" s="229">
        <v>3.1699999999999999E-2</v>
      </c>
      <c r="DT139" s="228">
        <v>280</v>
      </c>
      <c r="DU139" s="228">
        <v>270</v>
      </c>
      <c r="DV139" s="228">
        <v>0.39</v>
      </c>
      <c r="DW139" s="228">
        <v>0.52</v>
      </c>
      <c r="DX139" s="228">
        <v>-0.13</v>
      </c>
      <c r="DY139" s="229">
        <v>-0.25</v>
      </c>
      <c r="DZ139" s="229">
        <v>6.83E-2</v>
      </c>
      <c r="EA139" s="230">
        <v>1530000</v>
      </c>
      <c r="EB139" s="229">
        <v>2.5999999999999999E-3</v>
      </c>
      <c r="EC139" s="229">
        <v>6.83E-2</v>
      </c>
      <c r="ED139" s="228">
        <v>0.95</v>
      </c>
      <c r="EE139" s="229">
        <v>3.5000000000000001E-3</v>
      </c>
      <c r="EF139" s="230">
        <v>1806920</v>
      </c>
      <c r="EG139" s="230">
        <v>2268412</v>
      </c>
      <c r="EH139" s="229">
        <v>-0.2034</v>
      </c>
      <c r="EI139" s="229">
        <v>0.64459999999999995</v>
      </c>
      <c r="EJ139" s="231">
        <v>21703.91</v>
      </c>
      <c r="EK139" s="231">
        <v>8129.13</v>
      </c>
      <c r="EL139" s="231">
        <v>8376.7999999999993</v>
      </c>
      <c r="EM139" s="228">
        <v>0</v>
      </c>
      <c r="EN139" s="231">
        <v>38209.839999999997</v>
      </c>
      <c r="EO139" s="231">
        <v>59033.58</v>
      </c>
      <c r="EP139" s="231">
        <v>-20823.740000000002</v>
      </c>
      <c r="EQ139" s="229">
        <v>-0.35270000000000001</v>
      </c>
      <c r="ER139" s="231">
        <v>45236</v>
      </c>
      <c r="ES139" s="231">
        <v>27424</v>
      </c>
      <c r="ET139" s="231">
        <v>64039</v>
      </c>
      <c r="EU139" s="231">
        <v>109606743</v>
      </c>
      <c r="EV139" s="231">
        <v>136698</v>
      </c>
      <c r="EW139" s="231">
        <v>141728</v>
      </c>
      <c r="EX139" s="231">
        <v>-5030</v>
      </c>
      <c r="EY139" s="229">
        <v>-3.5499999999999997E-2</v>
      </c>
      <c r="EZ139" s="229">
        <v>0.45650000000000002</v>
      </c>
      <c r="FA139" s="227" t="s">
        <v>556</v>
      </c>
      <c r="FB139" s="161">
        <f>BX139-CB139</f>
        <v>1761000</v>
      </c>
    </row>
    <row r="140" spans="1:158" ht="17.25" thickBot="1" x14ac:dyDescent="0.3">
      <c r="A140" s="226">
        <v>45860</v>
      </c>
      <c r="B140" s="227" t="s">
        <v>170</v>
      </c>
      <c r="C140" s="227" t="s">
        <v>674</v>
      </c>
      <c r="D140" s="228">
        <v>225</v>
      </c>
      <c r="E140" s="231">
        <v>2671.9</v>
      </c>
      <c r="F140" s="231">
        <v>2653.1</v>
      </c>
      <c r="G140" s="228">
        <v>18.8</v>
      </c>
      <c r="H140" s="229">
        <v>7.1000000000000004E-3</v>
      </c>
      <c r="I140" s="231">
        <v>2670.5</v>
      </c>
      <c r="J140" s="231">
        <v>2646</v>
      </c>
      <c r="K140" s="228">
        <v>24.5</v>
      </c>
      <c r="L140" s="229">
        <v>9.2999999999999992E-3</v>
      </c>
      <c r="M140" s="231">
        <v>2671.9</v>
      </c>
      <c r="N140" s="231">
        <v>2653.1</v>
      </c>
      <c r="O140" s="228">
        <v>18.8</v>
      </c>
      <c r="P140" s="229">
        <v>7.1000000000000004E-3</v>
      </c>
      <c r="Q140" s="231">
        <v>2675.4</v>
      </c>
      <c r="R140" s="231">
        <v>2661.8</v>
      </c>
      <c r="S140" s="228">
        <v>13.6</v>
      </c>
      <c r="T140" s="229">
        <v>5.1000000000000004E-3</v>
      </c>
      <c r="U140" s="228">
        <v>0</v>
      </c>
      <c r="V140" s="228">
        <v>0</v>
      </c>
      <c r="W140" s="228">
        <v>0</v>
      </c>
      <c r="X140" s="229">
        <v>0</v>
      </c>
      <c r="Y140" s="228">
        <v>1.4</v>
      </c>
      <c r="Z140" s="228">
        <v>7.1</v>
      </c>
      <c r="AA140" s="228">
        <v>-5.7</v>
      </c>
      <c r="AB140" s="229">
        <v>5.0000000000000001E-4</v>
      </c>
      <c r="AC140" s="228">
        <v>1.4</v>
      </c>
      <c r="AD140" s="228">
        <v>7.1</v>
      </c>
      <c r="AE140" s="228">
        <v>-5.7</v>
      </c>
      <c r="AF140" s="229">
        <v>5.0000000000000001E-4</v>
      </c>
      <c r="AG140" s="228">
        <v>4.9000000000000004</v>
      </c>
      <c r="AH140" s="228">
        <v>15.8</v>
      </c>
      <c r="AI140" s="228">
        <v>-10.9</v>
      </c>
      <c r="AJ140" s="229">
        <v>1.8E-3</v>
      </c>
      <c r="AK140" s="228">
        <v>0</v>
      </c>
      <c r="AL140" s="228">
        <v>0</v>
      </c>
      <c r="AM140" s="228">
        <v>0</v>
      </c>
      <c r="AN140" s="229">
        <v>0</v>
      </c>
      <c r="AO140" s="231">
        <v>2672.51</v>
      </c>
      <c r="AP140" s="231">
        <v>2678.19</v>
      </c>
      <c r="AQ140" s="228">
        <v>0</v>
      </c>
      <c r="AR140" s="230">
        <v>231300</v>
      </c>
      <c r="AS140" s="230">
        <v>274275</v>
      </c>
      <c r="AT140" s="230">
        <v>-42975</v>
      </c>
      <c r="AU140" s="229">
        <v>-0.15670000000000001</v>
      </c>
      <c r="AV140" s="230">
        <v>213300</v>
      </c>
      <c r="AW140" s="230">
        <v>257625</v>
      </c>
      <c r="AX140" s="230">
        <v>-44325</v>
      </c>
      <c r="AY140" s="229">
        <v>-0.1721</v>
      </c>
      <c r="AZ140" s="230">
        <v>17100</v>
      </c>
      <c r="BA140" s="230">
        <v>15300</v>
      </c>
      <c r="BB140" s="230">
        <v>1800</v>
      </c>
      <c r="BC140" s="229">
        <v>0.1176</v>
      </c>
      <c r="BD140" s="228">
        <v>0</v>
      </c>
      <c r="BE140" s="228">
        <v>0</v>
      </c>
      <c r="BF140" s="228">
        <v>0</v>
      </c>
      <c r="BG140" s="229">
        <v>0</v>
      </c>
      <c r="BH140" s="230">
        <v>2045475</v>
      </c>
      <c r="BI140" s="230">
        <v>1858725</v>
      </c>
      <c r="BJ140" s="230">
        <v>186750</v>
      </c>
      <c r="BK140" s="229">
        <v>0.10050000000000001</v>
      </c>
      <c r="BL140" s="230">
        <v>442350</v>
      </c>
      <c r="BM140" s="230">
        <v>517950</v>
      </c>
      <c r="BN140" s="230">
        <v>-75600</v>
      </c>
      <c r="BO140" s="229">
        <v>-0.14599999999999999</v>
      </c>
      <c r="BP140" s="230">
        <v>2719125</v>
      </c>
      <c r="BQ140" s="230">
        <v>2650950</v>
      </c>
      <c r="BR140" s="230">
        <v>68175</v>
      </c>
      <c r="BS140" s="229">
        <v>2.5700000000000001E-2</v>
      </c>
      <c r="BT140" s="230">
        <v>391264</v>
      </c>
      <c r="BU140" s="230">
        <v>414961</v>
      </c>
      <c r="BV140" s="230">
        <v>-23697</v>
      </c>
      <c r="BW140" s="229">
        <v>-5.7099999999999998E-2</v>
      </c>
      <c r="BX140" s="230">
        <v>1337400</v>
      </c>
      <c r="BY140" s="230">
        <v>1381275</v>
      </c>
      <c r="BZ140" s="230">
        <v>-43875</v>
      </c>
      <c r="CA140" s="229">
        <v>-3.1800000000000002E-2</v>
      </c>
      <c r="CB140" s="230">
        <v>1256175</v>
      </c>
      <c r="CC140" s="230">
        <v>1304100</v>
      </c>
      <c r="CD140" s="230">
        <v>-47925</v>
      </c>
      <c r="CE140" s="229">
        <v>-3.6700000000000003E-2</v>
      </c>
      <c r="CF140" s="230">
        <v>72900</v>
      </c>
      <c r="CG140" s="230">
        <v>69750</v>
      </c>
      <c r="CH140" s="230">
        <v>3150</v>
      </c>
      <c r="CI140" s="229">
        <v>4.5199999999999997E-2</v>
      </c>
      <c r="CJ140" s="228">
        <v>0</v>
      </c>
      <c r="CK140" s="228">
        <v>0</v>
      </c>
      <c r="CL140" s="228">
        <v>0</v>
      </c>
      <c r="CM140" s="229">
        <v>0</v>
      </c>
      <c r="CN140" s="230">
        <v>991800</v>
      </c>
      <c r="CO140" s="230">
        <v>1102275</v>
      </c>
      <c r="CP140" s="230">
        <v>-110475</v>
      </c>
      <c r="CQ140" s="229">
        <v>-0.1002</v>
      </c>
      <c r="CR140" s="230">
        <v>544500</v>
      </c>
      <c r="CS140" s="230">
        <v>594225</v>
      </c>
      <c r="CT140" s="230">
        <v>-49725</v>
      </c>
      <c r="CU140" s="229">
        <v>-8.3699999999999997E-2</v>
      </c>
      <c r="CV140" s="230">
        <v>2873700</v>
      </c>
      <c r="CW140" s="230">
        <v>3077775</v>
      </c>
      <c r="CX140" s="230">
        <v>-204075</v>
      </c>
      <c r="CY140" s="229">
        <v>-6.6299999999999998E-2</v>
      </c>
      <c r="CZ140" s="228">
        <v>38.31</v>
      </c>
      <c r="DA140" s="228">
        <v>35.979999999999997</v>
      </c>
      <c r="DB140" s="228">
        <v>2.33</v>
      </c>
      <c r="DC140" s="228">
        <v>2.33</v>
      </c>
      <c r="DD140" s="228">
        <v>37.32</v>
      </c>
      <c r="DE140" s="228">
        <v>37.4</v>
      </c>
      <c r="DF140" s="228">
        <v>0.99</v>
      </c>
      <c r="DG140" s="228">
        <v>-0.08</v>
      </c>
      <c r="DH140" s="228">
        <v>38.630000000000003</v>
      </c>
      <c r="DI140" s="228">
        <v>36.32</v>
      </c>
      <c r="DJ140" s="228">
        <v>2.31</v>
      </c>
      <c r="DK140" s="228">
        <v>2.31</v>
      </c>
      <c r="DL140" s="228">
        <v>36.83</v>
      </c>
      <c r="DM140" s="228">
        <v>34.75</v>
      </c>
      <c r="DN140" s="228">
        <v>2.08</v>
      </c>
      <c r="DO140" s="228">
        <v>2.08</v>
      </c>
      <c r="DP140" s="228">
        <v>0.55000000000000004</v>
      </c>
      <c r="DQ140" s="228">
        <v>0.54</v>
      </c>
      <c r="DR140" s="228">
        <v>0.01</v>
      </c>
      <c r="DS140" s="229">
        <v>1.8499999999999999E-2</v>
      </c>
      <c r="DT140" s="231">
        <v>2700</v>
      </c>
      <c r="DU140" s="231">
        <v>2500</v>
      </c>
      <c r="DV140" s="228">
        <v>0.22</v>
      </c>
      <c r="DW140" s="228">
        <v>0.28000000000000003</v>
      </c>
      <c r="DX140" s="228">
        <v>-0.06</v>
      </c>
      <c r="DY140" s="229">
        <v>-0.21429999999999999</v>
      </c>
      <c r="DZ140" s="229">
        <v>5.45E-2</v>
      </c>
      <c r="EA140" s="230">
        <v>69750</v>
      </c>
      <c r="EB140" s="229">
        <v>1.2999999999999999E-3</v>
      </c>
      <c r="EC140" s="229">
        <v>5.45E-2</v>
      </c>
      <c r="ED140" s="228">
        <v>5.68</v>
      </c>
      <c r="EE140" s="229">
        <v>2.0999999999999999E-3</v>
      </c>
      <c r="EF140" s="230">
        <v>235197</v>
      </c>
      <c r="EG140" s="230">
        <v>224755</v>
      </c>
      <c r="EH140" s="229">
        <v>4.65E-2</v>
      </c>
      <c r="EI140" s="229">
        <v>0.60109999999999997</v>
      </c>
      <c r="EJ140" s="231">
        <v>58977.8</v>
      </c>
      <c r="EK140" s="231">
        <v>11169.21</v>
      </c>
      <c r="EL140" s="231">
        <v>6182.51</v>
      </c>
      <c r="EM140" s="228">
        <v>0</v>
      </c>
      <c r="EN140" s="231">
        <v>76329.52</v>
      </c>
      <c r="EO140" s="231">
        <v>72152.100000000006</v>
      </c>
      <c r="EP140" s="231">
        <v>4177.42</v>
      </c>
      <c r="EQ140" s="229">
        <v>5.79E-2</v>
      </c>
      <c r="ER140" s="231">
        <v>26935</v>
      </c>
      <c r="ES140" s="231">
        <v>13173</v>
      </c>
      <c r="ET140" s="231">
        <v>35737</v>
      </c>
      <c r="EU140" s="231">
        <v>22523583</v>
      </c>
      <c r="EV140" s="231">
        <v>75845</v>
      </c>
      <c r="EW140" s="231">
        <v>81045</v>
      </c>
      <c r="EX140" s="231">
        <v>-5200</v>
      </c>
      <c r="EY140" s="229">
        <v>-6.4199999999999993E-2</v>
      </c>
      <c r="EZ140" s="229">
        <v>0.12759999999999999</v>
      </c>
      <c r="FA140" s="227" t="s">
        <v>556</v>
      </c>
      <c r="FB140" s="161">
        <f>BX140-CB140</f>
        <v>81225</v>
      </c>
    </row>
    <row r="141" spans="1:158" ht="17.25" thickBot="1" x14ac:dyDescent="0.3">
      <c r="A141" s="226">
        <v>45860</v>
      </c>
      <c r="B141" s="227" t="s">
        <v>168</v>
      </c>
      <c r="C141" s="227" t="s">
        <v>254</v>
      </c>
      <c r="D141" s="228">
        <v>1200</v>
      </c>
      <c r="E141" s="228">
        <v>716.9</v>
      </c>
      <c r="F141" s="228">
        <v>719</v>
      </c>
      <c r="G141" s="228">
        <v>-2.1</v>
      </c>
      <c r="H141" s="229">
        <v>-2.8999999999999998E-3</v>
      </c>
      <c r="I141" s="228">
        <v>716.35</v>
      </c>
      <c r="J141" s="228">
        <v>717.7</v>
      </c>
      <c r="K141" s="228">
        <v>-1.35</v>
      </c>
      <c r="L141" s="229">
        <v>-1.9E-3</v>
      </c>
      <c r="M141" s="228">
        <v>716.9</v>
      </c>
      <c r="N141" s="228">
        <v>719</v>
      </c>
      <c r="O141" s="228">
        <v>-2.1</v>
      </c>
      <c r="P141" s="229">
        <v>-2.8999999999999998E-3</v>
      </c>
      <c r="Q141" s="228">
        <v>714.25</v>
      </c>
      <c r="R141" s="228">
        <v>715.9</v>
      </c>
      <c r="S141" s="228">
        <v>-1.65</v>
      </c>
      <c r="T141" s="229">
        <v>-2.3E-3</v>
      </c>
      <c r="U141" s="228">
        <v>0</v>
      </c>
      <c r="V141" s="228">
        <v>0</v>
      </c>
      <c r="W141" s="228">
        <v>0</v>
      </c>
      <c r="X141" s="229">
        <v>0</v>
      </c>
      <c r="Y141" s="228">
        <v>0.55000000000000004</v>
      </c>
      <c r="Z141" s="228">
        <v>1.3</v>
      </c>
      <c r="AA141" s="228">
        <v>-0.75</v>
      </c>
      <c r="AB141" s="229">
        <v>8.0000000000000004E-4</v>
      </c>
      <c r="AC141" s="228">
        <v>0.55000000000000004</v>
      </c>
      <c r="AD141" s="228">
        <v>1.3</v>
      </c>
      <c r="AE141" s="228">
        <v>-0.75</v>
      </c>
      <c r="AF141" s="229">
        <v>8.0000000000000004E-4</v>
      </c>
      <c r="AG141" s="228">
        <v>-2.1</v>
      </c>
      <c r="AH141" s="228">
        <v>-1.8</v>
      </c>
      <c r="AI141" s="228">
        <v>-0.3</v>
      </c>
      <c r="AJ141" s="229">
        <v>-2.8999999999999998E-3</v>
      </c>
      <c r="AK141" s="228">
        <v>0</v>
      </c>
      <c r="AL141" s="228">
        <v>0</v>
      </c>
      <c r="AM141" s="228">
        <v>0</v>
      </c>
      <c r="AN141" s="229">
        <v>0</v>
      </c>
      <c r="AO141" s="228">
        <v>719.6</v>
      </c>
      <c r="AP141" s="228">
        <v>716.55</v>
      </c>
      <c r="AQ141" s="228">
        <v>0</v>
      </c>
      <c r="AR141" s="230">
        <v>1706400</v>
      </c>
      <c r="AS141" s="230">
        <v>2230800</v>
      </c>
      <c r="AT141" s="230">
        <v>-524400</v>
      </c>
      <c r="AU141" s="229">
        <v>-0.2351</v>
      </c>
      <c r="AV141" s="230">
        <v>1580400</v>
      </c>
      <c r="AW141" s="230">
        <v>1982400</v>
      </c>
      <c r="AX141" s="230">
        <v>-402000</v>
      </c>
      <c r="AY141" s="229">
        <v>-0.20280000000000001</v>
      </c>
      <c r="AZ141" s="230">
        <v>123600</v>
      </c>
      <c r="BA141" s="230">
        <v>237600</v>
      </c>
      <c r="BB141" s="230">
        <v>-114000</v>
      </c>
      <c r="BC141" s="229">
        <v>-0.4798</v>
      </c>
      <c r="BD141" s="228">
        <v>0</v>
      </c>
      <c r="BE141" s="228">
        <v>0</v>
      </c>
      <c r="BF141" s="228">
        <v>0</v>
      </c>
      <c r="BG141" s="229">
        <v>0</v>
      </c>
      <c r="BH141" s="230">
        <v>4120800</v>
      </c>
      <c r="BI141" s="230">
        <v>5854800</v>
      </c>
      <c r="BJ141" s="230">
        <v>-1734000</v>
      </c>
      <c r="BK141" s="229">
        <v>-0.29620000000000002</v>
      </c>
      <c r="BL141" s="230">
        <v>1773600</v>
      </c>
      <c r="BM141" s="230">
        <v>2404800</v>
      </c>
      <c r="BN141" s="230">
        <v>-631200</v>
      </c>
      <c r="BO141" s="229">
        <v>-0.26250000000000001</v>
      </c>
      <c r="BP141" s="230">
        <v>7600800</v>
      </c>
      <c r="BQ141" s="230">
        <v>10490400</v>
      </c>
      <c r="BR141" s="230">
        <v>-2889600</v>
      </c>
      <c r="BS141" s="229">
        <v>-0.27550000000000002</v>
      </c>
      <c r="BT141" s="230">
        <v>1743159</v>
      </c>
      <c r="BU141" s="230">
        <v>2470325</v>
      </c>
      <c r="BV141" s="230">
        <v>-727166</v>
      </c>
      <c r="BW141" s="229">
        <v>-0.2944</v>
      </c>
      <c r="BX141" s="230">
        <v>20026800</v>
      </c>
      <c r="BY141" s="230">
        <v>20329200</v>
      </c>
      <c r="BZ141" s="230">
        <v>-302400</v>
      </c>
      <c r="CA141" s="229">
        <v>-1.49E-2</v>
      </c>
      <c r="CB141" s="230">
        <v>19153200</v>
      </c>
      <c r="CC141" s="230">
        <v>19492800</v>
      </c>
      <c r="CD141" s="230">
        <v>-339600</v>
      </c>
      <c r="CE141" s="229">
        <v>-1.7399999999999999E-2</v>
      </c>
      <c r="CF141" s="230">
        <v>828000</v>
      </c>
      <c r="CG141" s="230">
        <v>790800</v>
      </c>
      <c r="CH141" s="230">
        <v>37200</v>
      </c>
      <c r="CI141" s="229">
        <v>4.7E-2</v>
      </c>
      <c r="CJ141" s="228">
        <v>0</v>
      </c>
      <c r="CK141" s="228">
        <v>0</v>
      </c>
      <c r="CL141" s="228">
        <v>0</v>
      </c>
      <c r="CM141" s="229">
        <v>0</v>
      </c>
      <c r="CN141" s="230">
        <v>7623600</v>
      </c>
      <c r="CO141" s="230">
        <v>7712400</v>
      </c>
      <c r="CP141" s="230">
        <v>-88800</v>
      </c>
      <c r="CQ141" s="229">
        <v>-1.15E-2</v>
      </c>
      <c r="CR141" s="230">
        <v>4180800</v>
      </c>
      <c r="CS141" s="230">
        <v>4231200</v>
      </c>
      <c r="CT141" s="230">
        <v>-50400</v>
      </c>
      <c r="CU141" s="229">
        <v>-1.1900000000000001E-2</v>
      </c>
      <c r="CV141" s="230">
        <v>31831200</v>
      </c>
      <c r="CW141" s="230">
        <v>32272800</v>
      </c>
      <c r="CX141" s="230">
        <v>-441600</v>
      </c>
      <c r="CY141" s="229">
        <v>-1.37E-2</v>
      </c>
      <c r="CZ141" s="228">
        <v>21.82</v>
      </c>
      <c r="DA141" s="228">
        <v>21.26</v>
      </c>
      <c r="DB141" s="228">
        <v>0.56000000000000005</v>
      </c>
      <c r="DC141" s="228">
        <v>0.56000000000000005</v>
      </c>
      <c r="DD141" s="228">
        <v>27.57</v>
      </c>
      <c r="DE141" s="228">
        <v>27.64</v>
      </c>
      <c r="DF141" s="228">
        <v>-5.75</v>
      </c>
      <c r="DG141" s="228">
        <v>-7.0000000000000007E-2</v>
      </c>
      <c r="DH141" s="228">
        <v>22.61</v>
      </c>
      <c r="DI141" s="228">
        <v>21.87</v>
      </c>
      <c r="DJ141" s="228">
        <v>0.74</v>
      </c>
      <c r="DK141" s="228">
        <v>0.74</v>
      </c>
      <c r="DL141" s="228">
        <v>19.98</v>
      </c>
      <c r="DM141" s="228">
        <v>19.79</v>
      </c>
      <c r="DN141" s="228">
        <v>0.19</v>
      </c>
      <c r="DO141" s="228">
        <v>0.19</v>
      </c>
      <c r="DP141" s="228">
        <v>0.55000000000000004</v>
      </c>
      <c r="DQ141" s="228">
        <v>0.55000000000000004</v>
      </c>
      <c r="DR141" s="228">
        <v>0</v>
      </c>
      <c r="DS141" s="229">
        <v>0</v>
      </c>
      <c r="DT141" s="228">
        <v>740</v>
      </c>
      <c r="DU141" s="228">
        <v>700</v>
      </c>
      <c r="DV141" s="228">
        <v>0.43</v>
      </c>
      <c r="DW141" s="228">
        <v>0.41</v>
      </c>
      <c r="DX141" s="228">
        <v>0.02</v>
      </c>
      <c r="DY141" s="229">
        <v>4.8800000000000003E-2</v>
      </c>
      <c r="DZ141" s="229">
        <v>4.1300000000000003E-2</v>
      </c>
      <c r="EA141" s="230">
        <v>790800</v>
      </c>
      <c r="EB141" s="229">
        <v>-3.7000000000000002E-3</v>
      </c>
      <c r="EC141" s="229">
        <v>4.1300000000000003E-2</v>
      </c>
      <c r="ED141" s="228">
        <v>-3.05</v>
      </c>
      <c r="EE141" s="229">
        <v>-4.1999999999999997E-3</v>
      </c>
      <c r="EF141" s="230">
        <v>1181297</v>
      </c>
      <c r="EG141" s="230">
        <v>1572317</v>
      </c>
      <c r="EH141" s="229">
        <v>-0.2487</v>
      </c>
      <c r="EI141" s="229">
        <v>0.67769999999999997</v>
      </c>
      <c r="EJ141" s="231">
        <v>30721.87</v>
      </c>
      <c r="EK141" s="231">
        <v>12705.47</v>
      </c>
      <c r="EL141" s="231">
        <v>12275.39</v>
      </c>
      <c r="EM141" s="228">
        <v>0</v>
      </c>
      <c r="EN141" s="231">
        <v>55702.73</v>
      </c>
      <c r="EO141" s="231">
        <v>77044.259999999995</v>
      </c>
      <c r="EP141" s="231">
        <v>-21341.53</v>
      </c>
      <c r="EQ141" s="229">
        <v>-0.27700000000000002</v>
      </c>
      <c r="ER141" s="231">
        <v>57775</v>
      </c>
      <c r="ES141" s="231">
        <v>28941</v>
      </c>
      <c r="ET141" s="231">
        <v>143550</v>
      </c>
      <c r="EU141" s="231">
        <v>105777701</v>
      </c>
      <c r="EV141" s="231">
        <v>230267</v>
      </c>
      <c r="EW141" s="231">
        <v>233955</v>
      </c>
      <c r="EX141" s="231">
        <v>-3688</v>
      </c>
      <c r="EY141" s="229">
        <v>-1.5800000000000002E-2</v>
      </c>
      <c r="EZ141" s="229">
        <v>0.3009</v>
      </c>
      <c r="FA141" s="227" t="s">
        <v>568</v>
      </c>
      <c r="FB141" s="161">
        <f>BX231-CB231</f>
        <v>1571400</v>
      </c>
    </row>
    <row r="142" spans="1:158" ht="17.25" thickBot="1" x14ac:dyDescent="0.3">
      <c r="A142" s="226">
        <v>45860</v>
      </c>
      <c r="B142" s="227" t="s">
        <v>162</v>
      </c>
      <c r="C142" s="227" t="s">
        <v>255</v>
      </c>
      <c r="D142" s="228">
        <v>50</v>
      </c>
      <c r="E142" s="231">
        <v>12514</v>
      </c>
      <c r="F142" s="231">
        <v>12436</v>
      </c>
      <c r="G142" s="228">
        <v>78</v>
      </c>
      <c r="H142" s="229">
        <v>6.3E-3</v>
      </c>
      <c r="I142" s="231">
        <v>12492</v>
      </c>
      <c r="J142" s="231">
        <v>12405</v>
      </c>
      <c r="K142" s="228">
        <v>87</v>
      </c>
      <c r="L142" s="229">
        <v>7.0000000000000001E-3</v>
      </c>
      <c r="M142" s="231">
        <v>12514</v>
      </c>
      <c r="N142" s="231">
        <v>12436</v>
      </c>
      <c r="O142" s="228">
        <v>78</v>
      </c>
      <c r="P142" s="229">
        <v>6.3E-3</v>
      </c>
      <c r="Q142" s="231">
        <v>12436</v>
      </c>
      <c r="R142" s="231">
        <v>12353</v>
      </c>
      <c r="S142" s="228">
        <v>83</v>
      </c>
      <c r="T142" s="229">
        <v>6.7000000000000002E-3</v>
      </c>
      <c r="U142" s="228">
        <v>0</v>
      </c>
      <c r="V142" s="228">
        <v>0</v>
      </c>
      <c r="W142" s="228">
        <v>0</v>
      </c>
      <c r="X142" s="229">
        <v>0</v>
      </c>
      <c r="Y142" s="228">
        <v>22</v>
      </c>
      <c r="Z142" s="228">
        <v>31</v>
      </c>
      <c r="AA142" s="228">
        <v>-9</v>
      </c>
      <c r="AB142" s="229">
        <v>1.8E-3</v>
      </c>
      <c r="AC142" s="228">
        <v>22</v>
      </c>
      <c r="AD142" s="228">
        <v>31</v>
      </c>
      <c r="AE142" s="228">
        <v>-9</v>
      </c>
      <c r="AF142" s="229">
        <v>1.8E-3</v>
      </c>
      <c r="AG142" s="228">
        <v>-56</v>
      </c>
      <c r="AH142" s="228">
        <v>-52</v>
      </c>
      <c r="AI142" s="228">
        <v>-4</v>
      </c>
      <c r="AJ142" s="229">
        <v>-4.4999999999999997E-3</v>
      </c>
      <c r="AK142" s="228">
        <v>0</v>
      </c>
      <c r="AL142" s="228">
        <v>0</v>
      </c>
      <c r="AM142" s="228">
        <v>0</v>
      </c>
      <c r="AN142" s="229">
        <v>0</v>
      </c>
      <c r="AO142" s="231">
        <v>12473.43</v>
      </c>
      <c r="AP142" s="231">
        <v>12386.94</v>
      </c>
      <c r="AQ142" s="228">
        <v>0</v>
      </c>
      <c r="AR142" s="230">
        <v>271050</v>
      </c>
      <c r="AS142" s="230">
        <v>298050</v>
      </c>
      <c r="AT142" s="230">
        <v>-27000</v>
      </c>
      <c r="AU142" s="229">
        <v>-9.06E-2</v>
      </c>
      <c r="AV142" s="230">
        <v>229250</v>
      </c>
      <c r="AW142" s="230">
        <v>243850</v>
      </c>
      <c r="AX142" s="230">
        <v>-14600</v>
      </c>
      <c r="AY142" s="229">
        <v>-5.9900000000000002E-2</v>
      </c>
      <c r="AZ142" s="230">
        <v>39350</v>
      </c>
      <c r="BA142" s="230">
        <v>48850</v>
      </c>
      <c r="BB142" s="230">
        <v>-9500</v>
      </c>
      <c r="BC142" s="229">
        <v>-0.19450000000000001</v>
      </c>
      <c r="BD142" s="228">
        <v>0</v>
      </c>
      <c r="BE142" s="228">
        <v>0</v>
      </c>
      <c r="BF142" s="228">
        <v>0</v>
      </c>
      <c r="BG142" s="229">
        <v>0</v>
      </c>
      <c r="BH142" s="230">
        <v>2671900</v>
      </c>
      <c r="BI142" s="230">
        <v>2429600</v>
      </c>
      <c r="BJ142" s="230">
        <v>242300</v>
      </c>
      <c r="BK142" s="229">
        <v>9.9699999999999997E-2</v>
      </c>
      <c r="BL142" s="230">
        <v>1346400</v>
      </c>
      <c r="BM142" s="230">
        <v>1057950</v>
      </c>
      <c r="BN142" s="230">
        <v>288450</v>
      </c>
      <c r="BO142" s="229">
        <v>0.27260000000000001</v>
      </c>
      <c r="BP142" s="230">
        <v>4289350</v>
      </c>
      <c r="BQ142" s="230">
        <v>3785600</v>
      </c>
      <c r="BR142" s="230">
        <v>503750</v>
      </c>
      <c r="BS142" s="229">
        <v>0.1331</v>
      </c>
      <c r="BT142" s="230">
        <v>171033</v>
      </c>
      <c r="BU142" s="230">
        <v>236821</v>
      </c>
      <c r="BV142" s="230">
        <v>-65788</v>
      </c>
      <c r="BW142" s="229">
        <v>-0.27779999999999999</v>
      </c>
      <c r="BX142" s="230">
        <v>3037950</v>
      </c>
      <c r="BY142" s="230">
        <v>3062500</v>
      </c>
      <c r="BZ142" s="230">
        <v>-24550</v>
      </c>
      <c r="CA142" s="229">
        <v>-8.0000000000000002E-3</v>
      </c>
      <c r="CB142" s="230">
        <v>2830450</v>
      </c>
      <c r="CC142" s="230">
        <v>2859850</v>
      </c>
      <c r="CD142" s="230">
        <v>-29400</v>
      </c>
      <c r="CE142" s="229">
        <v>-1.03E-2</v>
      </c>
      <c r="CF142" s="230">
        <v>195950</v>
      </c>
      <c r="CG142" s="230">
        <v>190750</v>
      </c>
      <c r="CH142" s="230">
        <v>5200</v>
      </c>
      <c r="CI142" s="229">
        <v>2.7300000000000001E-2</v>
      </c>
      <c r="CJ142" s="228">
        <v>0</v>
      </c>
      <c r="CK142" s="228">
        <v>0</v>
      </c>
      <c r="CL142" s="228">
        <v>0</v>
      </c>
      <c r="CM142" s="229">
        <v>0</v>
      </c>
      <c r="CN142" s="230">
        <v>3197300</v>
      </c>
      <c r="CO142" s="230">
        <v>3233050</v>
      </c>
      <c r="CP142" s="230">
        <v>-35750</v>
      </c>
      <c r="CQ142" s="229">
        <v>-1.11E-2</v>
      </c>
      <c r="CR142" s="230">
        <v>998350</v>
      </c>
      <c r="CS142" s="230">
        <v>963750</v>
      </c>
      <c r="CT142" s="230">
        <v>34600</v>
      </c>
      <c r="CU142" s="229">
        <v>3.5900000000000001E-2</v>
      </c>
      <c r="CV142" s="230">
        <v>7233600</v>
      </c>
      <c r="CW142" s="230">
        <v>7259300</v>
      </c>
      <c r="CX142" s="230">
        <v>-25700</v>
      </c>
      <c r="CY142" s="229">
        <v>-3.5000000000000001E-3</v>
      </c>
      <c r="CZ142" s="228">
        <v>17.649999999999999</v>
      </c>
      <c r="DA142" s="228">
        <v>19.07</v>
      </c>
      <c r="DB142" s="228">
        <v>-1.42</v>
      </c>
      <c r="DC142" s="228">
        <v>-1.42</v>
      </c>
      <c r="DD142" s="228">
        <v>24.92</v>
      </c>
      <c r="DE142" s="228">
        <v>24.96</v>
      </c>
      <c r="DF142" s="228">
        <v>-7.27</v>
      </c>
      <c r="DG142" s="228">
        <v>-0.04</v>
      </c>
      <c r="DH142" s="228">
        <v>16.760000000000002</v>
      </c>
      <c r="DI142" s="228">
        <v>18.739999999999998</v>
      </c>
      <c r="DJ142" s="228">
        <v>-1.98</v>
      </c>
      <c r="DK142" s="228">
        <v>-1.98</v>
      </c>
      <c r="DL142" s="228">
        <v>19.420000000000002</v>
      </c>
      <c r="DM142" s="228">
        <v>19.82</v>
      </c>
      <c r="DN142" s="228">
        <v>-0.4</v>
      </c>
      <c r="DO142" s="228">
        <v>-0.4</v>
      </c>
      <c r="DP142" s="228">
        <v>0.31</v>
      </c>
      <c r="DQ142" s="228">
        <v>0.3</v>
      </c>
      <c r="DR142" s="228">
        <v>0.01</v>
      </c>
      <c r="DS142" s="229">
        <v>3.3300000000000003E-2</v>
      </c>
      <c r="DT142" s="231">
        <v>12800</v>
      </c>
      <c r="DU142" s="231">
        <v>12500</v>
      </c>
      <c r="DV142" s="228">
        <v>0.5</v>
      </c>
      <c r="DW142" s="228">
        <v>0.44</v>
      </c>
      <c r="DX142" s="228">
        <v>0.06</v>
      </c>
      <c r="DY142" s="229">
        <v>0.13639999999999999</v>
      </c>
      <c r="DZ142" s="229">
        <v>6.4500000000000002E-2</v>
      </c>
      <c r="EA142" s="230">
        <v>190750</v>
      </c>
      <c r="EB142" s="229">
        <v>-6.1999999999999998E-3</v>
      </c>
      <c r="EC142" s="229">
        <v>6.4500000000000002E-2</v>
      </c>
      <c r="ED142" s="228">
        <v>-86.49</v>
      </c>
      <c r="EE142" s="229">
        <v>-6.8999999999999999E-3</v>
      </c>
      <c r="EF142" s="230">
        <v>86599</v>
      </c>
      <c r="EG142" s="230">
        <v>141880</v>
      </c>
      <c r="EH142" s="229">
        <v>-0.3896</v>
      </c>
      <c r="EI142" s="229">
        <v>0.50629999999999997</v>
      </c>
      <c r="EJ142" s="231">
        <v>342976.08</v>
      </c>
      <c r="EK142" s="231">
        <v>164587.1</v>
      </c>
      <c r="EL142" s="231">
        <v>33775.279999999999</v>
      </c>
      <c r="EM142" s="228">
        <v>0</v>
      </c>
      <c r="EN142" s="231">
        <v>541338.46</v>
      </c>
      <c r="EO142" s="231">
        <v>479805.54</v>
      </c>
      <c r="EP142" s="231">
        <v>61532.92</v>
      </c>
      <c r="EQ142" s="229">
        <v>0.12820000000000001</v>
      </c>
      <c r="ER142" s="231">
        <v>415753</v>
      </c>
      <c r="ES142" s="231">
        <v>119900</v>
      </c>
      <c r="ET142" s="231">
        <v>380015</v>
      </c>
      <c r="EU142" s="231">
        <v>26231219</v>
      </c>
      <c r="EV142" s="231">
        <v>915668</v>
      </c>
      <c r="EW142" s="231">
        <v>916866</v>
      </c>
      <c r="EX142" s="231">
        <v>-1198</v>
      </c>
      <c r="EY142" s="229">
        <v>-1.2999999999999999E-3</v>
      </c>
      <c r="EZ142" s="229">
        <v>0.27579999999999999</v>
      </c>
      <c r="FA142" s="227" t="s">
        <v>556</v>
      </c>
      <c r="FB142" s="161">
        <f t="shared" ref="FB142:FB161" si="3">BX232-CB232</f>
        <v>0</v>
      </c>
    </row>
    <row r="143" spans="1:158" ht="17.25" thickBot="1" x14ac:dyDescent="0.3">
      <c r="A143" s="226">
        <v>45860</v>
      </c>
      <c r="B143" s="227" t="s">
        <v>170</v>
      </c>
      <c r="C143" s="227" t="s">
        <v>604</v>
      </c>
      <c r="D143" s="228">
        <v>525</v>
      </c>
      <c r="E143" s="231">
        <v>1219.4000000000001</v>
      </c>
      <c r="F143" s="231">
        <v>1219.5999999999999</v>
      </c>
      <c r="G143" s="228">
        <v>-0.2</v>
      </c>
      <c r="H143" s="229">
        <v>-2.0000000000000001E-4</v>
      </c>
      <c r="I143" s="231">
        <v>1218.8</v>
      </c>
      <c r="J143" s="231">
        <v>1218.2</v>
      </c>
      <c r="K143" s="228">
        <v>0.6</v>
      </c>
      <c r="L143" s="229">
        <v>5.0000000000000001E-4</v>
      </c>
      <c r="M143" s="231">
        <v>1219.4000000000001</v>
      </c>
      <c r="N143" s="231">
        <v>1219.5999999999999</v>
      </c>
      <c r="O143" s="228">
        <v>-0.2</v>
      </c>
      <c r="P143" s="229">
        <v>-2.0000000000000001E-4</v>
      </c>
      <c r="Q143" s="231">
        <v>1225.8</v>
      </c>
      <c r="R143" s="231">
        <v>1224.9000000000001</v>
      </c>
      <c r="S143" s="228">
        <v>0.9</v>
      </c>
      <c r="T143" s="229">
        <v>6.9999999999999999E-4</v>
      </c>
      <c r="U143" s="228">
        <v>0</v>
      </c>
      <c r="V143" s="228">
        <v>0</v>
      </c>
      <c r="W143" s="228">
        <v>0</v>
      </c>
      <c r="X143" s="229">
        <v>0</v>
      </c>
      <c r="Y143" s="228">
        <v>0.6</v>
      </c>
      <c r="Z143" s="228">
        <v>1.4</v>
      </c>
      <c r="AA143" s="228">
        <v>-0.8</v>
      </c>
      <c r="AB143" s="229">
        <v>5.0000000000000001E-4</v>
      </c>
      <c r="AC143" s="228">
        <v>0.6</v>
      </c>
      <c r="AD143" s="228">
        <v>1.4</v>
      </c>
      <c r="AE143" s="228">
        <v>-0.8</v>
      </c>
      <c r="AF143" s="229">
        <v>5.0000000000000001E-4</v>
      </c>
      <c r="AG143" s="228">
        <v>7</v>
      </c>
      <c r="AH143" s="228">
        <v>6.7</v>
      </c>
      <c r="AI143" s="228">
        <v>0.3</v>
      </c>
      <c r="AJ143" s="229">
        <v>5.7000000000000002E-3</v>
      </c>
      <c r="AK143" s="228">
        <v>0</v>
      </c>
      <c r="AL143" s="228">
        <v>0</v>
      </c>
      <c r="AM143" s="228">
        <v>0</v>
      </c>
      <c r="AN143" s="229">
        <v>0</v>
      </c>
      <c r="AO143" s="231">
        <v>1219.0899999999999</v>
      </c>
      <c r="AP143" s="231">
        <v>1224.76</v>
      </c>
      <c r="AQ143" s="228">
        <v>0</v>
      </c>
      <c r="AR143" s="230">
        <v>1348200</v>
      </c>
      <c r="AS143" s="230">
        <v>2415525</v>
      </c>
      <c r="AT143" s="230">
        <v>-1067325</v>
      </c>
      <c r="AU143" s="229">
        <v>-0.44190000000000002</v>
      </c>
      <c r="AV143" s="230">
        <v>1271550</v>
      </c>
      <c r="AW143" s="230">
        <v>2128875</v>
      </c>
      <c r="AX143" s="230">
        <v>-857325</v>
      </c>
      <c r="AY143" s="229">
        <v>-0.4027</v>
      </c>
      <c r="AZ143" s="230">
        <v>74025</v>
      </c>
      <c r="BA143" s="230">
        <v>277200</v>
      </c>
      <c r="BB143" s="230">
        <v>-203175</v>
      </c>
      <c r="BC143" s="229">
        <v>-0.73299999999999998</v>
      </c>
      <c r="BD143" s="228">
        <v>0</v>
      </c>
      <c r="BE143" s="228">
        <v>0</v>
      </c>
      <c r="BF143" s="228">
        <v>0</v>
      </c>
      <c r="BG143" s="229">
        <v>0</v>
      </c>
      <c r="BH143" s="230">
        <v>2256450</v>
      </c>
      <c r="BI143" s="230">
        <v>3445050</v>
      </c>
      <c r="BJ143" s="230">
        <v>-1188600</v>
      </c>
      <c r="BK143" s="229">
        <v>-0.34499999999999997</v>
      </c>
      <c r="BL143" s="230">
        <v>644175</v>
      </c>
      <c r="BM143" s="230">
        <v>1498350</v>
      </c>
      <c r="BN143" s="230">
        <v>-854175</v>
      </c>
      <c r="BO143" s="229">
        <v>-0.57010000000000005</v>
      </c>
      <c r="BP143" s="230">
        <v>4248825</v>
      </c>
      <c r="BQ143" s="230">
        <v>7358925</v>
      </c>
      <c r="BR143" s="230">
        <v>-3110100</v>
      </c>
      <c r="BS143" s="229">
        <v>-0.42259999999999998</v>
      </c>
      <c r="BT143" s="230">
        <v>1920605</v>
      </c>
      <c r="BU143" s="230">
        <v>1666027</v>
      </c>
      <c r="BV143" s="230">
        <v>254578</v>
      </c>
      <c r="BW143" s="229">
        <v>0.15279999999999999</v>
      </c>
      <c r="BX143" s="230">
        <v>11779950</v>
      </c>
      <c r="BY143" s="230">
        <v>11732700</v>
      </c>
      <c r="BZ143" s="230">
        <v>47250</v>
      </c>
      <c r="CA143" s="229">
        <v>4.0000000000000001E-3</v>
      </c>
      <c r="CB143" s="230">
        <v>11306400</v>
      </c>
      <c r="CC143" s="230">
        <v>11260200</v>
      </c>
      <c r="CD143" s="230">
        <v>46200</v>
      </c>
      <c r="CE143" s="229">
        <v>4.1000000000000003E-3</v>
      </c>
      <c r="CF143" s="230">
        <v>449925</v>
      </c>
      <c r="CG143" s="230">
        <v>450975</v>
      </c>
      <c r="CH143" s="230">
        <v>-1050</v>
      </c>
      <c r="CI143" s="229">
        <v>-2.3E-3</v>
      </c>
      <c r="CJ143" s="228">
        <v>0</v>
      </c>
      <c r="CK143" s="228">
        <v>0</v>
      </c>
      <c r="CL143" s="228">
        <v>0</v>
      </c>
      <c r="CM143" s="229">
        <v>0</v>
      </c>
      <c r="CN143" s="230">
        <v>3353700</v>
      </c>
      <c r="CO143" s="230">
        <v>3524325</v>
      </c>
      <c r="CP143" s="230">
        <v>-170625</v>
      </c>
      <c r="CQ143" s="229">
        <v>-4.8399999999999999E-2</v>
      </c>
      <c r="CR143" s="230">
        <v>1246350</v>
      </c>
      <c r="CS143" s="230">
        <v>1268925</v>
      </c>
      <c r="CT143" s="230">
        <v>-22575</v>
      </c>
      <c r="CU143" s="229">
        <v>-1.78E-2</v>
      </c>
      <c r="CV143" s="230">
        <v>16380000</v>
      </c>
      <c r="CW143" s="230">
        <v>16525950</v>
      </c>
      <c r="CX143" s="230">
        <v>-145950</v>
      </c>
      <c r="CY143" s="229">
        <v>-8.8000000000000005E-3</v>
      </c>
      <c r="CZ143" s="228">
        <v>35.15</v>
      </c>
      <c r="DA143" s="228">
        <v>33.99</v>
      </c>
      <c r="DB143" s="228">
        <v>1.1599999999999999</v>
      </c>
      <c r="DC143" s="228">
        <v>1.1599999999999999</v>
      </c>
      <c r="DD143" s="228">
        <v>43.76</v>
      </c>
      <c r="DE143" s="228">
        <v>43.87</v>
      </c>
      <c r="DF143" s="228">
        <v>-8.61</v>
      </c>
      <c r="DG143" s="228">
        <v>-0.11</v>
      </c>
      <c r="DH143" s="228">
        <v>35.79</v>
      </c>
      <c r="DI143" s="228">
        <v>35.020000000000003</v>
      </c>
      <c r="DJ143" s="228">
        <v>0.77</v>
      </c>
      <c r="DK143" s="228">
        <v>0.77</v>
      </c>
      <c r="DL143" s="228">
        <v>32.89</v>
      </c>
      <c r="DM143" s="228">
        <v>31.62</v>
      </c>
      <c r="DN143" s="228">
        <v>1.27</v>
      </c>
      <c r="DO143" s="228">
        <v>1.27</v>
      </c>
      <c r="DP143" s="228">
        <v>0.37</v>
      </c>
      <c r="DQ143" s="228">
        <v>0.36</v>
      </c>
      <c r="DR143" s="228">
        <v>0.01</v>
      </c>
      <c r="DS143" s="229">
        <v>2.7799999999999998E-2</v>
      </c>
      <c r="DT143" s="231">
        <v>1400</v>
      </c>
      <c r="DU143" s="231">
        <v>1200</v>
      </c>
      <c r="DV143" s="228">
        <v>0.28999999999999998</v>
      </c>
      <c r="DW143" s="228">
        <v>0.43</v>
      </c>
      <c r="DX143" s="228">
        <v>-0.14000000000000001</v>
      </c>
      <c r="DY143" s="229">
        <v>-0.3256</v>
      </c>
      <c r="DZ143" s="229">
        <v>3.8199999999999998E-2</v>
      </c>
      <c r="EA143" s="230">
        <v>450975</v>
      </c>
      <c r="EB143" s="229">
        <v>5.1999999999999998E-3</v>
      </c>
      <c r="EC143" s="229">
        <v>3.8199999999999998E-2</v>
      </c>
      <c r="ED143" s="228">
        <v>5.67</v>
      </c>
      <c r="EE143" s="229">
        <v>4.7000000000000002E-3</v>
      </c>
      <c r="EF143" s="230">
        <v>1512129</v>
      </c>
      <c r="EG143" s="230">
        <v>1030746</v>
      </c>
      <c r="EH143" s="229">
        <v>0.46700000000000003</v>
      </c>
      <c r="EI143" s="229">
        <v>0.7873</v>
      </c>
      <c r="EJ143" s="231">
        <v>29183.4</v>
      </c>
      <c r="EK143" s="231">
        <v>7880.74</v>
      </c>
      <c r="EL143" s="231">
        <v>16440.25</v>
      </c>
      <c r="EM143" s="228">
        <v>0</v>
      </c>
      <c r="EN143" s="231">
        <v>53504.39</v>
      </c>
      <c r="EO143" s="231">
        <v>92702.07</v>
      </c>
      <c r="EP143" s="231">
        <v>-39197.68</v>
      </c>
      <c r="EQ143" s="229">
        <v>-0.42280000000000001</v>
      </c>
      <c r="ER143" s="231">
        <v>44662</v>
      </c>
      <c r="ES143" s="231">
        <v>15102</v>
      </c>
      <c r="ET143" s="231">
        <v>143676</v>
      </c>
      <c r="EU143" s="231">
        <v>148272870</v>
      </c>
      <c r="EV143" s="231">
        <v>203440</v>
      </c>
      <c r="EW143" s="231">
        <v>205560</v>
      </c>
      <c r="EX143" s="231">
        <v>-2120</v>
      </c>
      <c r="EY143" s="229">
        <v>-1.03E-2</v>
      </c>
      <c r="EZ143" s="229">
        <v>0.1105</v>
      </c>
      <c r="FA143" s="227" t="s">
        <v>567</v>
      </c>
      <c r="FB143" s="161">
        <f t="shared" si="3"/>
        <v>0</v>
      </c>
    </row>
    <row r="144" spans="1:158" ht="17.25" thickBot="1" x14ac:dyDescent="0.3">
      <c r="A144" s="226">
        <v>45860</v>
      </c>
      <c r="B144" s="227" t="s">
        <v>215</v>
      </c>
      <c r="C144" s="227" t="s">
        <v>675</v>
      </c>
      <c r="D144" s="228">
        <v>175</v>
      </c>
      <c r="E144" s="231">
        <v>2931.6</v>
      </c>
      <c r="F144" s="231">
        <v>2963.2</v>
      </c>
      <c r="G144" s="228">
        <v>-31.6</v>
      </c>
      <c r="H144" s="229">
        <v>-1.0699999999999999E-2</v>
      </c>
      <c r="I144" s="231">
        <v>2921.8</v>
      </c>
      <c r="J144" s="231">
        <v>2951.7</v>
      </c>
      <c r="K144" s="228">
        <v>-29.9</v>
      </c>
      <c r="L144" s="229">
        <v>-1.01E-2</v>
      </c>
      <c r="M144" s="231">
        <v>2931.6</v>
      </c>
      <c r="N144" s="231">
        <v>2963.2</v>
      </c>
      <c r="O144" s="228">
        <v>-31.6</v>
      </c>
      <c r="P144" s="229">
        <v>-1.0699999999999999E-2</v>
      </c>
      <c r="Q144" s="231">
        <v>2942.6</v>
      </c>
      <c r="R144" s="231">
        <v>2976.3</v>
      </c>
      <c r="S144" s="228">
        <v>-33.700000000000003</v>
      </c>
      <c r="T144" s="229">
        <v>-1.1299999999999999E-2</v>
      </c>
      <c r="U144" s="228">
        <v>0</v>
      </c>
      <c r="V144" s="228">
        <v>0</v>
      </c>
      <c r="W144" s="228">
        <v>0</v>
      </c>
      <c r="X144" s="229">
        <v>0</v>
      </c>
      <c r="Y144" s="228">
        <v>9.8000000000000007</v>
      </c>
      <c r="Z144" s="228">
        <v>11.5</v>
      </c>
      <c r="AA144" s="228">
        <v>-1.7</v>
      </c>
      <c r="AB144" s="229">
        <v>3.3999999999999998E-3</v>
      </c>
      <c r="AC144" s="228">
        <v>9.8000000000000007</v>
      </c>
      <c r="AD144" s="228">
        <v>11.5</v>
      </c>
      <c r="AE144" s="228">
        <v>-1.7</v>
      </c>
      <c r="AF144" s="229">
        <v>3.3999999999999998E-3</v>
      </c>
      <c r="AG144" s="228">
        <v>20.8</v>
      </c>
      <c r="AH144" s="228">
        <v>24.6</v>
      </c>
      <c r="AI144" s="228">
        <v>-3.8</v>
      </c>
      <c r="AJ144" s="229">
        <v>7.1000000000000004E-3</v>
      </c>
      <c r="AK144" s="228">
        <v>0</v>
      </c>
      <c r="AL144" s="228">
        <v>0</v>
      </c>
      <c r="AM144" s="228">
        <v>0</v>
      </c>
      <c r="AN144" s="229">
        <v>0</v>
      </c>
      <c r="AO144" s="231">
        <v>2976.4</v>
      </c>
      <c r="AP144" s="231">
        <v>2992.02</v>
      </c>
      <c r="AQ144" s="228">
        <v>0</v>
      </c>
      <c r="AR144" s="230">
        <v>731150</v>
      </c>
      <c r="AS144" s="230">
        <v>775425</v>
      </c>
      <c r="AT144" s="230">
        <v>-44275</v>
      </c>
      <c r="AU144" s="229">
        <v>-5.7099999999999998E-2</v>
      </c>
      <c r="AV144" s="230">
        <v>501900</v>
      </c>
      <c r="AW144" s="230">
        <v>592900</v>
      </c>
      <c r="AX144" s="230">
        <v>-91000</v>
      </c>
      <c r="AY144" s="229">
        <v>-0.1535</v>
      </c>
      <c r="AZ144" s="230">
        <v>216125</v>
      </c>
      <c r="BA144" s="230">
        <v>170975</v>
      </c>
      <c r="BB144" s="230">
        <v>45150</v>
      </c>
      <c r="BC144" s="229">
        <v>0.2641</v>
      </c>
      <c r="BD144" s="228">
        <v>0</v>
      </c>
      <c r="BE144" s="228">
        <v>0</v>
      </c>
      <c r="BF144" s="228">
        <v>0</v>
      </c>
      <c r="BG144" s="229">
        <v>0</v>
      </c>
      <c r="BH144" s="230">
        <v>4189850</v>
      </c>
      <c r="BI144" s="230">
        <v>3350025</v>
      </c>
      <c r="BJ144" s="230">
        <v>839825</v>
      </c>
      <c r="BK144" s="229">
        <v>0.25069999999999998</v>
      </c>
      <c r="BL144" s="230">
        <v>907375</v>
      </c>
      <c r="BM144" s="230">
        <v>847350</v>
      </c>
      <c r="BN144" s="230">
        <v>60025</v>
      </c>
      <c r="BO144" s="229">
        <v>7.0800000000000002E-2</v>
      </c>
      <c r="BP144" s="230">
        <v>5828375</v>
      </c>
      <c r="BQ144" s="230">
        <v>4972800</v>
      </c>
      <c r="BR144" s="230">
        <v>855575</v>
      </c>
      <c r="BS144" s="229">
        <v>0.1721</v>
      </c>
      <c r="BT144" s="230">
        <v>1694994</v>
      </c>
      <c r="BU144" s="230">
        <v>1648079</v>
      </c>
      <c r="BV144" s="230">
        <v>46915</v>
      </c>
      <c r="BW144" s="229">
        <v>2.8500000000000001E-2</v>
      </c>
      <c r="BX144" s="230">
        <v>3672900</v>
      </c>
      <c r="BY144" s="230">
        <v>3587675</v>
      </c>
      <c r="BZ144" s="230">
        <v>85225</v>
      </c>
      <c r="CA144" s="229">
        <v>2.3800000000000002E-2</v>
      </c>
      <c r="CB144" s="230">
        <v>3209150</v>
      </c>
      <c r="CC144" s="230">
        <v>3231725</v>
      </c>
      <c r="CD144" s="230">
        <v>-22575</v>
      </c>
      <c r="CE144" s="229">
        <v>-7.0000000000000001E-3</v>
      </c>
      <c r="CF144" s="230">
        <v>424900</v>
      </c>
      <c r="CG144" s="230">
        <v>323050</v>
      </c>
      <c r="CH144" s="230">
        <v>101850</v>
      </c>
      <c r="CI144" s="229">
        <v>0.31530000000000002</v>
      </c>
      <c r="CJ144" s="228">
        <v>0</v>
      </c>
      <c r="CK144" s="228">
        <v>0</v>
      </c>
      <c r="CL144" s="228">
        <v>0</v>
      </c>
      <c r="CM144" s="229">
        <v>0</v>
      </c>
      <c r="CN144" s="230">
        <v>2989175</v>
      </c>
      <c r="CO144" s="230">
        <v>2715125</v>
      </c>
      <c r="CP144" s="230">
        <v>274050</v>
      </c>
      <c r="CQ144" s="229">
        <v>0.1009</v>
      </c>
      <c r="CR144" s="230">
        <v>1249325</v>
      </c>
      <c r="CS144" s="230">
        <v>1218700</v>
      </c>
      <c r="CT144" s="230">
        <v>30625</v>
      </c>
      <c r="CU144" s="229">
        <v>2.5100000000000001E-2</v>
      </c>
      <c r="CV144" s="230">
        <v>7911400</v>
      </c>
      <c r="CW144" s="230">
        <v>7521500</v>
      </c>
      <c r="CX144" s="230">
        <v>389900</v>
      </c>
      <c r="CY144" s="229">
        <v>5.1799999999999999E-2</v>
      </c>
      <c r="CZ144" s="228">
        <v>43.3</v>
      </c>
      <c r="DA144" s="228">
        <v>43.21</v>
      </c>
      <c r="DB144" s="228">
        <v>0.09</v>
      </c>
      <c r="DC144" s="228">
        <v>0.09</v>
      </c>
      <c r="DD144" s="228">
        <v>65.930000000000007</v>
      </c>
      <c r="DE144" s="228">
        <v>66.08</v>
      </c>
      <c r="DF144" s="228">
        <v>-22.63</v>
      </c>
      <c r="DG144" s="228">
        <v>-0.15</v>
      </c>
      <c r="DH144" s="228">
        <v>44.26</v>
      </c>
      <c r="DI144" s="228">
        <v>44.43</v>
      </c>
      <c r="DJ144" s="228">
        <v>-0.17</v>
      </c>
      <c r="DK144" s="228">
        <v>-0.17</v>
      </c>
      <c r="DL144" s="228">
        <v>38.86</v>
      </c>
      <c r="DM144" s="228">
        <v>38.39</v>
      </c>
      <c r="DN144" s="228">
        <v>0.47</v>
      </c>
      <c r="DO144" s="228">
        <v>0.47</v>
      </c>
      <c r="DP144" s="228">
        <v>0.42</v>
      </c>
      <c r="DQ144" s="228">
        <v>0.45</v>
      </c>
      <c r="DR144" s="228">
        <v>-0.03</v>
      </c>
      <c r="DS144" s="229">
        <v>-6.6699999999999995E-2</v>
      </c>
      <c r="DT144" s="231">
        <v>3300</v>
      </c>
      <c r="DU144" s="231">
        <v>3000</v>
      </c>
      <c r="DV144" s="228">
        <v>0.22</v>
      </c>
      <c r="DW144" s="228">
        <v>0.25</v>
      </c>
      <c r="DX144" s="228">
        <v>-0.03</v>
      </c>
      <c r="DY144" s="229">
        <v>-0.12</v>
      </c>
      <c r="DZ144" s="229">
        <v>0.1157</v>
      </c>
      <c r="EA144" s="230">
        <v>323050</v>
      </c>
      <c r="EB144" s="229">
        <v>3.8E-3</v>
      </c>
      <c r="EC144" s="229">
        <v>0.1157</v>
      </c>
      <c r="ED144" s="228">
        <v>15.62</v>
      </c>
      <c r="EE144" s="229">
        <v>5.1999999999999998E-3</v>
      </c>
      <c r="EF144" s="230">
        <v>501009</v>
      </c>
      <c r="EG144" s="230">
        <v>549571</v>
      </c>
      <c r="EH144" s="229">
        <v>-8.8400000000000006E-2</v>
      </c>
      <c r="EI144" s="229">
        <v>0.29559999999999997</v>
      </c>
      <c r="EJ144" s="231">
        <v>134238.37</v>
      </c>
      <c r="EK144" s="231">
        <v>26985.54</v>
      </c>
      <c r="EL144" s="231">
        <v>21797.99</v>
      </c>
      <c r="EM144" s="228">
        <v>0</v>
      </c>
      <c r="EN144" s="231">
        <v>183021.9</v>
      </c>
      <c r="EO144" s="231">
        <v>156940.51999999999</v>
      </c>
      <c r="EP144" s="231">
        <v>26081.38</v>
      </c>
      <c r="EQ144" s="229">
        <v>0.16619999999999999</v>
      </c>
      <c r="ER144" s="231">
        <v>99463</v>
      </c>
      <c r="ES144" s="231">
        <v>38511</v>
      </c>
      <c r="ET144" s="231">
        <v>107733</v>
      </c>
      <c r="EU144" s="231">
        <v>12239606</v>
      </c>
      <c r="EV144" s="231">
        <v>245706</v>
      </c>
      <c r="EW144" s="231">
        <v>235147</v>
      </c>
      <c r="EX144" s="231">
        <v>10559</v>
      </c>
      <c r="EY144" s="229">
        <v>4.4900000000000002E-2</v>
      </c>
      <c r="EZ144" s="229">
        <v>0.64639999999999997</v>
      </c>
      <c r="FA144" s="227" t="s">
        <v>567</v>
      </c>
      <c r="FB144" s="161">
        <f t="shared" si="3"/>
        <v>0</v>
      </c>
    </row>
    <row r="145" spans="1:158" ht="17.25" thickBot="1" x14ac:dyDescent="0.3">
      <c r="A145" s="226">
        <v>45860</v>
      </c>
      <c r="B145" s="227" t="s">
        <v>175</v>
      </c>
      <c r="C145" s="227" t="s">
        <v>517</v>
      </c>
      <c r="D145" s="228">
        <v>125</v>
      </c>
      <c r="E145" s="231">
        <v>8180</v>
      </c>
      <c r="F145" s="231">
        <v>8284.5</v>
      </c>
      <c r="G145" s="228">
        <v>-104.5</v>
      </c>
      <c r="H145" s="229">
        <v>-1.26E-2</v>
      </c>
      <c r="I145" s="231">
        <v>8153.5</v>
      </c>
      <c r="J145" s="231">
        <v>8249</v>
      </c>
      <c r="K145" s="228">
        <v>-95.5</v>
      </c>
      <c r="L145" s="229">
        <v>-1.1599999999999999E-2</v>
      </c>
      <c r="M145" s="231">
        <v>8180</v>
      </c>
      <c r="N145" s="231">
        <v>8284.5</v>
      </c>
      <c r="O145" s="228">
        <v>-104.5</v>
      </c>
      <c r="P145" s="229">
        <v>-1.26E-2</v>
      </c>
      <c r="Q145" s="231">
        <v>8191.5</v>
      </c>
      <c r="R145" s="231">
        <v>8289.5</v>
      </c>
      <c r="S145" s="228">
        <v>-98</v>
      </c>
      <c r="T145" s="229">
        <v>-1.18E-2</v>
      </c>
      <c r="U145" s="228">
        <v>0</v>
      </c>
      <c r="V145" s="228">
        <v>0</v>
      </c>
      <c r="W145" s="228">
        <v>0</v>
      </c>
      <c r="X145" s="229">
        <v>0</v>
      </c>
      <c r="Y145" s="228">
        <v>26.5</v>
      </c>
      <c r="Z145" s="228">
        <v>35.5</v>
      </c>
      <c r="AA145" s="228">
        <v>-9</v>
      </c>
      <c r="AB145" s="229">
        <v>3.3E-3</v>
      </c>
      <c r="AC145" s="228">
        <v>26.5</v>
      </c>
      <c r="AD145" s="228">
        <v>35.5</v>
      </c>
      <c r="AE145" s="228">
        <v>-9</v>
      </c>
      <c r="AF145" s="229">
        <v>3.3E-3</v>
      </c>
      <c r="AG145" s="228">
        <v>38</v>
      </c>
      <c r="AH145" s="228">
        <v>40.5</v>
      </c>
      <c r="AI145" s="228">
        <v>-2.5</v>
      </c>
      <c r="AJ145" s="229">
        <v>4.7000000000000002E-3</v>
      </c>
      <c r="AK145" s="228">
        <v>0</v>
      </c>
      <c r="AL145" s="228">
        <v>0</v>
      </c>
      <c r="AM145" s="228">
        <v>0</v>
      </c>
      <c r="AN145" s="229">
        <v>0</v>
      </c>
      <c r="AO145" s="231">
        <v>8232.39</v>
      </c>
      <c r="AP145" s="231">
        <v>8232.82</v>
      </c>
      <c r="AQ145" s="228">
        <v>0</v>
      </c>
      <c r="AR145" s="230">
        <v>613000</v>
      </c>
      <c r="AS145" s="230">
        <v>599625</v>
      </c>
      <c r="AT145" s="230">
        <v>13375</v>
      </c>
      <c r="AU145" s="229">
        <v>2.23E-2</v>
      </c>
      <c r="AV145" s="230">
        <v>482375</v>
      </c>
      <c r="AW145" s="230">
        <v>527875</v>
      </c>
      <c r="AX145" s="230">
        <v>-45500</v>
      </c>
      <c r="AY145" s="229">
        <v>-8.6199999999999999E-2</v>
      </c>
      <c r="AZ145" s="230">
        <v>128750</v>
      </c>
      <c r="BA145" s="230">
        <v>66750</v>
      </c>
      <c r="BB145" s="230">
        <v>62000</v>
      </c>
      <c r="BC145" s="229">
        <v>0.92879999999999996</v>
      </c>
      <c r="BD145" s="228">
        <v>0</v>
      </c>
      <c r="BE145" s="228">
        <v>0</v>
      </c>
      <c r="BF145" s="228">
        <v>0</v>
      </c>
      <c r="BG145" s="229">
        <v>0</v>
      </c>
      <c r="BH145" s="230">
        <v>3902375</v>
      </c>
      <c r="BI145" s="230">
        <v>3813625</v>
      </c>
      <c r="BJ145" s="230">
        <v>88750</v>
      </c>
      <c r="BK145" s="229">
        <v>2.3300000000000001E-2</v>
      </c>
      <c r="BL145" s="230">
        <v>1504125</v>
      </c>
      <c r="BM145" s="230">
        <v>1733125</v>
      </c>
      <c r="BN145" s="230">
        <v>-229000</v>
      </c>
      <c r="BO145" s="229">
        <v>-0.1321</v>
      </c>
      <c r="BP145" s="230">
        <v>6019500</v>
      </c>
      <c r="BQ145" s="230">
        <v>6146375</v>
      </c>
      <c r="BR145" s="230">
        <v>-126875</v>
      </c>
      <c r="BS145" s="229">
        <v>-2.06E-2</v>
      </c>
      <c r="BT145" s="230">
        <v>563835</v>
      </c>
      <c r="BU145" s="230">
        <v>374866</v>
      </c>
      <c r="BV145" s="230">
        <v>188969</v>
      </c>
      <c r="BW145" s="229">
        <v>0.50409999999999999</v>
      </c>
      <c r="BX145" s="230">
        <v>2748000</v>
      </c>
      <c r="BY145" s="230">
        <v>2663375</v>
      </c>
      <c r="BZ145" s="230">
        <v>84625</v>
      </c>
      <c r="CA145" s="229">
        <v>3.1800000000000002E-2</v>
      </c>
      <c r="CB145" s="230">
        <v>2434375</v>
      </c>
      <c r="CC145" s="230">
        <v>2423875</v>
      </c>
      <c r="CD145" s="230">
        <v>10500</v>
      </c>
      <c r="CE145" s="229">
        <v>4.3E-3</v>
      </c>
      <c r="CF145" s="230">
        <v>298625</v>
      </c>
      <c r="CG145" s="230">
        <v>225125</v>
      </c>
      <c r="CH145" s="230">
        <v>73500</v>
      </c>
      <c r="CI145" s="229">
        <v>0.32650000000000001</v>
      </c>
      <c r="CJ145" s="228">
        <v>0</v>
      </c>
      <c r="CK145" s="228">
        <v>0</v>
      </c>
      <c r="CL145" s="228">
        <v>0</v>
      </c>
      <c r="CM145" s="229">
        <v>0</v>
      </c>
      <c r="CN145" s="230">
        <v>3495750</v>
      </c>
      <c r="CO145" s="230">
        <v>3210875</v>
      </c>
      <c r="CP145" s="230">
        <v>284875</v>
      </c>
      <c r="CQ145" s="229">
        <v>8.8700000000000001E-2</v>
      </c>
      <c r="CR145" s="230">
        <v>1886125</v>
      </c>
      <c r="CS145" s="230">
        <v>1856375</v>
      </c>
      <c r="CT145" s="230">
        <v>29750</v>
      </c>
      <c r="CU145" s="229">
        <v>1.6E-2</v>
      </c>
      <c r="CV145" s="230">
        <v>8129875</v>
      </c>
      <c r="CW145" s="230">
        <v>7730625</v>
      </c>
      <c r="CX145" s="230">
        <v>399250</v>
      </c>
      <c r="CY145" s="229">
        <v>5.16E-2</v>
      </c>
      <c r="CZ145" s="228">
        <v>35.76</v>
      </c>
      <c r="DA145" s="228">
        <v>34.479999999999997</v>
      </c>
      <c r="DB145" s="228">
        <v>1.28</v>
      </c>
      <c r="DC145" s="228">
        <v>1.28</v>
      </c>
      <c r="DD145" s="228">
        <v>48.97</v>
      </c>
      <c r="DE145" s="228">
        <v>49.07</v>
      </c>
      <c r="DF145" s="228">
        <v>-13.21</v>
      </c>
      <c r="DG145" s="228">
        <v>-0.1</v>
      </c>
      <c r="DH145" s="228">
        <v>36.450000000000003</v>
      </c>
      <c r="DI145" s="228">
        <v>34.61</v>
      </c>
      <c r="DJ145" s="228">
        <v>1.84</v>
      </c>
      <c r="DK145" s="228">
        <v>1.84</v>
      </c>
      <c r="DL145" s="228">
        <v>33.950000000000003</v>
      </c>
      <c r="DM145" s="228">
        <v>34.18</v>
      </c>
      <c r="DN145" s="228">
        <v>-0.23</v>
      </c>
      <c r="DO145" s="228">
        <v>-0.23</v>
      </c>
      <c r="DP145" s="228">
        <v>0.54</v>
      </c>
      <c r="DQ145" s="228">
        <v>0.57999999999999996</v>
      </c>
      <c r="DR145" s="228">
        <v>-0.04</v>
      </c>
      <c r="DS145" s="229">
        <v>-6.9000000000000006E-2</v>
      </c>
      <c r="DT145" s="231">
        <v>9000</v>
      </c>
      <c r="DU145" s="231">
        <v>8000</v>
      </c>
      <c r="DV145" s="228">
        <v>0.39</v>
      </c>
      <c r="DW145" s="228">
        <v>0.45</v>
      </c>
      <c r="DX145" s="228">
        <v>-0.06</v>
      </c>
      <c r="DY145" s="229">
        <v>-0.1333</v>
      </c>
      <c r="DZ145" s="229">
        <v>0.1087</v>
      </c>
      <c r="EA145" s="230">
        <v>225125</v>
      </c>
      <c r="EB145" s="229">
        <v>1.4E-3</v>
      </c>
      <c r="EC145" s="229">
        <v>0.1087</v>
      </c>
      <c r="ED145" s="228">
        <v>0.43</v>
      </c>
      <c r="EE145" s="229">
        <v>1E-4</v>
      </c>
      <c r="EF145" s="230">
        <v>297145</v>
      </c>
      <c r="EG145" s="230">
        <v>127614</v>
      </c>
      <c r="EH145" s="229">
        <v>1.3285</v>
      </c>
      <c r="EI145" s="229">
        <v>0.52700000000000002</v>
      </c>
      <c r="EJ145" s="231">
        <v>341494.86</v>
      </c>
      <c r="EK145" s="231">
        <v>121441.57</v>
      </c>
      <c r="EL145" s="231">
        <v>50465.73</v>
      </c>
      <c r="EM145" s="228">
        <v>0</v>
      </c>
      <c r="EN145" s="231">
        <v>513402.16</v>
      </c>
      <c r="EO145" s="231">
        <v>522700.77</v>
      </c>
      <c r="EP145" s="231">
        <v>-9298.61</v>
      </c>
      <c r="EQ145" s="229">
        <v>-1.78E-2</v>
      </c>
      <c r="ER145" s="231">
        <v>308873</v>
      </c>
      <c r="ES145" s="231">
        <v>151794</v>
      </c>
      <c r="ET145" s="231">
        <v>224830</v>
      </c>
      <c r="EU145" s="231">
        <v>10180563</v>
      </c>
      <c r="EV145" s="231">
        <v>685497</v>
      </c>
      <c r="EW145" s="231">
        <v>654873</v>
      </c>
      <c r="EX145" s="231">
        <v>30624</v>
      </c>
      <c r="EY145" s="229">
        <v>4.6800000000000001E-2</v>
      </c>
      <c r="EZ145" s="229">
        <v>0.79859999999999998</v>
      </c>
      <c r="FA145" s="227" t="s">
        <v>567</v>
      </c>
      <c r="FB145" s="161">
        <f t="shared" si="3"/>
        <v>0</v>
      </c>
    </row>
    <row r="146" spans="1:158" ht="17.25" thickBot="1" x14ac:dyDescent="0.3">
      <c r="A146" s="226">
        <v>45860</v>
      </c>
      <c r="B146" s="227" t="s">
        <v>175</v>
      </c>
      <c r="C146" s="227" t="s">
        <v>257</v>
      </c>
      <c r="D146" s="228">
        <v>800</v>
      </c>
      <c r="E146" s="231">
        <v>1566.3</v>
      </c>
      <c r="F146" s="231">
        <v>1548.1</v>
      </c>
      <c r="G146" s="228">
        <v>18.2</v>
      </c>
      <c r="H146" s="229">
        <v>1.18E-2</v>
      </c>
      <c r="I146" s="231">
        <v>1562.4</v>
      </c>
      <c r="J146" s="231">
        <v>1541.7</v>
      </c>
      <c r="K146" s="228">
        <v>20.7</v>
      </c>
      <c r="L146" s="229">
        <v>1.34E-2</v>
      </c>
      <c r="M146" s="231">
        <v>1566.3</v>
      </c>
      <c r="N146" s="231">
        <v>1548.1</v>
      </c>
      <c r="O146" s="228">
        <v>18.2</v>
      </c>
      <c r="P146" s="229">
        <v>1.18E-2</v>
      </c>
      <c r="Q146" s="231">
        <v>1574.2</v>
      </c>
      <c r="R146" s="231">
        <v>1557.4</v>
      </c>
      <c r="S146" s="228">
        <v>16.8</v>
      </c>
      <c r="T146" s="229">
        <v>1.0800000000000001E-2</v>
      </c>
      <c r="U146" s="228">
        <v>0</v>
      </c>
      <c r="V146" s="228">
        <v>0</v>
      </c>
      <c r="W146" s="228">
        <v>0</v>
      </c>
      <c r="X146" s="229">
        <v>0</v>
      </c>
      <c r="Y146" s="228">
        <v>3.9</v>
      </c>
      <c r="Z146" s="228">
        <v>6.4</v>
      </c>
      <c r="AA146" s="228">
        <v>-2.5</v>
      </c>
      <c r="AB146" s="229">
        <v>2.5000000000000001E-3</v>
      </c>
      <c r="AC146" s="228">
        <v>3.9</v>
      </c>
      <c r="AD146" s="228">
        <v>6.4</v>
      </c>
      <c r="AE146" s="228">
        <v>-2.5</v>
      </c>
      <c r="AF146" s="229">
        <v>2.5000000000000001E-3</v>
      </c>
      <c r="AG146" s="228">
        <v>11.8</v>
      </c>
      <c r="AH146" s="228">
        <v>15.7</v>
      </c>
      <c r="AI146" s="228">
        <v>-3.9</v>
      </c>
      <c r="AJ146" s="229">
        <v>7.6E-3</v>
      </c>
      <c r="AK146" s="228">
        <v>0</v>
      </c>
      <c r="AL146" s="228">
        <v>0</v>
      </c>
      <c r="AM146" s="228">
        <v>0</v>
      </c>
      <c r="AN146" s="229">
        <v>0</v>
      </c>
      <c r="AO146" s="231">
        <v>1568.34</v>
      </c>
      <c r="AP146" s="231">
        <v>1577.73</v>
      </c>
      <c r="AQ146" s="228">
        <v>0</v>
      </c>
      <c r="AR146" s="230">
        <v>2384800</v>
      </c>
      <c r="AS146" s="230">
        <v>690400</v>
      </c>
      <c r="AT146" s="230">
        <v>1694400</v>
      </c>
      <c r="AU146" s="229">
        <v>2.4542000000000002</v>
      </c>
      <c r="AV146" s="230">
        <v>2005600</v>
      </c>
      <c r="AW146" s="230">
        <v>640800</v>
      </c>
      <c r="AX146" s="230">
        <v>1364800</v>
      </c>
      <c r="AY146" s="229">
        <v>2.1297999999999999</v>
      </c>
      <c r="AZ146" s="230">
        <v>372000</v>
      </c>
      <c r="BA146" s="230">
        <v>45600</v>
      </c>
      <c r="BB146" s="230">
        <v>326400</v>
      </c>
      <c r="BC146" s="229">
        <v>7.1578999999999997</v>
      </c>
      <c r="BD146" s="228">
        <v>0</v>
      </c>
      <c r="BE146" s="228">
        <v>0</v>
      </c>
      <c r="BF146" s="228">
        <v>0</v>
      </c>
      <c r="BG146" s="229">
        <v>0</v>
      </c>
      <c r="BH146" s="230">
        <v>4478400</v>
      </c>
      <c r="BI146" s="230">
        <v>1288800</v>
      </c>
      <c r="BJ146" s="230">
        <v>3189600</v>
      </c>
      <c r="BK146" s="229">
        <v>2.4748999999999999</v>
      </c>
      <c r="BL146" s="230">
        <v>1745600</v>
      </c>
      <c r="BM146" s="230">
        <v>542400</v>
      </c>
      <c r="BN146" s="230">
        <v>1203200</v>
      </c>
      <c r="BO146" s="229">
        <v>2.2183000000000002</v>
      </c>
      <c r="BP146" s="230">
        <v>8608800</v>
      </c>
      <c r="BQ146" s="230">
        <v>2521600</v>
      </c>
      <c r="BR146" s="230">
        <v>6087200</v>
      </c>
      <c r="BS146" s="229">
        <v>2.4140000000000001</v>
      </c>
      <c r="BT146" s="230">
        <v>996201</v>
      </c>
      <c r="BU146" s="230">
        <v>488269</v>
      </c>
      <c r="BV146" s="230">
        <v>507932</v>
      </c>
      <c r="BW146" s="229">
        <v>1.0403</v>
      </c>
      <c r="BX146" s="230">
        <v>6045600</v>
      </c>
      <c r="BY146" s="230">
        <v>5837600</v>
      </c>
      <c r="BZ146" s="230">
        <v>208000</v>
      </c>
      <c r="CA146" s="229">
        <v>3.56E-2</v>
      </c>
      <c r="CB146" s="230">
        <v>5702400</v>
      </c>
      <c r="CC146" s="230">
        <v>5664800</v>
      </c>
      <c r="CD146" s="230">
        <v>37600</v>
      </c>
      <c r="CE146" s="229">
        <v>6.6E-3</v>
      </c>
      <c r="CF146" s="230">
        <v>327200</v>
      </c>
      <c r="CG146" s="230">
        <v>160000</v>
      </c>
      <c r="CH146" s="230">
        <v>167200</v>
      </c>
      <c r="CI146" s="229">
        <v>1.0449999999999999</v>
      </c>
      <c r="CJ146" s="228">
        <v>0</v>
      </c>
      <c r="CK146" s="228">
        <v>0</v>
      </c>
      <c r="CL146" s="228">
        <v>0</v>
      </c>
      <c r="CM146" s="229">
        <v>0</v>
      </c>
      <c r="CN146" s="230">
        <v>1706400</v>
      </c>
      <c r="CO146" s="230">
        <v>1756000</v>
      </c>
      <c r="CP146" s="230">
        <v>-49600</v>
      </c>
      <c r="CQ146" s="229">
        <v>-2.8199999999999999E-2</v>
      </c>
      <c r="CR146" s="230">
        <v>1405600</v>
      </c>
      <c r="CS146" s="230">
        <v>1424800</v>
      </c>
      <c r="CT146" s="230">
        <v>-19200</v>
      </c>
      <c r="CU146" s="229">
        <v>-1.35E-2</v>
      </c>
      <c r="CV146" s="230">
        <v>9157600</v>
      </c>
      <c r="CW146" s="230">
        <v>9018400</v>
      </c>
      <c r="CX146" s="230">
        <v>139200</v>
      </c>
      <c r="CY146" s="229">
        <v>1.54E-2</v>
      </c>
      <c r="CZ146" s="228">
        <v>25.9</v>
      </c>
      <c r="DA146" s="228">
        <v>26.9</v>
      </c>
      <c r="DB146" s="228">
        <v>-1</v>
      </c>
      <c r="DC146" s="228">
        <v>-1</v>
      </c>
      <c r="DD146" s="228">
        <v>32.26</v>
      </c>
      <c r="DE146" s="228">
        <v>32.299999999999997</v>
      </c>
      <c r="DF146" s="228">
        <v>-6.36</v>
      </c>
      <c r="DG146" s="228">
        <v>-0.04</v>
      </c>
      <c r="DH146" s="228">
        <v>25.61</v>
      </c>
      <c r="DI146" s="228">
        <v>27.11</v>
      </c>
      <c r="DJ146" s="228">
        <v>-1.5</v>
      </c>
      <c r="DK146" s="228">
        <v>-1.5</v>
      </c>
      <c r="DL146" s="228">
        <v>26.63</v>
      </c>
      <c r="DM146" s="228">
        <v>26.41</v>
      </c>
      <c r="DN146" s="228">
        <v>0.22</v>
      </c>
      <c r="DO146" s="228">
        <v>0.22</v>
      </c>
      <c r="DP146" s="228">
        <v>0.82</v>
      </c>
      <c r="DQ146" s="228">
        <v>0.81</v>
      </c>
      <c r="DR146" s="228">
        <v>0.01</v>
      </c>
      <c r="DS146" s="229">
        <v>1.23E-2</v>
      </c>
      <c r="DT146" s="231">
        <v>1640</v>
      </c>
      <c r="DU146" s="231">
        <v>1500</v>
      </c>
      <c r="DV146" s="228">
        <v>0.39</v>
      </c>
      <c r="DW146" s="228">
        <v>0.42</v>
      </c>
      <c r="DX146" s="228">
        <v>-0.03</v>
      </c>
      <c r="DY146" s="229">
        <v>-7.1400000000000005E-2</v>
      </c>
      <c r="DZ146" s="229">
        <v>5.4100000000000002E-2</v>
      </c>
      <c r="EA146" s="230">
        <v>160000</v>
      </c>
      <c r="EB146" s="229">
        <v>5.0000000000000001E-3</v>
      </c>
      <c r="EC146" s="229">
        <v>5.4100000000000002E-2</v>
      </c>
      <c r="ED146" s="228">
        <v>9.39</v>
      </c>
      <c r="EE146" s="229">
        <v>6.0000000000000001E-3</v>
      </c>
      <c r="EF146" s="230">
        <v>491066</v>
      </c>
      <c r="EG146" s="230">
        <v>300298</v>
      </c>
      <c r="EH146" s="229">
        <v>0.63529999999999998</v>
      </c>
      <c r="EI146" s="229">
        <v>0.4929</v>
      </c>
      <c r="EJ146" s="231">
        <v>73037.06</v>
      </c>
      <c r="EK146" s="231">
        <v>26836.51</v>
      </c>
      <c r="EL146" s="231">
        <v>37437.11</v>
      </c>
      <c r="EM146" s="228">
        <v>0</v>
      </c>
      <c r="EN146" s="231">
        <v>137310.68</v>
      </c>
      <c r="EO146" s="231">
        <v>40265.24</v>
      </c>
      <c r="EP146" s="231">
        <v>97045.440000000002</v>
      </c>
      <c r="EQ146" s="229">
        <v>2.4102000000000001</v>
      </c>
      <c r="ER146" s="231">
        <v>28092</v>
      </c>
      <c r="ES146" s="231">
        <v>21291</v>
      </c>
      <c r="ET146" s="231">
        <v>94721</v>
      </c>
      <c r="EU146" s="231">
        <v>67819703</v>
      </c>
      <c r="EV146" s="231">
        <v>144103</v>
      </c>
      <c r="EW146" s="231">
        <v>140845</v>
      </c>
      <c r="EX146" s="231">
        <v>3258</v>
      </c>
      <c r="EY146" s="229">
        <v>2.3099999999999999E-2</v>
      </c>
      <c r="EZ146" s="229">
        <v>0.13500000000000001</v>
      </c>
      <c r="FA146" s="227" t="s">
        <v>555</v>
      </c>
      <c r="FB146" s="161">
        <f t="shared" si="3"/>
        <v>0</v>
      </c>
    </row>
    <row r="147" spans="1:158" ht="17.25" thickBot="1" x14ac:dyDescent="0.3">
      <c r="A147" s="226">
        <v>45860</v>
      </c>
      <c r="B147" s="227" t="s">
        <v>193</v>
      </c>
      <c r="C147" s="227" t="s">
        <v>258</v>
      </c>
      <c r="D147" s="228">
        <v>400</v>
      </c>
      <c r="E147" s="231">
        <v>1487.7</v>
      </c>
      <c r="F147" s="231">
        <v>1513.1</v>
      </c>
      <c r="G147" s="228">
        <v>-25.4</v>
      </c>
      <c r="H147" s="229">
        <v>-1.6799999999999999E-2</v>
      </c>
      <c r="I147" s="231">
        <v>1486.3</v>
      </c>
      <c r="J147" s="231">
        <v>1512.3</v>
      </c>
      <c r="K147" s="228">
        <v>-26</v>
      </c>
      <c r="L147" s="229">
        <v>-1.72E-2</v>
      </c>
      <c r="M147" s="231">
        <v>1487.7</v>
      </c>
      <c r="N147" s="231">
        <v>1513.1</v>
      </c>
      <c r="O147" s="228">
        <v>-25.4</v>
      </c>
      <c r="P147" s="229">
        <v>-1.6799999999999999E-2</v>
      </c>
      <c r="Q147" s="228">
        <v>0</v>
      </c>
      <c r="R147" s="228">
        <v>0</v>
      </c>
      <c r="S147" s="228">
        <v>0</v>
      </c>
      <c r="T147" s="229">
        <v>0</v>
      </c>
      <c r="U147" s="228">
        <v>0</v>
      </c>
      <c r="V147" s="228">
        <v>0</v>
      </c>
      <c r="W147" s="228">
        <v>0</v>
      </c>
      <c r="X147" s="229">
        <v>0</v>
      </c>
      <c r="Y147" s="228">
        <v>1.4</v>
      </c>
      <c r="Z147" s="228">
        <v>0.8</v>
      </c>
      <c r="AA147" s="228">
        <v>0.6</v>
      </c>
      <c r="AB147" s="229">
        <v>8.9999999999999998E-4</v>
      </c>
      <c r="AC147" s="228">
        <v>1.4</v>
      </c>
      <c r="AD147" s="228">
        <v>0.8</v>
      </c>
      <c r="AE147" s="228">
        <v>0.6</v>
      </c>
      <c r="AF147" s="229">
        <v>8.9999999999999998E-4</v>
      </c>
      <c r="AG147" s="228">
        <v>0</v>
      </c>
      <c r="AH147" s="228">
        <v>0</v>
      </c>
      <c r="AI147" s="228">
        <v>0</v>
      </c>
      <c r="AJ147" s="229">
        <v>0</v>
      </c>
      <c r="AK147" s="228">
        <v>0</v>
      </c>
      <c r="AL147" s="228">
        <v>0</v>
      </c>
      <c r="AM147" s="228">
        <v>0</v>
      </c>
      <c r="AN147" s="229">
        <v>0</v>
      </c>
      <c r="AO147" s="231">
        <v>1522.23</v>
      </c>
      <c r="AP147" s="228">
        <v>0</v>
      </c>
      <c r="AQ147" s="228">
        <v>0</v>
      </c>
      <c r="AR147" s="230">
        <v>3992400</v>
      </c>
      <c r="AS147" s="230">
        <v>277200</v>
      </c>
      <c r="AT147" s="230">
        <v>3715200</v>
      </c>
      <c r="AU147" s="229">
        <v>13.4026</v>
      </c>
      <c r="AV147" s="230">
        <v>3992400</v>
      </c>
      <c r="AW147" s="230">
        <v>277200</v>
      </c>
      <c r="AX147" s="230">
        <v>3715200</v>
      </c>
      <c r="AY147" s="229">
        <v>13.4026</v>
      </c>
      <c r="AZ147" s="228">
        <v>0</v>
      </c>
      <c r="BA147" s="228">
        <v>0</v>
      </c>
      <c r="BB147" s="228">
        <v>0</v>
      </c>
      <c r="BC147" s="229">
        <v>0</v>
      </c>
      <c r="BD147" s="228">
        <v>0</v>
      </c>
      <c r="BE147" s="228">
        <v>0</v>
      </c>
      <c r="BF147" s="228">
        <v>0</v>
      </c>
      <c r="BG147" s="229">
        <v>0</v>
      </c>
      <c r="BH147" s="230">
        <v>22525200</v>
      </c>
      <c r="BI147" s="230">
        <v>697600</v>
      </c>
      <c r="BJ147" s="230">
        <v>21827600</v>
      </c>
      <c r="BK147" s="229">
        <v>31.2896</v>
      </c>
      <c r="BL147" s="230">
        <v>9671600</v>
      </c>
      <c r="BM147" s="230">
        <v>450400</v>
      </c>
      <c r="BN147" s="230">
        <v>9221200</v>
      </c>
      <c r="BO147" s="229">
        <v>20.473400000000002</v>
      </c>
      <c r="BP147" s="230">
        <v>36189200</v>
      </c>
      <c r="BQ147" s="230">
        <v>1425200</v>
      </c>
      <c r="BR147" s="230">
        <v>34764000</v>
      </c>
      <c r="BS147" s="229">
        <v>24.392399999999999</v>
      </c>
      <c r="BT147" s="230">
        <v>2387974</v>
      </c>
      <c r="BU147" s="230">
        <v>185645</v>
      </c>
      <c r="BV147" s="230">
        <v>2202329</v>
      </c>
      <c r="BW147" s="229">
        <v>11.863099999999999</v>
      </c>
      <c r="BX147" s="230">
        <v>1902400</v>
      </c>
      <c r="BY147" s="230">
        <v>1858800</v>
      </c>
      <c r="BZ147" s="230">
        <v>43600</v>
      </c>
      <c r="CA147" s="229">
        <v>2.35E-2</v>
      </c>
      <c r="CB147" s="230">
        <v>1902400</v>
      </c>
      <c r="CC147" s="230">
        <v>1858800</v>
      </c>
      <c r="CD147" s="230">
        <v>43600</v>
      </c>
      <c r="CE147" s="229">
        <v>2.35E-2</v>
      </c>
      <c r="CF147" s="228">
        <v>0</v>
      </c>
      <c r="CG147" s="228">
        <v>0</v>
      </c>
      <c r="CH147" s="228">
        <v>0</v>
      </c>
      <c r="CI147" s="229">
        <v>0</v>
      </c>
      <c r="CJ147" s="228">
        <v>0</v>
      </c>
      <c r="CK147" s="228">
        <v>0</v>
      </c>
      <c r="CL147" s="228">
        <v>0</v>
      </c>
      <c r="CM147" s="229">
        <v>0</v>
      </c>
      <c r="CN147" s="230">
        <v>3577600</v>
      </c>
      <c r="CO147" s="230">
        <v>1804400</v>
      </c>
      <c r="CP147" s="230">
        <v>1773200</v>
      </c>
      <c r="CQ147" s="229">
        <v>0.98270000000000002</v>
      </c>
      <c r="CR147" s="230">
        <v>1686400</v>
      </c>
      <c r="CS147" s="230">
        <v>1366800</v>
      </c>
      <c r="CT147" s="230">
        <v>319600</v>
      </c>
      <c r="CU147" s="229">
        <v>0.23380000000000001</v>
      </c>
      <c r="CV147" s="230">
        <v>7166400</v>
      </c>
      <c r="CW147" s="230">
        <v>5030000</v>
      </c>
      <c r="CX147" s="230">
        <v>2136400</v>
      </c>
      <c r="CY147" s="229">
        <v>0.42470000000000002</v>
      </c>
      <c r="CZ147" s="228">
        <v>38.229999999999997</v>
      </c>
      <c r="DA147" s="228">
        <v>37.799999999999997</v>
      </c>
      <c r="DB147" s="228">
        <v>0.43</v>
      </c>
      <c r="DC147" s="228">
        <v>0.43</v>
      </c>
      <c r="DD147" s="228">
        <v>45.12</v>
      </c>
      <c r="DE147" s="228">
        <v>45.17</v>
      </c>
      <c r="DF147" s="228">
        <v>-6.89</v>
      </c>
      <c r="DG147" s="228">
        <v>-0.05</v>
      </c>
      <c r="DH147" s="228">
        <v>38.96</v>
      </c>
      <c r="DI147" s="228">
        <v>38.049999999999997</v>
      </c>
      <c r="DJ147" s="228">
        <v>0.91</v>
      </c>
      <c r="DK147" s="228">
        <v>0.91</v>
      </c>
      <c r="DL147" s="228">
        <v>36.520000000000003</v>
      </c>
      <c r="DM147" s="228">
        <v>37.409999999999997</v>
      </c>
      <c r="DN147" s="228">
        <v>-0.89</v>
      </c>
      <c r="DO147" s="228">
        <v>-0.89</v>
      </c>
      <c r="DP147" s="228">
        <v>0.47</v>
      </c>
      <c r="DQ147" s="228">
        <v>0.76</v>
      </c>
      <c r="DR147" s="228">
        <v>-0.28999999999999998</v>
      </c>
      <c r="DS147" s="229">
        <v>-0.38159999999999999</v>
      </c>
      <c r="DT147" s="231">
        <v>1600</v>
      </c>
      <c r="DU147" s="231">
        <v>1400</v>
      </c>
      <c r="DV147" s="228">
        <v>0.43</v>
      </c>
      <c r="DW147" s="228">
        <v>0.65</v>
      </c>
      <c r="DX147" s="228">
        <v>-0.22</v>
      </c>
      <c r="DY147" s="229">
        <v>-0.33850000000000002</v>
      </c>
      <c r="DZ147" s="229">
        <v>0</v>
      </c>
      <c r="EA147" s="228">
        <v>0</v>
      </c>
      <c r="EB147" s="229">
        <v>0</v>
      </c>
      <c r="EC147" s="229">
        <v>0</v>
      </c>
      <c r="ED147" s="228">
        <v>0</v>
      </c>
      <c r="EE147" s="229">
        <v>0</v>
      </c>
      <c r="EF147" s="230">
        <v>542611</v>
      </c>
      <c r="EG147" s="230">
        <v>98379</v>
      </c>
      <c r="EH147" s="229">
        <v>4.5155000000000003</v>
      </c>
      <c r="EI147" s="229">
        <v>0.22720000000000001</v>
      </c>
      <c r="EJ147" s="231">
        <v>359534.02</v>
      </c>
      <c r="EK147" s="231">
        <v>145573.51999999999</v>
      </c>
      <c r="EL147" s="231">
        <v>60773.52</v>
      </c>
      <c r="EM147" s="228">
        <v>0</v>
      </c>
      <c r="EN147" s="231">
        <v>565881.06000000006</v>
      </c>
      <c r="EO147" s="231">
        <v>22015.82</v>
      </c>
      <c r="EP147" s="231">
        <v>543865.24</v>
      </c>
      <c r="EQ147" s="229">
        <v>24.703399999999998</v>
      </c>
      <c r="ER147" s="231">
        <v>56542</v>
      </c>
      <c r="ES147" s="231">
        <v>24085</v>
      </c>
      <c r="ET147" s="231">
        <v>28302</v>
      </c>
      <c r="EU147" s="231">
        <v>13335005</v>
      </c>
      <c r="EV147" s="231">
        <v>108930</v>
      </c>
      <c r="EW147" s="231">
        <v>76071</v>
      </c>
      <c r="EX147" s="231">
        <v>32859</v>
      </c>
      <c r="EY147" s="229">
        <v>0.432</v>
      </c>
      <c r="EZ147" s="229">
        <v>0.53739999999999999</v>
      </c>
      <c r="FA147" s="227" t="s">
        <v>567</v>
      </c>
      <c r="FB147" s="161">
        <f t="shared" si="3"/>
        <v>0</v>
      </c>
    </row>
    <row r="148" spans="1:158" ht="17.25" thickBot="1" x14ac:dyDescent="0.3">
      <c r="A148" s="226">
        <v>45860</v>
      </c>
      <c r="B148" s="227" t="s">
        <v>181</v>
      </c>
      <c r="C148" s="227" t="s">
        <v>563</v>
      </c>
      <c r="D148" s="228">
        <v>140</v>
      </c>
      <c r="E148" s="231">
        <v>13220.05</v>
      </c>
      <c r="F148" s="231">
        <v>13336.35</v>
      </c>
      <c r="G148" s="228">
        <v>-116.3</v>
      </c>
      <c r="H148" s="229">
        <v>-8.6999999999999994E-3</v>
      </c>
      <c r="I148" s="231">
        <v>13206.6</v>
      </c>
      <c r="J148" s="231">
        <v>13301</v>
      </c>
      <c r="K148" s="228">
        <v>-94.4</v>
      </c>
      <c r="L148" s="229">
        <v>-7.1000000000000004E-3</v>
      </c>
      <c r="M148" s="231">
        <v>13220.05</v>
      </c>
      <c r="N148" s="231">
        <v>13336.35</v>
      </c>
      <c r="O148" s="228">
        <v>-116.3</v>
      </c>
      <c r="P148" s="229">
        <v>-8.6999999999999994E-3</v>
      </c>
      <c r="Q148" s="231">
        <v>13269.05</v>
      </c>
      <c r="R148" s="231">
        <v>13386.45</v>
      </c>
      <c r="S148" s="228">
        <v>-117.4</v>
      </c>
      <c r="T148" s="229">
        <v>-8.8000000000000005E-3</v>
      </c>
      <c r="U148" s="228">
        <v>0</v>
      </c>
      <c r="V148" s="228">
        <v>0</v>
      </c>
      <c r="W148" s="228">
        <v>0</v>
      </c>
      <c r="X148" s="229">
        <v>0</v>
      </c>
      <c r="Y148" s="228">
        <v>13.45</v>
      </c>
      <c r="Z148" s="228">
        <v>35.35</v>
      </c>
      <c r="AA148" s="228">
        <v>-21.9</v>
      </c>
      <c r="AB148" s="229">
        <v>1E-3</v>
      </c>
      <c r="AC148" s="228">
        <v>13.45</v>
      </c>
      <c r="AD148" s="228">
        <v>35.35</v>
      </c>
      <c r="AE148" s="228">
        <v>-21.9</v>
      </c>
      <c r="AF148" s="229">
        <v>1E-3</v>
      </c>
      <c r="AG148" s="228">
        <v>62.45</v>
      </c>
      <c r="AH148" s="228">
        <v>85.45</v>
      </c>
      <c r="AI148" s="228">
        <v>-23</v>
      </c>
      <c r="AJ148" s="229">
        <v>4.7000000000000002E-3</v>
      </c>
      <c r="AK148" s="228">
        <v>0</v>
      </c>
      <c r="AL148" s="228">
        <v>0</v>
      </c>
      <c r="AM148" s="228">
        <v>0</v>
      </c>
      <c r="AN148" s="229">
        <v>0</v>
      </c>
      <c r="AO148" s="231">
        <v>13262.69</v>
      </c>
      <c r="AP148" s="231">
        <v>13306.79</v>
      </c>
      <c r="AQ148" s="228">
        <v>0</v>
      </c>
      <c r="AR148" s="230">
        <v>418180</v>
      </c>
      <c r="AS148" s="230">
        <v>506380</v>
      </c>
      <c r="AT148" s="230">
        <v>-88200</v>
      </c>
      <c r="AU148" s="229">
        <v>-0.17419999999999999</v>
      </c>
      <c r="AV148" s="230">
        <v>353220</v>
      </c>
      <c r="AW148" s="230">
        <v>444080</v>
      </c>
      <c r="AX148" s="230">
        <v>-90860</v>
      </c>
      <c r="AY148" s="229">
        <v>-0.2046</v>
      </c>
      <c r="AZ148" s="230">
        <v>62440</v>
      </c>
      <c r="BA148" s="230">
        <v>58800</v>
      </c>
      <c r="BB148" s="230">
        <v>3640</v>
      </c>
      <c r="BC148" s="229">
        <v>6.1899999999999997E-2</v>
      </c>
      <c r="BD148" s="228">
        <v>0</v>
      </c>
      <c r="BE148" s="228">
        <v>0</v>
      </c>
      <c r="BF148" s="228">
        <v>0</v>
      </c>
      <c r="BG148" s="229">
        <v>0</v>
      </c>
      <c r="BH148" s="230">
        <v>26659220</v>
      </c>
      <c r="BI148" s="230">
        <v>24054800</v>
      </c>
      <c r="BJ148" s="230">
        <v>2604420</v>
      </c>
      <c r="BK148" s="229">
        <v>0.10829999999999999</v>
      </c>
      <c r="BL148" s="230">
        <v>22603840</v>
      </c>
      <c r="BM148" s="230">
        <v>21690480</v>
      </c>
      <c r="BN148" s="230">
        <v>913360</v>
      </c>
      <c r="BO148" s="229">
        <v>4.2099999999999999E-2</v>
      </c>
      <c r="BP148" s="230">
        <v>49681240</v>
      </c>
      <c r="BQ148" s="230">
        <v>46251660</v>
      </c>
      <c r="BR148" s="230">
        <v>3429580</v>
      </c>
      <c r="BS148" s="229">
        <v>7.4200000000000002E-2</v>
      </c>
      <c r="BT148" s="228">
        <v>0</v>
      </c>
      <c r="BU148" s="228">
        <v>0</v>
      </c>
      <c r="BV148" s="228">
        <v>0</v>
      </c>
      <c r="BW148" s="229">
        <v>0</v>
      </c>
      <c r="BX148" s="230">
        <v>2296700</v>
      </c>
      <c r="BY148" s="230">
        <v>2336320</v>
      </c>
      <c r="BZ148" s="230">
        <v>-39620</v>
      </c>
      <c r="CA148" s="229">
        <v>-1.7000000000000001E-2</v>
      </c>
      <c r="CB148" s="230">
        <v>2145360</v>
      </c>
      <c r="CC148" s="230">
        <v>2196460</v>
      </c>
      <c r="CD148" s="230">
        <v>-51100</v>
      </c>
      <c r="CE148" s="229">
        <v>-2.3300000000000001E-2</v>
      </c>
      <c r="CF148" s="230">
        <v>137760</v>
      </c>
      <c r="CG148" s="230">
        <v>127260</v>
      </c>
      <c r="CH148" s="230">
        <v>10500</v>
      </c>
      <c r="CI148" s="229">
        <v>8.2500000000000004E-2</v>
      </c>
      <c r="CJ148" s="228">
        <v>0</v>
      </c>
      <c r="CK148" s="228">
        <v>0</v>
      </c>
      <c r="CL148" s="228">
        <v>0</v>
      </c>
      <c r="CM148" s="229">
        <v>0</v>
      </c>
      <c r="CN148" s="230">
        <v>11876900</v>
      </c>
      <c r="CO148" s="230">
        <v>10157700</v>
      </c>
      <c r="CP148" s="230">
        <v>1719200</v>
      </c>
      <c r="CQ148" s="229">
        <v>0.16930000000000001</v>
      </c>
      <c r="CR148" s="230">
        <v>9441880</v>
      </c>
      <c r="CS148" s="230">
        <v>9016420</v>
      </c>
      <c r="CT148" s="230">
        <v>425460</v>
      </c>
      <c r="CU148" s="229">
        <v>4.7199999999999999E-2</v>
      </c>
      <c r="CV148" s="230">
        <v>23615480</v>
      </c>
      <c r="CW148" s="230">
        <v>21510440</v>
      </c>
      <c r="CX148" s="230">
        <v>2105040</v>
      </c>
      <c r="CY148" s="229">
        <v>9.7900000000000001E-2</v>
      </c>
      <c r="CZ148" s="228">
        <v>16.14</v>
      </c>
      <c r="DA148" s="228">
        <v>16.440000000000001</v>
      </c>
      <c r="DB148" s="228">
        <v>-0.3</v>
      </c>
      <c r="DC148" s="228">
        <v>-0.3</v>
      </c>
      <c r="DD148" s="228">
        <v>24.2</v>
      </c>
      <c r="DE148" s="228">
        <v>24.23</v>
      </c>
      <c r="DF148" s="228">
        <v>-8.06</v>
      </c>
      <c r="DG148" s="228">
        <v>-0.03</v>
      </c>
      <c r="DH148" s="228">
        <v>15.95</v>
      </c>
      <c r="DI148" s="228">
        <v>15.63</v>
      </c>
      <c r="DJ148" s="228">
        <v>0.32</v>
      </c>
      <c r="DK148" s="228">
        <v>0.32</v>
      </c>
      <c r="DL148" s="228">
        <v>16.36</v>
      </c>
      <c r="DM148" s="228">
        <v>17.329999999999998</v>
      </c>
      <c r="DN148" s="228">
        <v>-0.97</v>
      </c>
      <c r="DO148" s="228">
        <v>-0.97</v>
      </c>
      <c r="DP148" s="228">
        <v>0.79</v>
      </c>
      <c r="DQ148" s="228">
        <v>0.89</v>
      </c>
      <c r="DR148" s="228">
        <v>-0.1</v>
      </c>
      <c r="DS148" s="229">
        <v>-0.1124</v>
      </c>
      <c r="DT148" s="231">
        <v>14000</v>
      </c>
      <c r="DU148" s="231">
        <v>13000</v>
      </c>
      <c r="DV148" s="228">
        <v>0.85</v>
      </c>
      <c r="DW148" s="228">
        <v>0.9</v>
      </c>
      <c r="DX148" s="228">
        <v>-0.05</v>
      </c>
      <c r="DY148" s="229">
        <v>-5.5599999999999997E-2</v>
      </c>
      <c r="DZ148" s="229">
        <v>0.06</v>
      </c>
      <c r="EA148" s="230">
        <v>127260</v>
      </c>
      <c r="EB148" s="229">
        <v>3.7000000000000002E-3</v>
      </c>
      <c r="EC148" s="229">
        <v>0.06</v>
      </c>
      <c r="ED148" s="228">
        <v>44.1</v>
      </c>
      <c r="EE148" s="229">
        <v>3.3E-3</v>
      </c>
      <c r="EF148" s="228">
        <v>0</v>
      </c>
      <c r="EG148" s="228">
        <v>0</v>
      </c>
      <c r="EH148" s="229">
        <v>0</v>
      </c>
      <c r="EI148" s="229">
        <v>0</v>
      </c>
      <c r="EJ148" s="231">
        <v>3625791.91</v>
      </c>
      <c r="EK148" s="231">
        <v>2971393.18</v>
      </c>
      <c r="EL148" s="231">
        <v>55491.96</v>
      </c>
      <c r="EM148" s="228">
        <v>0</v>
      </c>
      <c r="EN148" s="231">
        <v>6652677.0499999998</v>
      </c>
      <c r="EO148" s="231">
        <v>6176299.5499999998</v>
      </c>
      <c r="EP148" s="231">
        <v>476377.5</v>
      </c>
      <c r="EQ148" s="229">
        <v>7.7100000000000002E-2</v>
      </c>
      <c r="ER148" s="231">
        <v>1628771</v>
      </c>
      <c r="ES148" s="231">
        <v>1204978</v>
      </c>
      <c r="ET148" s="231">
        <v>303708</v>
      </c>
      <c r="EU148" s="228">
        <v>0</v>
      </c>
      <c r="EV148" s="231">
        <v>3137456</v>
      </c>
      <c r="EW148" s="231">
        <v>2858391</v>
      </c>
      <c r="EX148" s="231">
        <v>279065</v>
      </c>
      <c r="EY148" s="229">
        <v>9.7600000000000006E-2</v>
      </c>
      <c r="EZ148" s="229">
        <v>0</v>
      </c>
      <c r="FA148" s="227" t="s">
        <v>568</v>
      </c>
      <c r="FB148" s="161">
        <f t="shared" si="3"/>
        <v>0</v>
      </c>
    </row>
    <row r="149" spans="1:158" ht="17.25" thickBot="1" x14ac:dyDescent="0.3">
      <c r="A149" s="226">
        <v>45860</v>
      </c>
      <c r="B149" s="227" t="s">
        <v>162</v>
      </c>
      <c r="C149" s="227" t="s">
        <v>559</v>
      </c>
      <c r="D149" s="228">
        <v>6150</v>
      </c>
      <c r="E149" s="228">
        <v>97.36</v>
      </c>
      <c r="F149" s="228">
        <v>100.95</v>
      </c>
      <c r="G149" s="228">
        <v>-3.59</v>
      </c>
      <c r="H149" s="229">
        <v>-3.56E-2</v>
      </c>
      <c r="I149" s="228">
        <v>97.24</v>
      </c>
      <c r="J149" s="228">
        <v>100.81</v>
      </c>
      <c r="K149" s="228">
        <v>-3.57</v>
      </c>
      <c r="L149" s="229">
        <v>-3.5400000000000001E-2</v>
      </c>
      <c r="M149" s="228">
        <v>97.36</v>
      </c>
      <c r="N149" s="228">
        <v>100.95</v>
      </c>
      <c r="O149" s="228">
        <v>-3.59</v>
      </c>
      <c r="P149" s="229">
        <v>-3.56E-2</v>
      </c>
      <c r="Q149" s="228">
        <v>97.87</v>
      </c>
      <c r="R149" s="228">
        <v>101.49</v>
      </c>
      <c r="S149" s="228">
        <v>-3.62</v>
      </c>
      <c r="T149" s="229">
        <v>-3.5700000000000003E-2</v>
      </c>
      <c r="U149" s="228">
        <v>0</v>
      </c>
      <c r="V149" s="228">
        <v>0</v>
      </c>
      <c r="W149" s="228">
        <v>0</v>
      </c>
      <c r="X149" s="229">
        <v>0</v>
      </c>
      <c r="Y149" s="228">
        <v>0.12</v>
      </c>
      <c r="Z149" s="228">
        <v>0.14000000000000001</v>
      </c>
      <c r="AA149" s="228">
        <v>-0.02</v>
      </c>
      <c r="AB149" s="229">
        <v>1.1999999999999999E-3</v>
      </c>
      <c r="AC149" s="228">
        <v>0.12</v>
      </c>
      <c r="AD149" s="228">
        <v>0.14000000000000001</v>
      </c>
      <c r="AE149" s="228">
        <v>-0.02</v>
      </c>
      <c r="AF149" s="229">
        <v>1.1999999999999999E-3</v>
      </c>
      <c r="AG149" s="228">
        <v>0.63</v>
      </c>
      <c r="AH149" s="228">
        <v>0.68</v>
      </c>
      <c r="AI149" s="228">
        <v>-0.05</v>
      </c>
      <c r="AJ149" s="229">
        <v>6.4999999999999997E-3</v>
      </c>
      <c r="AK149" s="228">
        <v>0</v>
      </c>
      <c r="AL149" s="228">
        <v>0</v>
      </c>
      <c r="AM149" s="228">
        <v>0</v>
      </c>
      <c r="AN149" s="229">
        <v>0</v>
      </c>
      <c r="AO149" s="228">
        <v>98.72</v>
      </c>
      <c r="AP149" s="228">
        <v>99.17</v>
      </c>
      <c r="AQ149" s="228">
        <v>0</v>
      </c>
      <c r="AR149" s="230">
        <v>21875550</v>
      </c>
      <c r="AS149" s="230">
        <v>14415600</v>
      </c>
      <c r="AT149" s="230">
        <v>7459950</v>
      </c>
      <c r="AU149" s="229">
        <v>0.51749999999999996</v>
      </c>
      <c r="AV149" s="230">
        <v>16715700</v>
      </c>
      <c r="AW149" s="230">
        <v>12133950</v>
      </c>
      <c r="AX149" s="230">
        <v>4581750</v>
      </c>
      <c r="AY149" s="229">
        <v>0.37759999999999999</v>
      </c>
      <c r="AZ149" s="230">
        <v>4538700</v>
      </c>
      <c r="BA149" s="230">
        <v>2084850</v>
      </c>
      <c r="BB149" s="230">
        <v>2453850</v>
      </c>
      <c r="BC149" s="229">
        <v>1.177</v>
      </c>
      <c r="BD149" s="228">
        <v>0</v>
      </c>
      <c r="BE149" s="228">
        <v>0</v>
      </c>
      <c r="BF149" s="228">
        <v>0</v>
      </c>
      <c r="BG149" s="229">
        <v>0</v>
      </c>
      <c r="BH149" s="230">
        <v>51819900</v>
      </c>
      <c r="BI149" s="230">
        <v>32841000</v>
      </c>
      <c r="BJ149" s="230">
        <v>18978900</v>
      </c>
      <c r="BK149" s="229">
        <v>0.57789999999999997</v>
      </c>
      <c r="BL149" s="230">
        <v>27558150</v>
      </c>
      <c r="BM149" s="230">
        <v>12650550</v>
      </c>
      <c r="BN149" s="230">
        <v>14907600</v>
      </c>
      <c r="BO149" s="229">
        <v>1.1783999999999999</v>
      </c>
      <c r="BP149" s="230">
        <v>101253600</v>
      </c>
      <c r="BQ149" s="230">
        <v>59907150</v>
      </c>
      <c r="BR149" s="230">
        <v>41346450</v>
      </c>
      <c r="BS149" s="229">
        <v>0.69020000000000004</v>
      </c>
      <c r="BT149" s="230">
        <v>13627623</v>
      </c>
      <c r="BU149" s="230">
        <v>12809091</v>
      </c>
      <c r="BV149" s="230">
        <v>818532</v>
      </c>
      <c r="BW149" s="229">
        <v>6.3899999999999998E-2</v>
      </c>
      <c r="BX149" s="230">
        <v>148620900</v>
      </c>
      <c r="BY149" s="230">
        <v>146154750</v>
      </c>
      <c r="BZ149" s="230">
        <v>2466150</v>
      </c>
      <c r="CA149" s="229">
        <v>1.6899999999999998E-2</v>
      </c>
      <c r="CB149" s="230">
        <v>137575500</v>
      </c>
      <c r="CC149" s="230">
        <v>137520150</v>
      </c>
      <c r="CD149" s="230">
        <v>55350</v>
      </c>
      <c r="CE149" s="229">
        <v>4.0000000000000002E-4</v>
      </c>
      <c r="CF149" s="230">
        <v>9409500</v>
      </c>
      <c r="CG149" s="230">
        <v>7410750</v>
      </c>
      <c r="CH149" s="230">
        <v>1998750</v>
      </c>
      <c r="CI149" s="229">
        <v>0.2697</v>
      </c>
      <c r="CJ149" s="228">
        <v>0</v>
      </c>
      <c r="CK149" s="228">
        <v>0</v>
      </c>
      <c r="CL149" s="228">
        <v>0</v>
      </c>
      <c r="CM149" s="229">
        <v>0</v>
      </c>
      <c r="CN149" s="230">
        <v>46819950</v>
      </c>
      <c r="CO149" s="230">
        <v>42877800</v>
      </c>
      <c r="CP149" s="230">
        <v>3942150</v>
      </c>
      <c r="CQ149" s="229">
        <v>9.1899999999999996E-2</v>
      </c>
      <c r="CR149" s="230">
        <v>24655350</v>
      </c>
      <c r="CS149" s="230">
        <v>23806650</v>
      </c>
      <c r="CT149" s="230">
        <v>848700</v>
      </c>
      <c r="CU149" s="229">
        <v>3.56E-2</v>
      </c>
      <c r="CV149" s="230">
        <v>220096200</v>
      </c>
      <c r="CW149" s="230">
        <v>212839200</v>
      </c>
      <c r="CX149" s="230">
        <v>7257000</v>
      </c>
      <c r="CY149" s="229">
        <v>3.4099999999999998E-2</v>
      </c>
      <c r="CZ149" s="228">
        <v>33.65</v>
      </c>
      <c r="DA149" s="228">
        <v>30.69</v>
      </c>
      <c r="DB149" s="228">
        <v>2.96</v>
      </c>
      <c r="DC149" s="228">
        <v>2.96</v>
      </c>
      <c r="DD149" s="228">
        <v>41.62</v>
      </c>
      <c r="DE149" s="228">
        <v>41.44</v>
      </c>
      <c r="DF149" s="228">
        <v>-7.97</v>
      </c>
      <c r="DG149" s="228">
        <v>0.18</v>
      </c>
      <c r="DH149" s="228">
        <v>34.85</v>
      </c>
      <c r="DI149" s="228">
        <v>31.11</v>
      </c>
      <c r="DJ149" s="228">
        <v>3.74</v>
      </c>
      <c r="DK149" s="228">
        <v>3.74</v>
      </c>
      <c r="DL149" s="228">
        <v>31.41</v>
      </c>
      <c r="DM149" s="228">
        <v>29.59</v>
      </c>
      <c r="DN149" s="228">
        <v>1.82</v>
      </c>
      <c r="DO149" s="228">
        <v>1.82</v>
      </c>
      <c r="DP149" s="228">
        <v>0.53</v>
      </c>
      <c r="DQ149" s="228">
        <v>0.56000000000000005</v>
      </c>
      <c r="DR149" s="228">
        <v>-0.03</v>
      </c>
      <c r="DS149" s="229">
        <v>-5.3600000000000002E-2</v>
      </c>
      <c r="DT149" s="228">
        <v>106.65</v>
      </c>
      <c r="DU149" s="228">
        <v>103.35</v>
      </c>
      <c r="DV149" s="228">
        <v>0.53</v>
      </c>
      <c r="DW149" s="228">
        <v>0.39</v>
      </c>
      <c r="DX149" s="228">
        <v>0.14000000000000001</v>
      </c>
      <c r="DY149" s="229">
        <v>0.35899999999999999</v>
      </c>
      <c r="DZ149" s="229">
        <v>6.3299999999999995E-2</v>
      </c>
      <c r="EA149" s="230">
        <v>7410750</v>
      </c>
      <c r="EB149" s="229">
        <v>5.1999999999999998E-3</v>
      </c>
      <c r="EC149" s="229">
        <v>6.3299999999999995E-2</v>
      </c>
      <c r="ED149" s="228">
        <v>0.45</v>
      </c>
      <c r="EE149" s="229">
        <v>4.5999999999999999E-3</v>
      </c>
      <c r="EF149" s="230">
        <v>6945884</v>
      </c>
      <c r="EG149" s="230">
        <v>8222226</v>
      </c>
      <c r="EH149" s="229">
        <v>-0.1552</v>
      </c>
      <c r="EI149" s="229">
        <v>0.50970000000000004</v>
      </c>
      <c r="EJ149" s="231">
        <v>54055.46</v>
      </c>
      <c r="EK149" s="231">
        <v>27919.040000000001</v>
      </c>
      <c r="EL149" s="231">
        <v>21621.14</v>
      </c>
      <c r="EM149" s="228">
        <v>0</v>
      </c>
      <c r="EN149" s="231">
        <v>103595.64</v>
      </c>
      <c r="EO149" s="231">
        <v>62186.67</v>
      </c>
      <c r="EP149" s="231">
        <v>41408.97</v>
      </c>
      <c r="EQ149" s="229">
        <v>0.66590000000000005</v>
      </c>
      <c r="ER149" s="231">
        <v>49818</v>
      </c>
      <c r="ES149" s="231">
        <v>24292</v>
      </c>
      <c r="ET149" s="231">
        <v>144763</v>
      </c>
      <c r="EU149" s="231">
        <v>883911758</v>
      </c>
      <c r="EV149" s="231">
        <v>218873</v>
      </c>
      <c r="EW149" s="231">
        <v>217172</v>
      </c>
      <c r="EX149" s="231">
        <v>1701</v>
      </c>
      <c r="EY149" s="229">
        <v>7.7999999999999996E-3</v>
      </c>
      <c r="EZ149" s="229">
        <v>0.249</v>
      </c>
      <c r="FA149" s="227" t="s">
        <v>567</v>
      </c>
      <c r="FB149" s="161">
        <f t="shared" si="3"/>
        <v>0</v>
      </c>
    </row>
    <row r="150" spans="1:158" ht="17.25" thickBot="1" x14ac:dyDescent="0.3">
      <c r="A150" s="226">
        <v>45860</v>
      </c>
      <c r="B150" s="227" t="s">
        <v>221</v>
      </c>
      <c r="C150" s="227" t="s">
        <v>487</v>
      </c>
      <c r="D150" s="228">
        <v>275</v>
      </c>
      <c r="E150" s="231">
        <v>2784.3</v>
      </c>
      <c r="F150" s="231">
        <v>2806.6</v>
      </c>
      <c r="G150" s="228">
        <v>-22.3</v>
      </c>
      <c r="H150" s="229">
        <v>-7.9000000000000008E-3</v>
      </c>
      <c r="I150" s="231">
        <v>2777.2</v>
      </c>
      <c r="J150" s="231">
        <v>2802.9</v>
      </c>
      <c r="K150" s="228">
        <v>-25.7</v>
      </c>
      <c r="L150" s="229">
        <v>-9.1999999999999998E-3</v>
      </c>
      <c r="M150" s="231">
        <v>2784.3</v>
      </c>
      <c r="N150" s="231">
        <v>2806.6</v>
      </c>
      <c r="O150" s="228">
        <v>-22.3</v>
      </c>
      <c r="P150" s="229">
        <v>-7.9000000000000008E-3</v>
      </c>
      <c r="Q150" s="231">
        <v>2798</v>
      </c>
      <c r="R150" s="231">
        <v>2821</v>
      </c>
      <c r="S150" s="228">
        <v>-23</v>
      </c>
      <c r="T150" s="229">
        <v>-8.2000000000000007E-3</v>
      </c>
      <c r="U150" s="228">
        <v>0</v>
      </c>
      <c r="V150" s="228">
        <v>0</v>
      </c>
      <c r="W150" s="228">
        <v>0</v>
      </c>
      <c r="X150" s="229">
        <v>0</v>
      </c>
      <c r="Y150" s="228">
        <v>7.1</v>
      </c>
      <c r="Z150" s="228">
        <v>3.7</v>
      </c>
      <c r="AA150" s="228">
        <v>3.4</v>
      </c>
      <c r="AB150" s="229">
        <v>2.5999999999999999E-3</v>
      </c>
      <c r="AC150" s="228">
        <v>7.1</v>
      </c>
      <c r="AD150" s="228">
        <v>3.7</v>
      </c>
      <c r="AE150" s="228">
        <v>3.4</v>
      </c>
      <c r="AF150" s="229">
        <v>2.5999999999999999E-3</v>
      </c>
      <c r="AG150" s="228">
        <v>20.8</v>
      </c>
      <c r="AH150" s="228">
        <v>18.100000000000001</v>
      </c>
      <c r="AI150" s="228">
        <v>2.7</v>
      </c>
      <c r="AJ150" s="229">
        <v>7.4999999999999997E-3</v>
      </c>
      <c r="AK150" s="228">
        <v>0</v>
      </c>
      <c r="AL150" s="228">
        <v>0</v>
      </c>
      <c r="AM150" s="228">
        <v>0</v>
      </c>
      <c r="AN150" s="229">
        <v>0</v>
      </c>
      <c r="AO150" s="231">
        <v>2797.89</v>
      </c>
      <c r="AP150" s="231">
        <v>2811.7</v>
      </c>
      <c r="AQ150" s="228">
        <v>0</v>
      </c>
      <c r="AR150" s="230">
        <v>757075</v>
      </c>
      <c r="AS150" s="230">
        <v>1089275</v>
      </c>
      <c r="AT150" s="230">
        <v>-332200</v>
      </c>
      <c r="AU150" s="229">
        <v>-0.30499999999999999</v>
      </c>
      <c r="AV150" s="230">
        <v>726550</v>
      </c>
      <c r="AW150" s="230">
        <v>1027950</v>
      </c>
      <c r="AX150" s="230">
        <v>-301400</v>
      </c>
      <c r="AY150" s="229">
        <v>-0.29320000000000002</v>
      </c>
      <c r="AZ150" s="230">
        <v>30525</v>
      </c>
      <c r="BA150" s="230">
        <v>57750</v>
      </c>
      <c r="BB150" s="230">
        <v>-27225</v>
      </c>
      <c r="BC150" s="229">
        <v>-0.47139999999999999</v>
      </c>
      <c r="BD150" s="228">
        <v>0</v>
      </c>
      <c r="BE150" s="228">
        <v>0</v>
      </c>
      <c r="BF150" s="228">
        <v>0</v>
      </c>
      <c r="BG150" s="229">
        <v>0</v>
      </c>
      <c r="BH150" s="230">
        <v>389675</v>
      </c>
      <c r="BI150" s="230">
        <v>668800</v>
      </c>
      <c r="BJ150" s="230">
        <v>-279125</v>
      </c>
      <c r="BK150" s="229">
        <v>-0.41739999999999999</v>
      </c>
      <c r="BL150" s="230">
        <v>255475</v>
      </c>
      <c r="BM150" s="230">
        <v>376750</v>
      </c>
      <c r="BN150" s="230">
        <v>-121275</v>
      </c>
      <c r="BO150" s="229">
        <v>-0.32190000000000002</v>
      </c>
      <c r="BP150" s="230">
        <v>1402225</v>
      </c>
      <c r="BQ150" s="230">
        <v>2134825</v>
      </c>
      <c r="BR150" s="230">
        <v>-732600</v>
      </c>
      <c r="BS150" s="229">
        <v>-0.34320000000000001</v>
      </c>
      <c r="BT150" s="230">
        <v>122800</v>
      </c>
      <c r="BU150" s="230">
        <v>197669</v>
      </c>
      <c r="BV150" s="230">
        <v>-74869</v>
      </c>
      <c r="BW150" s="229">
        <v>-0.37880000000000003</v>
      </c>
      <c r="BX150" s="230">
        <v>4518250</v>
      </c>
      <c r="BY150" s="230">
        <v>4717350</v>
      </c>
      <c r="BZ150" s="230">
        <v>-199100</v>
      </c>
      <c r="CA150" s="229">
        <v>-4.2200000000000001E-2</v>
      </c>
      <c r="CB150" s="230">
        <v>4425025</v>
      </c>
      <c r="CC150" s="230">
        <v>4630175</v>
      </c>
      <c r="CD150" s="230">
        <v>-205150</v>
      </c>
      <c r="CE150" s="229">
        <v>-4.4299999999999999E-2</v>
      </c>
      <c r="CF150" s="230">
        <v>86350</v>
      </c>
      <c r="CG150" s="230">
        <v>80300</v>
      </c>
      <c r="CH150" s="230">
        <v>6050</v>
      </c>
      <c r="CI150" s="229">
        <v>7.5300000000000006E-2</v>
      </c>
      <c r="CJ150" s="228">
        <v>0</v>
      </c>
      <c r="CK150" s="228">
        <v>0</v>
      </c>
      <c r="CL150" s="228">
        <v>0</v>
      </c>
      <c r="CM150" s="229">
        <v>0</v>
      </c>
      <c r="CN150" s="230">
        <v>986700</v>
      </c>
      <c r="CO150" s="230">
        <v>1014475</v>
      </c>
      <c r="CP150" s="230">
        <v>-27775</v>
      </c>
      <c r="CQ150" s="229">
        <v>-2.7400000000000001E-2</v>
      </c>
      <c r="CR150" s="230">
        <v>952050</v>
      </c>
      <c r="CS150" s="230">
        <v>965250</v>
      </c>
      <c r="CT150" s="230">
        <v>-13200</v>
      </c>
      <c r="CU150" s="229">
        <v>-1.37E-2</v>
      </c>
      <c r="CV150" s="230">
        <v>6457000</v>
      </c>
      <c r="CW150" s="230">
        <v>6697075</v>
      </c>
      <c r="CX150" s="230">
        <v>-240075</v>
      </c>
      <c r="CY150" s="229">
        <v>-3.5799999999999998E-2</v>
      </c>
      <c r="CZ150" s="228">
        <v>38.6</v>
      </c>
      <c r="DA150" s="228">
        <v>37.64</v>
      </c>
      <c r="DB150" s="228">
        <v>0.96</v>
      </c>
      <c r="DC150" s="228">
        <v>0.96</v>
      </c>
      <c r="DD150" s="228">
        <v>38.67</v>
      </c>
      <c r="DE150" s="228">
        <v>38.75</v>
      </c>
      <c r="DF150" s="228">
        <v>-7.0000000000000007E-2</v>
      </c>
      <c r="DG150" s="228">
        <v>-0.08</v>
      </c>
      <c r="DH150" s="228">
        <v>38.67</v>
      </c>
      <c r="DI150" s="228">
        <v>37.99</v>
      </c>
      <c r="DJ150" s="228">
        <v>0.68</v>
      </c>
      <c r="DK150" s="228">
        <v>0.68</v>
      </c>
      <c r="DL150" s="228">
        <v>38.5</v>
      </c>
      <c r="DM150" s="228">
        <v>37.020000000000003</v>
      </c>
      <c r="DN150" s="228">
        <v>1.48</v>
      </c>
      <c r="DO150" s="228">
        <v>1.48</v>
      </c>
      <c r="DP150" s="228">
        <v>0.96</v>
      </c>
      <c r="DQ150" s="228">
        <v>0.95</v>
      </c>
      <c r="DR150" s="228">
        <v>0.01</v>
      </c>
      <c r="DS150" s="229">
        <v>1.0500000000000001E-2</v>
      </c>
      <c r="DT150" s="231">
        <v>2943</v>
      </c>
      <c r="DU150" s="231">
        <v>2743</v>
      </c>
      <c r="DV150" s="228">
        <v>0.66</v>
      </c>
      <c r="DW150" s="228">
        <v>0.56000000000000005</v>
      </c>
      <c r="DX150" s="228">
        <v>0.1</v>
      </c>
      <c r="DY150" s="229">
        <v>0.17860000000000001</v>
      </c>
      <c r="DZ150" s="229">
        <v>1.9099999999999999E-2</v>
      </c>
      <c r="EA150" s="230">
        <v>80300</v>
      </c>
      <c r="EB150" s="229">
        <v>4.8999999999999998E-3</v>
      </c>
      <c r="EC150" s="229">
        <v>1.9099999999999999E-2</v>
      </c>
      <c r="ED150" s="228">
        <v>13.81</v>
      </c>
      <c r="EE150" s="229">
        <v>4.8999999999999998E-3</v>
      </c>
      <c r="EF150" s="230">
        <v>63294</v>
      </c>
      <c r="EG150" s="230">
        <v>69682</v>
      </c>
      <c r="EH150" s="229">
        <v>-9.1700000000000004E-2</v>
      </c>
      <c r="EI150" s="229">
        <v>0.51539999999999997</v>
      </c>
      <c r="EJ150" s="231">
        <v>11374.21</v>
      </c>
      <c r="EK150" s="231">
        <v>7133.63</v>
      </c>
      <c r="EL150" s="231">
        <v>21186.35</v>
      </c>
      <c r="EM150" s="228">
        <v>0</v>
      </c>
      <c r="EN150" s="231">
        <v>39694.19</v>
      </c>
      <c r="EO150" s="231">
        <v>60972.45</v>
      </c>
      <c r="EP150" s="231">
        <v>-21278.26</v>
      </c>
      <c r="EQ150" s="229">
        <v>-0.34899999999999998</v>
      </c>
      <c r="ER150" s="231">
        <v>28668</v>
      </c>
      <c r="ES150" s="231">
        <v>25356</v>
      </c>
      <c r="ET150" s="231">
        <v>125817</v>
      </c>
      <c r="EU150" s="231">
        <v>22754935</v>
      </c>
      <c r="EV150" s="231">
        <v>179840</v>
      </c>
      <c r="EW150" s="231">
        <v>187612</v>
      </c>
      <c r="EX150" s="231">
        <v>-7772</v>
      </c>
      <c r="EY150" s="229">
        <v>-4.1399999999999999E-2</v>
      </c>
      <c r="EZ150" s="229">
        <v>0.2838</v>
      </c>
      <c r="FA150" s="227" t="s">
        <v>568</v>
      </c>
      <c r="FB150" s="161">
        <f t="shared" si="3"/>
        <v>0</v>
      </c>
    </row>
    <row r="151" spans="1:158" ht="17.25" thickBot="1" x14ac:dyDescent="0.3">
      <c r="A151" s="226">
        <v>45860</v>
      </c>
      <c r="B151" s="227" t="s">
        <v>175</v>
      </c>
      <c r="C151" s="227" t="s">
        <v>262</v>
      </c>
      <c r="D151" s="228">
        <v>275</v>
      </c>
      <c r="E151" s="231">
        <v>2668.1</v>
      </c>
      <c r="F151" s="231">
        <v>2678.2</v>
      </c>
      <c r="G151" s="228">
        <v>-10.1</v>
      </c>
      <c r="H151" s="229">
        <v>-3.8E-3</v>
      </c>
      <c r="I151" s="231">
        <v>2674.3</v>
      </c>
      <c r="J151" s="231">
        <v>2683.2</v>
      </c>
      <c r="K151" s="228">
        <v>-8.9</v>
      </c>
      <c r="L151" s="229">
        <v>-3.3E-3</v>
      </c>
      <c r="M151" s="231">
        <v>2668.1</v>
      </c>
      <c r="N151" s="231">
        <v>2678.2</v>
      </c>
      <c r="O151" s="228">
        <v>-10.1</v>
      </c>
      <c r="P151" s="229">
        <v>-3.8E-3</v>
      </c>
      <c r="Q151" s="231">
        <v>2668.8</v>
      </c>
      <c r="R151" s="231">
        <v>2681.8</v>
      </c>
      <c r="S151" s="228">
        <v>-13</v>
      </c>
      <c r="T151" s="229">
        <v>-4.7999999999999996E-3</v>
      </c>
      <c r="U151" s="228">
        <v>0</v>
      </c>
      <c r="V151" s="228">
        <v>0</v>
      </c>
      <c r="W151" s="228">
        <v>0</v>
      </c>
      <c r="X151" s="229">
        <v>0</v>
      </c>
      <c r="Y151" s="228">
        <v>-6.2</v>
      </c>
      <c r="Z151" s="228">
        <v>-5</v>
      </c>
      <c r="AA151" s="228">
        <v>-1.2</v>
      </c>
      <c r="AB151" s="229">
        <v>-2.3E-3</v>
      </c>
      <c r="AC151" s="228">
        <v>-6.2</v>
      </c>
      <c r="AD151" s="228">
        <v>-5</v>
      </c>
      <c r="AE151" s="228">
        <v>-1.2</v>
      </c>
      <c r="AF151" s="229">
        <v>-2.3E-3</v>
      </c>
      <c r="AG151" s="228">
        <v>-5.5</v>
      </c>
      <c r="AH151" s="228">
        <v>-1.4</v>
      </c>
      <c r="AI151" s="228">
        <v>-4.0999999999999996</v>
      </c>
      <c r="AJ151" s="229">
        <v>-2.0999999999999999E-3</v>
      </c>
      <c r="AK151" s="228">
        <v>0</v>
      </c>
      <c r="AL151" s="228">
        <v>0</v>
      </c>
      <c r="AM151" s="228">
        <v>0</v>
      </c>
      <c r="AN151" s="229">
        <v>0</v>
      </c>
      <c r="AO151" s="231">
        <v>2667.04</v>
      </c>
      <c r="AP151" s="231">
        <v>2669.14</v>
      </c>
      <c r="AQ151" s="228">
        <v>0</v>
      </c>
      <c r="AR151" s="230">
        <v>754050</v>
      </c>
      <c r="AS151" s="230">
        <v>1233650</v>
      </c>
      <c r="AT151" s="230">
        <v>-479600</v>
      </c>
      <c r="AU151" s="229">
        <v>-0.38879999999999998</v>
      </c>
      <c r="AV151" s="230">
        <v>636075</v>
      </c>
      <c r="AW151" s="230">
        <v>991375</v>
      </c>
      <c r="AX151" s="230">
        <v>-355300</v>
      </c>
      <c r="AY151" s="229">
        <v>-0.3584</v>
      </c>
      <c r="AZ151" s="230">
        <v>115225</v>
      </c>
      <c r="BA151" s="230">
        <v>232650</v>
      </c>
      <c r="BB151" s="230">
        <v>-117425</v>
      </c>
      <c r="BC151" s="229">
        <v>-0.50470000000000004</v>
      </c>
      <c r="BD151" s="228">
        <v>0</v>
      </c>
      <c r="BE151" s="228">
        <v>0</v>
      </c>
      <c r="BF151" s="228">
        <v>0</v>
      </c>
      <c r="BG151" s="229">
        <v>0</v>
      </c>
      <c r="BH151" s="230">
        <v>1605175</v>
      </c>
      <c r="BI151" s="230">
        <v>4893625</v>
      </c>
      <c r="BJ151" s="230">
        <v>-3288450</v>
      </c>
      <c r="BK151" s="229">
        <v>-0.67200000000000004</v>
      </c>
      <c r="BL151" s="230">
        <v>669075</v>
      </c>
      <c r="BM151" s="230">
        <v>1243275</v>
      </c>
      <c r="BN151" s="230">
        <v>-574200</v>
      </c>
      <c r="BO151" s="229">
        <v>-0.46179999999999999</v>
      </c>
      <c r="BP151" s="230">
        <v>3028300</v>
      </c>
      <c r="BQ151" s="230">
        <v>7370550</v>
      </c>
      <c r="BR151" s="230">
        <v>-4342250</v>
      </c>
      <c r="BS151" s="229">
        <v>-0.58909999999999996</v>
      </c>
      <c r="BT151" s="230">
        <v>313888</v>
      </c>
      <c r="BU151" s="230">
        <v>394079</v>
      </c>
      <c r="BV151" s="230">
        <v>-80191</v>
      </c>
      <c r="BW151" s="229">
        <v>-0.20349999999999999</v>
      </c>
      <c r="BX151" s="230">
        <v>4754750</v>
      </c>
      <c r="BY151" s="230">
        <v>4606250</v>
      </c>
      <c r="BZ151" s="230">
        <v>148500</v>
      </c>
      <c r="CA151" s="229">
        <v>3.2199999999999999E-2</v>
      </c>
      <c r="CB151" s="230">
        <v>4326300</v>
      </c>
      <c r="CC151" s="230">
        <v>4232800</v>
      </c>
      <c r="CD151" s="230">
        <v>93500</v>
      </c>
      <c r="CE151" s="229">
        <v>2.2100000000000002E-2</v>
      </c>
      <c r="CF151" s="230">
        <v>416075</v>
      </c>
      <c r="CG151" s="230">
        <v>360800</v>
      </c>
      <c r="CH151" s="230">
        <v>55275</v>
      </c>
      <c r="CI151" s="229">
        <v>0.1532</v>
      </c>
      <c r="CJ151" s="228">
        <v>0</v>
      </c>
      <c r="CK151" s="228">
        <v>0</v>
      </c>
      <c r="CL151" s="228">
        <v>0</v>
      </c>
      <c r="CM151" s="229">
        <v>0</v>
      </c>
      <c r="CN151" s="230">
        <v>2820400</v>
      </c>
      <c r="CO151" s="230">
        <v>2908125</v>
      </c>
      <c r="CP151" s="230">
        <v>-87725</v>
      </c>
      <c r="CQ151" s="229">
        <v>-3.0200000000000001E-2</v>
      </c>
      <c r="CR151" s="230">
        <v>1125025</v>
      </c>
      <c r="CS151" s="230">
        <v>1152800</v>
      </c>
      <c r="CT151" s="230">
        <v>-27775</v>
      </c>
      <c r="CU151" s="229">
        <v>-2.41E-2</v>
      </c>
      <c r="CV151" s="230">
        <v>8700175</v>
      </c>
      <c r="CW151" s="230">
        <v>8667175</v>
      </c>
      <c r="CX151" s="230">
        <v>33000</v>
      </c>
      <c r="CY151" s="229">
        <v>3.8E-3</v>
      </c>
      <c r="CZ151" s="228">
        <v>26.28</v>
      </c>
      <c r="DA151" s="228">
        <v>27.31</v>
      </c>
      <c r="DB151" s="228">
        <v>-1.03</v>
      </c>
      <c r="DC151" s="228">
        <v>-1.03</v>
      </c>
      <c r="DD151" s="228">
        <v>36.65</v>
      </c>
      <c r="DE151" s="228">
        <v>36.74</v>
      </c>
      <c r="DF151" s="228">
        <v>-10.37</v>
      </c>
      <c r="DG151" s="228">
        <v>-0.09</v>
      </c>
      <c r="DH151" s="228">
        <v>25.88</v>
      </c>
      <c r="DI151" s="228">
        <v>27.12</v>
      </c>
      <c r="DJ151" s="228">
        <v>-1.24</v>
      </c>
      <c r="DK151" s="228">
        <v>-1.24</v>
      </c>
      <c r="DL151" s="228">
        <v>27.23</v>
      </c>
      <c r="DM151" s="228">
        <v>28.07</v>
      </c>
      <c r="DN151" s="228">
        <v>-0.84</v>
      </c>
      <c r="DO151" s="228">
        <v>-0.84</v>
      </c>
      <c r="DP151" s="228">
        <v>0.4</v>
      </c>
      <c r="DQ151" s="228">
        <v>0.4</v>
      </c>
      <c r="DR151" s="228">
        <v>0</v>
      </c>
      <c r="DS151" s="229">
        <v>0</v>
      </c>
      <c r="DT151" s="231">
        <v>2500</v>
      </c>
      <c r="DU151" s="231">
        <v>2600</v>
      </c>
      <c r="DV151" s="228">
        <v>0.42</v>
      </c>
      <c r="DW151" s="228">
        <v>0.25</v>
      </c>
      <c r="DX151" s="228">
        <v>0.17</v>
      </c>
      <c r="DY151" s="229">
        <v>0.68</v>
      </c>
      <c r="DZ151" s="229">
        <v>8.7499999999999994E-2</v>
      </c>
      <c r="EA151" s="230">
        <v>360800</v>
      </c>
      <c r="EB151" s="229">
        <v>2.9999999999999997E-4</v>
      </c>
      <c r="EC151" s="229">
        <v>8.7499999999999994E-2</v>
      </c>
      <c r="ED151" s="228">
        <v>2.1</v>
      </c>
      <c r="EE151" s="229">
        <v>8.0000000000000004E-4</v>
      </c>
      <c r="EF151" s="230">
        <v>156576</v>
      </c>
      <c r="EG151" s="230">
        <v>182000</v>
      </c>
      <c r="EH151" s="229">
        <v>-0.13969999999999999</v>
      </c>
      <c r="EI151" s="229">
        <v>0.49880000000000002</v>
      </c>
      <c r="EJ151" s="231">
        <v>44298.61</v>
      </c>
      <c r="EK151" s="231">
        <v>17505.189999999999</v>
      </c>
      <c r="EL151" s="231">
        <v>20113.13</v>
      </c>
      <c r="EM151" s="228">
        <v>0</v>
      </c>
      <c r="EN151" s="231">
        <v>81916.929999999993</v>
      </c>
      <c r="EO151" s="231">
        <v>201220.52</v>
      </c>
      <c r="EP151" s="231">
        <v>-119303.59</v>
      </c>
      <c r="EQ151" s="229">
        <v>-0.59289999999999998</v>
      </c>
      <c r="ER151" s="231">
        <v>75895</v>
      </c>
      <c r="ES151" s="231">
        <v>27903</v>
      </c>
      <c r="ET151" s="231">
        <v>126865</v>
      </c>
      <c r="EU151" s="231">
        <v>21400003</v>
      </c>
      <c r="EV151" s="231">
        <v>230664</v>
      </c>
      <c r="EW151" s="231">
        <v>230338</v>
      </c>
      <c r="EX151" s="228">
        <v>326</v>
      </c>
      <c r="EY151" s="229">
        <v>1.4E-3</v>
      </c>
      <c r="EZ151" s="229">
        <v>0.40660000000000002</v>
      </c>
      <c r="FA151" s="227" t="s">
        <v>567</v>
      </c>
      <c r="FB151" s="161">
        <f t="shared" si="3"/>
        <v>0</v>
      </c>
    </row>
    <row r="152" spans="1:158" ht="17.25" thickBot="1" x14ac:dyDescent="0.3">
      <c r="A152" s="226">
        <v>45860</v>
      </c>
      <c r="B152" s="227" t="s">
        <v>227</v>
      </c>
      <c r="C152" s="227" t="s">
        <v>263</v>
      </c>
      <c r="D152" s="228">
        <v>3750</v>
      </c>
      <c r="E152" s="228">
        <v>197.06</v>
      </c>
      <c r="F152" s="228">
        <v>195.66</v>
      </c>
      <c r="G152" s="228">
        <v>1.4</v>
      </c>
      <c r="H152" s="229">
        <v>7.1999999999999998E-3</v>
      </c>
      <c r="I152" s="228">
        <v>196.69</v>
      </c>
      <c r="J152" s="228">
        <v>194.99</v>
      </c>
      <c r="K152" s="228">
        <v>1.7</v>
      </c>
      <c r="L152" s="229">
        <v>8.6999999999999994E-3</v>
      </c>
      <c r="M152" s="228">
        <v>197.06</v>
      </c>
      <c r="N152" s="228">
        <v>195.66</v>
      </c>
      <c r="O152" s="228">
        <v>1.4</v>
      </c>
      <c r="P152" s="229">
        <v>7.1999999999999998E-3</v>
      </c>
      <c r="Q152" s="228">
        <v>198.12</v>
      </c>
      <c r="R152" s="228">
        <v>196.64</v>
      </c>
      <c r="S152" s="228">
        <v>1.48</v>
      </c>
      <c r="T152" s="229">
        <v>7.4999999999999997E-3</v>
      </c>
      <c r="U152" s="228">
        <v>0</v>
      </c>
      <c r="V152" s="228">
        <v>0</v>
      </c>
      <c r="W152" s="228">
        <v>0</v>
      </c>
      <c r="X152" s="229">
        <v>0</v>
      </c>
      <c r="Y152" s="228">
        <v>0.37</v>
      </c>
      <c r="Z152" s="228">
        <v>0.67</v>
      </c>
      <c r="AA152" s="228">
        <v>-0.3</v>
      </c>
      <c r="AB152" s="229">
        <v>1.9E-3</v>
      </c>
      <c r="AC152" s="228">
        <v>0.37</v>
      </c>
      <c r="AD152" s="228">
        <v>0.67</v>
      </c>
      <c r="AE152" s="228">
        <v>-0.3</v>
      </c>
      <c r="AF152" s="229">
        <v>1.9E-3</v>
      </c>
      <c r="AG152" s="228">
        <v>1.43</v>
      </c>
      <c r="AH152" s="228">
        <v>1.65</v>
      </c>
      <c r="AI152" s="228">
        <v>-0.22</v>
      </c>
      <c r="AJ152" s="229">
        <v>7.3000000000000001E-3</v>
      </c>
      <c r="AK152" s="228">
        <v>0</v>
      </c>
      <c r="AL152" s="228">
        <v>0</v>
      </c>
      <c r="AM152" s="228">
        <v>0</v>
      </c>
      <c r="AN152" s="229">
        <v>0</v>
      </c>
      <c r="AO152" s="228">
        <v>197.45</v>
      </c>
      <c r="AP152" s="228">
        <v>198.29</v>
      </c>
      <c r="AQ152" s="228">
        <v>0</v>
      </c>
      <c r="AR152" s="230">
        <v>20062500</v>
      </c>
      <c r="AS152" s="230">
        <v>40398750</v>
      </c>
      <c r="AT152" s="230">
        <v>-20336250</v>
      </c>
      <c r="AU152" s="229">
        <v>-0.50339999999999996</v>
      </c>
      <c r="AV152" s="230">
        <v>16383750</v>
      </c>
      <c r="AW152" s="230">
        <v>34627500</v>
      </c>
      <c r="AX152" s="230">
        <v>-18243750</v>
      </c>
      <c r="AY152" s="229">
        <v>-0.52690000000000003</v>
      </c>
      <c r="AZ152" s="230">
        <v>3461250</v>
      </c>
      <c r="BA152" s="230">
        <v>5501250</v>
      </c>
      <c r="BB152" s="230">
        <v>-2040000</v>
      </c>
      <c r="BC152" s="229">
        <v>-0.37080000000000002</v>
      </c>
      <c r="BD152" s="228">
        <v>0</v>
      </c>
      <c r="BE152" s="228">
        <v>0</v>
      </c>
      <c r="BF152" s="228">
        <v>0</v>
      </c>
      <c r="BG152" s="229">
        <v>0</v>
      </c>
      <c r="BH152" s="230">
        <v>38418750</v>
      </c>
      <c r="BI152" s="230">
        <v>87453750</v>
      </c>
      <c r="BJ152" s="230">
        <v>-49035000</v>
      </c>
      <c r="BK152" s="229">
        <v>-0.56069999999999998</v>
      </c>
      <c r="BL152" s="230">
        <v>18431250</v>
      </c>
      <c r="BM152" s="230">
        <v>40608750</v>
      </c>
      <c r="BN152" s="230">
        <v>-22177500</v>
      </c>
      <c r="BO152" s="229">
        <v>-0.54610000000000003</v>
      </c>
      <c r="BP152" s="230">
        <v>76912500</v>
      </c>
      <c r="BQ152" s="230">
        <v>168461250</v>
      </c>
      <c r="BR152" s="230">
        <v>-91548750</v>
      </c>
      <c r="BS152" s="229">
        <v>-0.54339999999999999</v>
      </c>
      <c r="BT152" s="230">
        <v>9804272</v>
      </c>
      <c r="BU152" s="230">
        <v>25196831</v>
      </c>
      <c r="BV152" s="230">
        <v>-15392559</v>
      </c>
      <c r="BW152" s="229">
        <v>-0.6109</v>
      </c>
      <c r="BX152" s="230">
        <v>70515000</v>
      </c>
      <c r="BY152" s="230">
        <v>69562500</v>
      </c>
      <c r="BZ152" s="230">
        <v>952500</v>
      </c>
      <c r="CA152" s="229">
        <v>1.37E-2</v>
      </c>
      <c r="CB152" s="230">
        <v>63378750</v>
      </c>
      <c r="CC152" s="230">
        <v>63532500</v>
      </c>
      <c r="CD152" s="230">
        <v>-153750</v>
      </c>
      <c r="CE152" s="229">
        <v>-2.3999999999999998E-3</v>
      </c>
      <c r="CF152" s="230">
        <v>6506250</v>
      </c>
      <c r="CG152" s="230">
        <v>5396250</v>
      </c>
      <c r="CH152" s="230">
        <v>1110000</v>
      </c>
      <c r="CI152" s="229">
        <v>0.20569999999999999</v>
      </c>
      <c r="CJ152" s="228">
        <v>0</v>
      </c>
      <c r="CK152" s="228">
        <v>0</v>
      </c>
      <c r="CL152" s="228">
        <v>0</v>
      </c>
      <c r="CM152" s="229">
        <v>0</v>
      </c>
      <c r="CN152" s="230">
        <v>26336250</v>
      </c>
      <c r="CO152" s="230">
        <v>27558750</v>
      </c>
      <c r="CP152" s="230">
        <v>-1222500</v>
      </c>
      <c r="CQ152" s="229">
        <v>-4.4400000000000002E-2</v>
      </c>
      <c r="CR152" s="230">
        <v>18645000</v>
      </c>
      <c r="CS152" s="230">
        <v>18363750</v>
      </c>
      <c r="CT152" s="230">
        <v>281250</v>
      </c>
      <c r="CU152" s="229">
        <v>1.5299999999999999E-2</v>
      </c>
      <c r="CV152" s="230">
        <v>115496250</v>
      </c>
      <c r="CW152" s="230">
        <v>115485000</v>
      </c>
      <c r="CX152" s="230">
        <v>11250</v>
      </c>
      <c r="CY152" s="229">
        <v>1E-4</v>
      </c>
      <c r="CZ152" s="228">
        <v>32.229999999999997</v>
      </c>
      <c r="DA152" s="228">
        <v>33.56</v>
      </c>
      <c r="DB152" s="228">
        <v>-1.33</v>
      </c>
      <c r="DC152" s="228">
        <v>-1.33</v>
      </c>
      <c r="DD152" s="228">
        <v>51.32</v>
      </c>
      <c r="DE152" s="228">
        <v>51.44</v>
      </c>
      <c r="DF152" s="228">
        <v>-19.09</v>
      </c>
      <c r="DG152" s="228">
        <v>-0.12</v>
      </c>
      <c r="DH152" s="228">
        <v>31.88</v>
      </c>
      <c r="DI152" s="228">
        <v>33.119999999999997</v>
      </c>
      <c r="DJ152" s="228">
        <v>-1.24</v>
      </c>
      <c r="DK152" s="228">
        <v>-1.24</v>
      </c>
      <c r="DL152" s="228">
        <v>32.97</v>
      </c>
      <c r="DM152" s="228">
        <v>34.5</v>
      </c>
      <c r="DN152" s="228">
        <v>-1.53</v>
      </c>
      <c r="DO152" s="228">
        <v>-1.53</v>
      </c>
      <c r="DP152" s="228">
        <v>0.71</v>
      </c>
      <c r="DQ152" s="228">
        <v>0.67</v>
      </c>
      <c r="DR152" s="228">
        <v>0.04</v>
      </c>
      <c r="DS152" s="229">
        <v>5.9700000000000003E-2</v>
      </c>
      <c r="DT152" s="228">
        <v>200</v>
      </c>
      <c r="DU152" s="228">
        <v>190</v>
      </c>
      <c r="DV152" s="228">
        <v>0.48</v>
      </c>
      <c r="DW152" s="228">
        <v>0.46</v>
      </c>
      <c r="DX152" s="228">
        <v>0.02</v>
      </c>
      <c r="DY152" s="229">
        <v>4.3499999999999997E-2</v>
      </c>
      <c r="DZ152" s="229">
        <v>9.2299999999999993E-2</v>
      </c>
      <c r="EA152" s="230">
        <v>5396250</v>
      </c>
      <c r="EB152" s="229">
        <v>5.4000000000000003E-3</v>
      </c>
      <c r="EC152" s="229">
        <v>9.2299999999999993E-2</v>
      </c>
      <c r="ED152" s="228">
        <v>0.84</v>
      </c>
      <c r="EE152" s="229">
        <v>4.3E-3</v>
      </c>
      <c r="EF152" s="230">
        <v>3738041</v>
      </c>
      <c r="EG152" s="230">
        <v>8009825</v>
      </c>
      <c r="EH152" s="229">
        <v>-0.5333</v>
      </c>
      <c r="EI152" s="229">
        <v>0.38129999999999997</v>
      </c>
      <c r="EJ152" s="231">
        <v>78420.55</v>
      </c>
      <c r="EK152" s="231">
        <v>35695.089999999997</v>
      </c>
      <c r="EL152" s="231">
        <v>39643.58</v>
      </c>
      <c r="EM152" s="228">
        <v>0</v>
      </c>
      <c r="EN152" s="231">
        <v>153759.22</v>
      </c>
      <c r="EO152" s="231">
        <v>332866.90000000002</v>
      </c>
      <c r="EP152" s="231">
        <v>-179107.68</v>
      </c>
      <c r="EQ152" s="229">
        <v>-0.53810000000000002</v>
      </c>
      <c r="ER152" s="231">
        <v>52793</v>
      </c>
      <c r="ES152" s="231">
        <v>35034</v>
      </c>
      <c r="ET152" s="231">
        <v>139032</v>
      </c>
      <c r="EU152" s="231">
        <v>178967755</v>
      </c>
      <c r="EV152" s="231">
        <v>226858</v>
      </c>
      <c r="EW152" s="231">
        <v>225659</v>
      </c>
      <c r="EX152" s="231">
        <v>1199</v>
      </c>
      <c r="EY152" s="229">
        <v>5.3E-3</v>
      </c>
      <c r="EZ152" s="229">
        <v>0.64529999999999998</v>
      </c>
      <c r="FA152" s="227" t="s">
        <v>555</v>
      </c>
      <c r="FB152" s="161">
        <f t="shared" si="3"/>
        <v>0</v>
      </c>
    </row>
    <row r="153" spans="1:158" ht="17.25" thickBot="1" x14ac:dyDescent="0.3">
      <c r="A153" s="226">
        <v>45860</v>
      </c>
      <c r="B153" s="227" t="s">
        <v>616</v>
      </c>
      <c r="C153" s="227" t="s">
        <v>264</v>
      </c>
      <c r="D153" s="228">
        <v>375</v>
      </c>
      <c r="E153" s="231">
        <v>1455.8</v>
      </c>
      <c r="F153" s="231">
        <v>1403.7</v>
      </c>
      <c r="G153" s="228">
        <v>52.1</v>
      </c>
      <c r="H153" s="229">
        <v>3.7100000000000001E-2</v>
      </c>
      <c r="I153" s="231">
        <v>1458.8</v>
      </c>
      <c r="J153" s="231">
        <v>1399.8</v>
      </c>
      <c r="K153" s="228">
        <v>59</v>
      </c>
      <c r="L153" s="229">
        <v>4.2099999999999999E-2</v>
      </c>
      <c r="M153" s="231">
        <v>1455.8</v>
      </c>
      <c r="N153" s="231">
        <v>1403.7</v>
      </c>
      <c r="O153" s="228">
        <v>52.1</v>
      </c>
      <c r="P153" s="229">
        <v>3.7100000000000001E-2</v>
      </c>
      <c r="Q153" s="231">
        <v>1463.2</v>
      </c>
      <c r="R153" s="231">
        <v>1409.5</v>
      </c>
      <c r="S153" s="228">
        <v>53.7</v>
      </c>
      <c r="T153" s="229">
        <v>3.8100000000000002E-2</v>
      </c>
      <c r="U153" s="228">
        <v>0</v>
      </c>
      <c r="V153" s="228">
        <v>0</v>
      </c>
      <c r="W153" s="228">
        <v>0</v>
      </c>
      <c r="X153" s="229">
        <v>0</v>
      </c>
      <c r="Y153" s="228">
        <v>-3</v>
      </c>
      <c r="Z153" s="228">
        <v>3.9</v>
      </c>
      <c r="AA153" s="228">
        <v>-6.9</v>
      </c>
      <c r="AB153" s="229">
        <v>-2.0999999999999999E-3</v>
      </c>
      <c r="AC153" s="228">
        <v>-3</v>
      </c>
      <c r="AD153" s="228">
        <v>3.9</v>
      </c>
      <c r="AE153" s="228">
        <v>-6.9</v>
      </c>
      <c r="AF153" s="229">
        <v>-2.0999999999999999E-3</v>
      </c>
      <c r="AG153" s="228">
        <v>4.4000000000000004</v>
      </c>
      <c r="AH153" s="228">
        <v>9.6999999999999993</v>
      </c>
      <c r="AI153" s="228">
        <v>-5.3</v>
      </c>
      <c r="AJ153" s="229">
        <v>3.0000000000000001E-3</v>
      </c>
      <c r="AK153" s="228">
        <v>0</v>
      </c>
      <c r="AL153" s="228">
        <v>0</v>
      </c>
      <c r="AM153" s="228">
        <v>0</v>
      </c>
      <c r="AN153" s="229">
        <v>0</v>
      </c>
      <c r="AO153" s="231">
        <v>1452.39</v>
      </c>
      <c r="AP153" s="231">
        <v>1458.47</v>
      </c>
      <c r="AQ153" s="228">
        <v>0</v>
      </c>
      <c r="AR153" s="230">
        <v>4433625</v>
      </c>
      <c r="AS153" s="230">
        <v>1297500</v>
      </c>
      <c r="AT153" s="230">
        <v>3136125</v>
      </c>
      <c r="AU153" s="229">
        <v>2.4171</v>
      </c>
      <c r="AV153" s="230">
        <v>3877875</v>
      </c>
      <c r="AW153" s="230">
        <v>1150875</v>
      </c>
      <c r="AX153" s="230">
        <v>2727000</v>
      </c>
      <c r="AY153" s="229">
        <v>2.3694999999999999</v>
      </c>
      <c r="AZ153" s="230">
        <v>534750</v>
      </c>
      <c r="BA153" s="230">
        <v>139125</v>
      </c>
      <c r="BB153" s="230">
        <v>395625</v>
      </c>
      <c r="BC153" s="229">
        <v>2.8437000000000001</v>
      </c>
      <c r="BD153" s="228">
        <v>0</v>
      </c>
      <c r="BE153" s="228">
        <v>0</v>
      </c>
      <c r="BF153" s="228">
        <v>0</v>
      </c>
      <c r="BG153" s="229">
        <v>0</v>
      </c>
      <c r="BH153" s="230">
        <v>19377000</v>
      </c>
      <c r="BI153" s="230">
        <v>2947875</v>
      </c>
      <c r="BJ153" s="230">
        <v>16429125</v>
      </c>
      <c r="BK153" s="229">
        <v>5.5731999999999999</v>
      </c>
      <c r="BL153" s="230">
        <v>5883000</v>
      </c>
      <c r="BM153" s="230">
        <v>826875</v>
      </c>
      <c r="BN153" s="230">
        <v>5056125</v>
      </c>
      <c r="BO153" s="229">
        <v>6.1147</v>
      </c>
      <c r="BP153" s="230">
        <v>29693625</v>
      </c>
      <c r="BQ153" s="230">
        <v>5072250</v>
      </c>
      <c r="BR153" s="230">
        <v>24621375</v>
      </c>
      <c r="BS153" s="229">
        <v>4.8540999999999999</v>
      </c>
      <c r="BT153" s="230">
        <v>4201700</v>
      </c>
      <c r="BU153" s="230">
        <v>1084579</v>
      </c>
      <c r="BV153" s="230">
        <v>3117121</v>
      </c>
      <c r="BW153" s="229">
        <v>2.8740000000000001</v>
      </c>
      <c r="BX153" s="230">
        <v>12187875</v>
      </c>
      <c r="BY153" s="230">
        <v>12168750</v>
      </c>
      <c r="BZ153" s="230">
        <v>19125</v>
      </c>
      <c r="CA153" s="229">
        <v>1.6000000000000001E-3</v>
      </c>
      <c r="CB153" s="230">
        <v>11755875</v>
      </c>
      <c r="CC153" s="230">
        <v>11915250</v>
      </c>
      <c r="CD153" s="230">
        <v>-159375</v>
      </c>
      <c r="CE153" s="229">
        <v>-1.34E-2</v>
      </c>
      <c r="CF153" s="230">
        <v>412875</v>
      </c>
      <c r="CG153" s="230">
        <v>228000</v>
      </c>
      <c r="CH153" s="230">
        <v>184875</v>
      </c>
      <c r="CI153" s="229">
        <v>0.81089999999999995</v>
      </c>
      <c r="CJ153" s="228">
        <v>0</v>
      </c>
      <c r="CK153" s="228">
        <v>0</v>
      </c>
      <c r="CL153" s="228">
        <v>0</v>
      </c>
      <c r="CM153" s="229">
        <v>0</v>
      </c>
      <c r="CN153" s="230">
        <v>2940750</v>
      </c>
      <c r="CO153" s="230">
        <v>3194625</v>
      </c>
      <c r="CP153" s="230">
        <v>-253875</v>
      </c>
      <c r="CQ153" s="229">
        <v>-7.9500000000000001E-2</v>
      </c>
      <c r="CR153" s="230">
        <v>1489125</v>
      </c>
      <c r="CS153" s="230">
        <v>1457250</v>
      </c>
      <c r="CT153" s="230">
        <v>31875</v>
      </c>
      <c r="CU153" s="229">
        <v>2.1899999999999999E-2</v>
      </c>
      <c r="CV153" s="230">
        <v>16617750</v>
      </c>
      <c r="CW153" s="230">
        <v>16820625</v>
      </c>
      <c r="CX153" s="230">
        <v>-202875</v>
      </c>
      <c r="CY153" s="229">
        <v>-1.21E-2</v>
      </c>
      <c r="CZ153" s="228">
        <v>33.53</v>
      </c>
      <c r="DA153" s="228">
        <v>32.1</v>
      </c>
      <c r="DB153" s="228">
        <v>1.43</v>
      </c>
      <c r="DC153" s="228">
        <v>1.43</v>
      </c>
      <c r="DD153" s="228">
        <v>40.75</v>
      </c>
      <c r="DE153" s="228">
        <v>40.47</v>
      </c>
      <c r="DF153" s="228">
        <v>-7.22</v>
      </c>
      <c r="DG153" s="228">
        <v>0.28000000000000003</v>
      </c>
      <c r="DH153" s="228">
        <v>34.1</v>
      </c>
      <c r="DI153" s="228">
        <v>31.92</v>
      </c>
      <c r="DJ153" s="228">
        <v>2.1800000000000002</v>
      </c>
      <c r="DK153" s="228">
        <v>2.1800000000000002</v>
      </c>
      <c r="DL153" s="228">
        <v>31.64</v>
      </c>
      <c r="DM153" s="228">
        <v>32.75</v>
      </c>
      <c r="DN153" s="228">
        <v>-1.1100000000000001</v>
      </c>
      <c r="DO153" s="228">
        <v>-1.1100000000000001</v>
      </c>
      <c r="DP153" s="228">
        <v>0.51</v>
      </c>
      <c r="DQ153" s="228">
        <v>0.46</v>
      </c>
      <c r="DR153" s="228">
        <v>0.05</v>
      </c>
      <c r="DS153" s="229">
        <v>0.1087</v>
      </c>
      <c r="DT153" s="231">
        <v>1500</v>
      </c>
      <c r="DU153" s="231">
        <v>1400</v>
      </c>
      <c r="DV153" s="228">
        <v>0.3</v>
      </c>
      <c r="DW153" s="228">
        <v>0.28000000000000003</v>
      </c>
      <c r="DX153" s="228">
        <v>0.02</v>
      </c>
      <c r="DY153" s="229">
        <v>7.1400000000000005E-2</v>
      </c>
      <c r="DZ153" s="229">
        <v>3.39E-2</v>
      </c>
      <c r="EA153" s="230">
        <v>228000</v>
      </c>
      <c r="EB153" s="229">
        <v>5.1000000000000004E-3</v>
      </c>
      <c r="EC153" s="229">
        <v>3.39E-2</v>
      </c>
      <c r="ED153" s="228">
        <v>6.08</v>
      </c>
      <c r="EE153" s="229">
        <v>4.1999999999999997E-3</v>
      </c>
      <c r="EF153" s="230">
        <v>1910818</v>
      </c>
      <c r="EG153" s="230">
        <v>654100</v>
      </c>
      <c r="EH153" s="229">
        <v>1.9213</v>
      </c>
      <c r="EI153" s="229">
        <v>0.45479999999999998</v>
      </c>
      <c r="EJ153" s="231">
        <v>291627.71999999997</v>
      </c>
      <c r="EK153" s="231">
        <v>84119.02</v>
      </c>
      <c r="EL153" s="231">
        <v>64429.1</v>
      </c>
      <c r="EM153" s="228">
        <v>0</v>
      </c>
      <c r="EN153" s="231">
        <v>440175.84</v>
      </c>
      <c r="EO153" s="231">
        <v>72377.100000000006</v>
      </c>
      <c r="EP153" s="231">
        <v>367798.74</v>
      </c>
      <c r="EQ153" s="229">
        <v>5.0816999999999997</v>
      </c>
      <c r="ER153" s="231">
        <v>44129</v>
      </c>
      <c r="ES153" s="231">
        <v>20986</v>
      </c>
      <c r="ET153" s="231">
        <v>177465</v>
      </c>
      <c r="EU153" s="231">
        <v>80673469</v>
      </c>
      <c r="EV153" s="231">
        <v>242581</v>
      </c>
      <c r="EW153" s="231">
        <v>238830</v>
      </c>
      <c r="EX153" s="231">
        <v>3751</v>
      </c>
      <c r="EY153" s="229">
        <v>1.5699999999999999E-2</v>
      </c>
      <c r="EZ153" s="229">
        <v>0.20599999999999999</v>
      </c>
      <c r="FA153" s="227" t="s">
        <v>555</v>
      </c>
      <c r="FB153" s="161">
        <f>BX243-CB243</f>
        <v>0</v>
      </c>
    </row>
    <row r="154" spans="1:158" ht="17.25" thickBot="1" x14ac:dyDescent="0.3">
      <c r="A154" s="226">
        <v>45860</v>
      </c>
      <c r="B154" s="227" t="s">
        <v>206</v>
      </c>
      <c r="C154" s="227" t="s">
        <v>550</v>
      </c>
      <c r="D154" s="228">
        <v>6500</v>
      </c>
      <c r="E154" s="228">
        <v>114.88</v>
      </c>
      <c r="F154" s="228">
        <v>115.55</v>
      </c>
      <c r="G154" s="228">
        <v>-0.67</v>
      </c>
      <c r="H154" s="229">
        <v>-5.7999999999999996E-3</v>
      </c>
      <c r="I154" s="228">
        <v>114.58</v>
      </c>
      <c r="J154" s="228">
        <v>115.31</v>
      </c>
      <c r="K154" s="228">
        <v>-0.73</v>
      </c>
      <c r="L154" s="229">
        <v>-6.3E-3</v>
      </c>
      <c r="M154" s="228">
        <v>114.88</v>
      </c>
      <c r="N154" s="228">
        <v>115.55</v>
      </c>
      <c r="O154" s="228">
        <v>-0.67</v>
      </c>
      <c r="P154" s="229">
        <v>-5.7999999999999996E-3</v>
      </c>
      <c r="Q154" s="228">
        <v>115.43</v>
      </c>
      <c r="R154" s="228">
        <v>116.23</v>
      </c>
      <c r="S154" s="228">
        <v>-0.8</v>
      </c>
      <c r="T154" s="229">
        <v>-6.8999999999999999E-3</v>
      </c>
      <c r="U154" s="228">
        <v>0</v>
      </c>
      <c r="V154" s="228">
        <v>0</v>
      </c>
      <c r="W154" s="228">
        <v>0</v>
      </c>
      <c r="X154" s="229">
        <v>0</v>
      </c>
      <c r="Y154" s="228">
        <v>0.3</v>
      </c>
      <c r="Z154" s="228">
        <v>0.24</v>
      </c>
      <c r="AA154" s="228">
        <v>0.06</v>
      </c>
      <c r="AB154" s="229">
        <v>2.5999999999999999E-3</v>
      </c>
      <c r="AC154" s="228">
        <v>0.3</v>
      </c>
      <c r="AD154" s="228">
        <v>0.24</v>
      </c>
      <c r="AE154" s="228">
        <v>0.06</v>
      </c>
      <c r="AF154" s="229">
        <v>2.5999999999999999E-3</v>
      </c>
      <c r="AG154" s="228">
        <v>0.85</v>
      </c>
      <c r="AH154" s="228">
        <v>0.92</v>
      </c>
      <c r="AI154" s="228">
        <v>-7.0000000000000007E-2</v>
      </c>
      <c r="AJ154" s="229">
        <v>7.4000000000000003E-3</v>
      </c>
      <c r="AK154" s="228">
        <v>0</v>
      </c>
      <c r="AL154" s="228">
        <v>0</v>
      </c>
      <c r="AM154" s="228">
        <v>0</v>
      </c>
      <c r="AN154" s="229">
        <v>0</v>
      </c>
      <c r="AO154" s="228">
        <v>115.22</v>
      </c>
      <c r="AP154" s="228">
        <v>115.75</v>
      </c>
      <c r="AQ154" s="228">
        <v>0</v>
      </c>
      <c r="AR154" s="230">
        <v>10172500</v>
      </c>
      <c r="AS154" s="230">
        <v>9314500</v>
      </c>
      <c r="AT154" s="230">
        <v>858000</v>
      </c>
      <c r="AU154" s="229">
        <v>9.2100000000000001E-2</v>
      </c>
      <c r="AV154" s="230">
        <v>7501000</v>
      </c>
      <c r="AW154" s="230">
        <v>7208500</v>
      </c>
      <c r="AX154" s="230">
        <v>292500</v>
      </c>
      <c r="AY154" s="229">
        <v>4.0599999999999997E-2</v>
      </c>
      <c r="AZ154" s="230">
        <v>2574000</v>
      </c>
      <c r="BA154" s="230">
        <v>1982500</v>
      </c>
      <c r="BB154" s="230">
        <v>591500</v>
      </c>
      <c r="BC154" s="229">
        <v>0.2984</v>
      </c>
      <c r="BD154" s="228">
        <v>0</v>
      </c>
      <c r="BE154" s="228">
        <v>0</v>
      </c>
      <c r="BF154" s="228">
        <v>0</v>
      </c>
      <c r="BG154" s="229">
        <v>0</v>
      </c>
      <c r="BH154" s="230">
        <v>9587500</v>
      </c>
      <c r="BI154" s="230">
        <v>13292500</v>
      </c>
      <c r="BJ154" s="230">
        <v>-3705000</v>
      </c>
      <c r="BK154" s="229">
        <v>-0.2787</v>
      </c>
      <c r="BL154" s="230">
        <v>3659500</v>
      </c>
      <c r="BM154" s="230">
        <v>4114500</v>
      </c>
      <c r="BN154" s="230">
        <v>-455000</v>
      </c>
      <c r="BO154" s="229">
        <v>-0.1106</v>
      </c>
      <c r="BP154" s="230">
        <v>23419500</v>
      </c>
      <c r="BQ154" s="230">
        <v>26721500</v>
      </c>
      <c r="BR154" s="230">
        <v>-3302000</v>
      </c>
      <c r="BS154" s="229">
        <v>-0.1236</v>
      </c>
      <c r="BT154" s="230">
        <v>8343658</v>
      </c>
      <c r="BU154" s="230">
        <v>7992335</v>
      </c>
      <c r="BV154" s="230">
        <v>351323</v>
      </c>
      <c r="BW154" s="229">
        <v>4.3999999999999997E-2</v>
      </c>
      <c r="BX154" s="230">
        <v>59689500</v>
      </c>
      <c r="BY154" s="230">
        <v>60671000</v>
      </c>
      <c r="BZ154" s="230">
        <v>-981500</v>
      </c>
      <c r="CA154" s="229">
        <v>-1.6199999999999999E-2</v>
      </c>
      <c r="CB154" s="230">
        <v>53573000</v>
      </c>
      <c r="CC154" s="230">
        <v>55029000</v>
      </c>
      <c r="CD154" s="230">
        <v>-1456000</v>
      </c>
      <c r="CE154" s="229">
        <v>-2.6499999999999999E-2</v>
      </c>
      <c r="CF154" s="230">
        <v>5330000</v>
      </c>
      <c r="CG154" s="230">
        <v>4894500</v>
      </c>
      <c r="CH154" s="230">
        <v>435500</v>
      </c>
      <c r="CI154" s="229">
        <v>8.8999999999999996E-2</v>
      </c>
      <c r="CJ154" s="228">
        <v>0</v>
      </c>
      <c r="CK154" s="228">
        <v>0</v>
      </c>
      <c r="CL154" s="228">
        <v>0</v>
      </c>
      <c r="CM154" s="229">
        <v>0</v>
      </c>
      <c r="CN154" s="230">
        <v>30199000</v>
      </c>
      <c r="CO154" s="230">
        <v>29991000</v>
      </c>
      <c r="CP154" s="230">
        <v>208000</v>
      </c>
      <c r="CQ154" s="229">
        <v>6.8999999999999999E-3</v>
      </c>
      <c r="CR154" s="230">
        <v>14839500</v>
      </c>
      <c r="CS154" s="230">
        <v>15060500</v>
      </c>
      <c r="CT154" s="230">
        <v>-221000</v>
      </c>
      <c r="CU154" s="229">
        <v>-1.47E-2</v>
      </c>
      <c r="CV154" s="230">
        <v>104728000</v>
      </c>
      <c r="CW154" s="230">
        <v>105722500</v>
      </c>
      <c r="CX154" s="230">
        <v>-994500</v>
      </c>
      <c r="CY154" s="229">
        <v>-9.4000000000000004E-3</v>
      </c>
      <c r="CZ154" s="228">
        <v>31.06</v>
      </c>
      <c r="DA154" s="228">
        <v>32.340000000000003</v>
      </c>
      <c r="DB154" s="228">
        <v>-1.28</v>
      </c>
      <c r="DC154" s="228">
        <v>-1.28</v>
      </c>
      <c r="DD154" s="228">
        <v>57.33</v>
      </c>
      <c r="DE154" s="228">
        <v>57.47</v>
      </c>
      <c r="DF154" s="228">
        <v>-26.27</v>
      </c>
      <c r="DG154" s="228">
        <v>-0.14000000000000001</v>
      </c>
      <c r="DH154" s="228">
        <v>31.56</v>
      </c>
      <c r="DI154" s="228">
        <v>32.54</v>
      </c>
      <c r="DJ154" s="228">
        <v>-0.98</v>
      </c>
      <c r="DK154" s="228">
        <v>-0.98</v>
      </c>
      <c r="DL154" s="228">
        <v>29.75</v>
      </c>
      <c r="DM154" s="228">
        <v>31.7</v>
      </c>
      <c r="DN154" s="228">
        <v>-1.95</v>
      </c>
      <c r="DO154" s="228">
        <v>-1.95</v>
      </c>
      <c r="DP154" s="228">
        <v>0.49</v>
      </c>
      <c r="DQ154" s="228">
        <v>0.5</v>
      </c>
      <c r="DR154" s="228">
        <v>-0.01</v>
      </c>
      <c r="DS154" s="229">
        <v>-0.02</v>
      </c>
      <c r="DT154" s="228">
        <v>120</v>
      </c>
      <c r="DU154" s="228">
        <v>110</v>
      </c>
      <c r="DV154" s="228">
        <v>0.38</v>
      </c>
      <c r="DW154" s="228">
        <v>0.31</v>
      </c>
      <c r="DX154" s="228">
        <v>7.0000000000000007E-2</v>
      </c>
      <c r="DY154" s="229">
        <v>0.2258</v>
      </c>
      <c r="DZ154" s="229">
        <v>8.9300000000000004E-2</v>
      </c>
      <c r="EA154" s="230">
        <v>4894500</v>
      </c>
      <c r="EB154" s="229">
        <v>4.7999999999999996E-3</v>
      </c>
      <c r="EC154" s="229">
        <v>8.9300000000000004E-2</v>
      </c>
      <c r="ED154" s="228">
        <v>0.53</v>
      </c>
      <c r="EE154" s="229">
        <v>4.5999999999999999E-3</v>
      </c>
      <c r="EF154" s="230">
        <v>3969872</v>
      </c>
      <c r="EG154" s="230">
        <v>2861618</v>
      </c>
      <c r="EH154" s="229">
        <v>0.38729999999999998</v>
      </c>
      <c r="EI154" s="229">
        <v>0.4758</v>
      </c>
      <c r="EJ154" s="231">
        <v>11625.02</v>
      </c>
      <c r="EK154" s="231">
        <v>4209.47</v>
      </c>
      <c r="EL154" s="231">
        <v>11735.93</v>
      </c>
      <c r="EM154" s="228">
        <v>0</v>
      </c>
      <c r="EN154" s="231">
        <v>27570.42</v>
      </c>
      <c r="EO154" s="231">
        <v>31452.15</v>
      </c>
      <c r="EP154" s="231">
        <v>-3881.73</v>
      </c>
      <c r="EQ154" s="229">
        <v>-0.1234</v>
      </c>
      <c r="ER154" s="231">
        <v>37050</v>
      </c>
      <c r="ES154" s="231">
        <v>17153</v>
      </c>
      <c r="ET154" s="231">
        <v>68613</v>
      </c>
      <c r="EU154" s="231">
        <v>206526272</v>
      </c>
      <c r="EV154" s="231">
        <v>122816</v>
      </c>
      <c r="EW154" s="231">
        <v>124366</v>
      </c>
      <c r="EX154" s="231">
        <v>-1550</v>
      </c>
      <c r="EY154" s="229">
        <v>-1.2500000000000001E-2</v>
      </c>
      <c r="EZ154" s="229">
        <v>0.5071</v>
      </c>
      <c r="FA154" s="227" t="s">
        <v>568</v>
      </c>
      <c r="FB154" s="161">
        <f t="shared" si="3"/>
        <v>0</v>
      </c>
    </row>
    <row r="155" spans="1:158" ht="17.25" thickBot="1" x14ac:dyDescent="0.3">
      <c r="A155" s="226">
        <v>45860</v>
      </c>
      <c r="B155" s="227" t="s">
        <v>215</v>
      </c>
      <c r="C155" s="227" t="s">
        <v>592</v>
      </c>
      <c r="D155" s="228">
        <v>2700</v>
      </c>
      <c r="E155" s="228">
        <v>227.31</v>
      </c>
      <c r="F155" s="228">
        <v>228.7</v>
      </c>
      <c r="G155" s="228">
        <v>-1.39</v>
      </c>
      <c r="H155" s="229">
        <v>-6.1000000000000004E-3</v>
      </c>
      <c r="I155" s="228">
        <v>227.42</v>
      </c>
      <c r="J155" s="228">
        <v>227.62</v>
      </c>
      <c r="K155" s="228">
        <v>-0.2</v>
      </c>
      <c r="L155" s="229">
        <v>-8.9999999999999998E-4</v>
      </c>
      <c r="M155" s="228">
        <v>227.31</v>
      </c>
      <c r="N155" s="228">
        <v>228.7</v>
      </c>
      <c r="O155" s="228">
        <v>-1.39</v>
      </c>
      <c r="P155" s="229">
        <v>-6.1000000000000004E-3</v>
      </c>
      <c r="Q155" s="228">
        <v>226.53</v>
      </c>
      <c r="R155" s="228">
        <v>227.49</v>
      </c>
      <c r="S155" s="228">
        <v>-0.96</v>
      </c>
      <c r="T155" s="229">
        <v>-4.1999999999999997E-3</v>
      </c>
      <c r="U155" s="228">
        <v>0</v>
      </c>
      <c r="V155" s="228">
        <v>0</v>
      </c>
      <c r="W155" s="228">
        <v>0</v>
      </c>
      <c r="X155" s="229">
        <v>0</v>
      </c>
      <c r="Y155" s="228">
        <v>-0.11</v>
      </c>
      <c r="Z155" s="228">
        <v>1.08</v>
      </c>
      <c r="AA155" s="228">
        <v>-1.19</v>
      </c>
      <c r="AB155" s="229">
        <v>-5.0000000000000001E-4</v>
      </c>
      <c r="AC155" s="228">
        <v>-0.11</v>
      </c>
      <c r="AD155" s="228">
        <v>1.08</v>
      </c>
      <c r="AE155" s="228">
        <v>-1.19</v>
      </c>
      <c r="AF155" s="229">
        <v>-5.0000000000000001E-4</v>
      </c>
      <c r="AG155" s="228">
        <v>-0.89</v>
      </c>
      <c r="AH155" s="228">
        <v>-0.13</v>
      </c>
      <c r="AI155" s="228">
        <v>-0.76</v>
      </c>
      <c r="AJ155" s="229">
        <v>-3.8999999999999998E-3</v>
      </c>
      <c r="AK155" s="228">
        <v>0</v>
      </c>
      <c r="AL155" s="228">
        <v>0</v>
      </c>
      <c r="AM155" s="228">
        <v>0</v>
      </c>
      <c r="AN155" s="229">
        <v>0</v>
      </c>
      <c r="AO155" s="228">
        <v>228.48</v>
      </c>
      <c r="AP155" s="228">
        <v>227.78</v>
      </c>
      <c r="AQ155" s="228">
        <v>0</v>
      </c>
      <c r="AR155" s="230">
        <v>2864700</v>
      </c>
      <c r="AS155" s="230">
        <v>2700000</v>
      </c>
      <c r="AT155" s="230">
        <v>164700</v>
      </c>
      <c r="AU155" s="229">
        <v>6.0999999999999999E-2</v>
      </c>
      <c r="AV155" s="230">
        <v>2322000</v>
      </c>
      <c r="AW155" s="230">
        <v>2176200</v>
      </c>
      <c r="AX155" s="230">
        <v>145800</v>
      </c>
      <c r="AY155" s="229">
        <v>6.7000000000000004E-2</v>
      </c>
      <c r="AZ155" s="230">
        <v>510300</v>
      </c>
      <c r="BA155" s="230">
        <v>486000</v>
      </c>
      <c r="BB155" s="230">
        <v>24300</v>
      </c>
      <c r="BC155" s="229">
        <v>0.05</v>
      </c>
      <c r="BD155" s="228">
        <v>0</v>
      </c>
      <c r="BE155" s="228">
        <v>0</v>
      </c>
      <c r="BF155" s="228">
        <v>0</v>
      </c>
      <c r="BG155" s="229">
        <v>0</v>
      </c>
      <c r="BH155" s="230">
        <v>6239700</v>
      </c>
      <c r="BI155" s="230">
        <v>7557300</v>
      </c>
      <c r="BJ155" s="230">
        <v>-1317600</v>
      </c>
      <c r="BK155" s="229">
        <v>-0.17430000000000001</v>
      </c>
      <c r="BL155" s="230">
        <v>1722600</v>
      </c>
      <c r="BM155" s="230">
        <v>1452600</v>
      </c>
      <c r="BN155" s="230">
        <v>270000</v>
      </c>
      <c r="BO155" s="229">
        <v>0.18590000000000001</v>
      </c>
      <c r="BP155" s="230">
        <v>10827000</v>
      </c>
      <c r="BQ155" s="230">
        <v>11709900</v>
      </c>
      <c r="BR155" s="230">
        <v>-882900</v>
      </c>
      <c r="BS155" s="229">
        <v>-7.5399999999999995E-2</v>
      </c>
      <c r="BT155" s="230">
        <v>1865792</v>
      </c>
      <c r="BU155" s="230">
        <v>1397439</v>
      </c>
      <c r="BV155" s="230">
        <v>468353</v>
      </c>
      <c r="BW155" s="229">
        <v>0.3352</v>
      </c>
      <c r="BX155" s="230">
        <v>16337700</v>
      </c>
      <c r="BY155" s="230">
        <v>16256700</v>
      </c>
      <c r="BZ155" s="230">
        <v>81000</v>
      </c>
      <c r="CA155" s="229">
        <v>5.0000000000000001E-3</v>
      </c>
      <c r="CB155" s="230">
        <v>13761900</v>
      </c>
      <c r="CC155" s="230">
        <v>13824000</v>
      </c>
      <c r="CD155" s="230">
        <v>-62100</v>
      </c>
      <c r="CE155" s="229">
        <v>-4.4999999999999997E-3</v>
      </c>
      <c r="CF155" s="230">
        <v>2365200</v>
      </c>
      <c r="CG155" s="230">
        <v>2238300</v>
      </c>
      <c r="CH155" s="230">
        <v>126900</v>
      </c>
      <c r="CI155" s="229">
        <v>5.67E-2</v>
      </c>
      <c r="CJ155" s="228">
        <v>0</v>
      </c>
      <c r="CK155" s="228">
        <v>0</v>
      </c>
      <c r="CL155" s="228">
        <v>0</v>
      </c>
      <c r="CM155" s="229">
        <v>0</v>
      </c>
      <c r="CN155" s="230">
        <v>11286000</v>
      </c>
      <c r="CO155" s="230">
        <v>10532700</v>
      </c>
      <c r="CP155" s="230">
        <v>753300</v>
      </c>
      <c r="CQ155" s="229">
        <v>7.1499999999999994E-2</v>
      </c>
      <c r="CR155" s="230">
        <v>4733100</v>
      </c>
      <c r="CS155" s="230">
        <v>4560300</v>
      </c>
      <c r="CT155" s="230">
        <v>172800</v>
      </c>
      <c r="CU155" s="229">
        <v>3.7900000000000003E-2</v>
      </c>
      <c r="CV155" s="230">
        <v>32356800</v>
      </c>
      <c r="CW155" s="230">
        <v>31349700</v>
      </c>
      <c r="CX155" s="230">
        <v>1007100</v>
      </c>
      <c r="CY155" s="229">
        <v>3.2099999999999997E-2</v>
      </c>
      <c r="CZ155" s="228">
        <v>36.75</v>
      </c>
      <c r="DA155" s="228">
        <v>35.85</v>
      </c>
      <c r="DB155" s="228">
        <v>0.9</v>
      </c>
      <c r="DC155" s="228">
        <v>0.9</v>
      </c>
      <c r="DD155" s="228">
        <v>51.77</v>
      </c>
      <c r="DE155" s="228">
        <v>51.89</v>
      </c>
      <c r="DF155" s="228">
        <v>-15.02</v>
      </c>
      <c r="DG155" s="228">
        <v>-0.12</v>
      </c>
      <c r="DH155" s="228">
        <v>36.92</v>
      </c>
      <c r="DI155" s="228">
        <v>35.97</v>
      </c>
      <c r="DJ155" s="228">
        <v>0.95</v>
      </c>
      <c r="DK155" s="228">
        <v>0.95</v>
      </c>
      <c r="DL155" s="228">
        <v>36.130000000000003</v>
      </c>
      <c r="DM155" s="228">
        <v>35.19</v>
      </c>
      <c r="DN155" s="228">
        <v>0.94</v>
      </c>
      <c r="DO155" s="228">
        <v>0.94</v>
      </c>
      <c r="DP155" s="228">
        <v>0.42</v>
      </c>
      <c r="DQ155" s="228">
        <v>0.43</v>
      </c>
      <c r="DR155" s="228">
        <v>-0.01</v>
      </c>
      <c r="DS155" s="229">
        <v>-2.3300000000000001E-2</v>
      </c>
      <c r="DT155" s="228">
        <v>230</v>
      </c>
      <c r="DU155" s="228">
        <v>230</v>
      </c>
      <c r="DV155" s="228">
        <v>0.28000000000000003</v>
      </c>
      <c r="DW155" s="228">
        <v>0.19</v>
      </c>
      <c r="DX155" s="228">
        <v>0.09</v>
      </c>
      <c r="DY155" s="229">
        <v>0.47370000000000001</v>
      </c>
      <c r="DZ155" s="229">
        <v>0.14480000000000001</v>
      </c>
      <c r="EA155" s="230">
        <v>2238300</v>
      </c>
      <c r="EB155" s="229">
        <v>-3.3999999999999998E-3</v>
      </c>
      <c r="EC155" s="229">
        <v>0.14480000000000001</v>
      </c>
      <c r="ED155" s="228">
        <v>-0.7</v>
      </c>
      <c r="EE155" s="229">
        <v>-3.0999999999999999E-3</v>
      </c>
      <c r="EF155" s="230">
        <v>977649</v>
      </c>
      <c r="EG155" s="230">
        <v>577814</v>
      </c>
      <c r="EH155" s="229">
        <v>0.69199999999999995</v>
      </c>
      <c r="EI155" s="229">
        <v>0.52400000000000002</v>
      </c>
      <c r="EJ155" s="231">
        <v>14752.94</v>
      </c>
      <c r="EK155" s="231">
        <v>3967.91</v>
      </c>
      <c r="EL155" s="231">
        <v>6541.63</v>
      </c>
      <c r="EM155" s="228">
        <v>0</v>
      </c>
      <c r="EN155" s="231">
        <v>25262.48</v>
      </c>
      <c r="EO155" s="231">
        <v>27340.63</v>
      </c>
      <c r="EP155" s="231">
        <v>-2078.15</v>
      </c>
      <c r="EQ155" s="229">
        <v>-7.5999999999999998E-2</v>
      </c>
      <c r="ER155" s="231">
        <v>26405</v>
      </c>
      <c r="ES155" s="231">
        <v>10638</v>
      </c>
      <c r="ET155" s="231">
        <v>37119</v>
      </c>
      <c r="EU155" s="231">
        <v>97811871</v>
      </c>
      <c r="EV155" s="231">
        <v>74162</v>
      </c>
      <c r="EW155" s="231">
        <v>72067</v>
      </c>
      <c r="EX155" s="231">
        <v>2095</v>
      </c>
      <c r="EY155" s="229">
        <v>2.9100000000000001E-2</v>
      </c>
      <c r="EZ155" s="229">
        <v>0.33079999999999998</v>
      </c>
      <c r="FA155" s="227" t="s">
        <v>567</v>
      </c>
      <c r="FB155" s="161">
        <f t="shared" si="3"/>
        <v>0</v>
      </c>
    </row>
    <row r="156" spans="1:158" ht="17.25" thickBot="1" x14ac:dyDescent="0.3">
      <c r="A156" s="226">
        <v>45860</v>
      </c>
      <c r="B156" s="227" t="s">
        <v>168</v>
      </c>
      <c r="C156" s="227" t="s">
        <v>265</v>
      </c>
      <c r="D156" s="228">
        <v>250</v>
      </c>
      <c r="E156" s="231">
        <v>2445.6</v>
      </c>
      <c r="F156" s="231">
        <v>2475</v>
      </c>
      <c r="G156" s="228">
        <v>-29.4</v>
      </c>
      <c r="H156" s="229">
        <v>-1.1900000000000001E-2</v>
      </c>
      <c r="I156" s="231">
        <v>2443.5</v>
      </c>
      <c r="J156" s="231">
        <v>2472.6</v>
      </c>
      <c r="K156" s="228">
        <v>-29.1</v>
      </c>
      <c r="L156" s="229">
        <v>-1.18E-2</v>
      </c>
      <c r="M156" s="231">
        <v>2445.6</v>
      </c>
      <c r="N156" s="231">
        <v>2475</v>
      </c>
      <c r="O156" s="228">
        <v>-29.4</v>
      </c>
      <c r="P156" s="229">
        <v>-1.1900000000000001E-2</v>
      </c>
      <c r="Q156" s="231">
        <v>2458.3000000000002</v>
      </c>
      <c r="R156" s="231">
        <v>2489.6999999999998</v>
      </c>
      <c r="S156" s="228">
        <v>-31.4</v>
      </c>
      <c r="T156" s="229">
        <v>-1.26E-2</v>
      </c>
      <c r="U156" s="228">
        <v>0</v>
      </c>
      <c r="V156" s="228">
        <v>0</v>
      </c>
      <c r="W156" s="228">
        <v>0</v>
      </c>
      <c r="X156" s="229">
        <v>0</v>
      </c>
      <c r="Y156" s="228">
        <v>2.1</v>
      </c>
      <c r="Z156" s="228">
        <v>2.4</v>
      </c>
      <c r="AA156" s="228">
        <v>-0.3</v>
      </c>
      <c r="AB156" s="229">
        <v>8.9999999999999998E-4</v>
      </c>
      <c r="AC156" s="228">
        <v>2.1</v>
      </c>
      <c r="AD156" s="228">
        <v>2.4</v>
      </c>
      <c r="AE156" s="228">
        <v>-0.3</v>
      </c>
      <c r="AF156" s="229">
        <v>8.9999999999999998E-4</v>
      </c>
      <c r="AG156" s="228">
        <v>14.8</v>
      </c>
      <c r="AH156" s="228">
        <v>17.100000000000001</v>
      </c>
      <c r="AI156" s="228">
        <v>-2.2999999999999998</v>
      </c>
      <c r="AJ156" s="229">
        <v>6.1000000000000004E-3</v>
      </c>
      <c r="AK156" s="228">
        <v>0</v>
      </c>
      <c r="AL156" s="228">
        <v>0</v>
      </c>
      <c r="AM156" s="228">
        <v>0</v>
      </c>
      <c r="AN156" s="229">
        <v>0</v>
      </c>
      <c r="AO156" s="231">
        <v>2454.69</v>
      </c>
      <c r="AP156" s="231">
        <v>2467</v>
      </c>
      <c r="AQ156" s="228">
        <v>0</v>
      </c>
      <c r="AR156" s="230">
        <v>782250</v>
      </c>
      <c r="AS156" s="230">
        <v>868250</v>
      </c>
      <c r="AT156" s="230">
        <v>-86000</v>
      </c>
      <c r="AU156" s="229">
        <v>-9.9000000000000005E-2</v>
      </c>
      <c r="AV156" s="230">
        <v>664000</v>
      </c>
      <c r="AW156" s="230">
        <v>784750</v>
      </c>
      <c r="AX156" s="230">
        <v>-120750</v>
      </c>
      <c r="AY156" s="229">
        <v>-0.15390000000000001</v>
      </c>
      <c r="AZ156" s="230">
        <v>114500</v>
      </c>
      <c r="BA156" s="230">
        <v>68250</v>
      </c>
      <c r="BB156" s="230">
        <v>46250</v>
      </c>
      <c r="BC156" s="229">
        <v>0.67769999999999997</v>
      </c>
      <c r="BD156" s="228">
        <v>0</v>
      </c>
      <c r="BE156" s="228">
        <v>0</v>
      </c>
      <c r="BF156" s="228">
        <v>0</v>
      </c>
      <c r="BG156" s="229">
        <v>0</v>
      </c>
      <c r="BH156" s="230">
        <v>1435250</v>
      </c>
      <c r="BI156" s="230">
        <v>1759250</v>
      </c>
      <c r="BJ156" s="230">
        <v>-324000</v>
      </c>
      <c r="BK156" s="229">
        <v>-0.1842</v>
      </c>
      <c r="BL156" s="230">
        <v>1140500</v>
      </c>
      <c r="BM156" s="230">
        <v>1410250</v>
      </c>
      <c r="BN156" s="230">
        <v>-269750</v>
      </c>
      <c r="BO156" s="229">
        <v>-0.1913</v>
      </c>
      <c r="BP156" s="230">
        <v>3358000</v>
      </c>
      <c r="BQ156" s="230">
        <v>4037750</v>
      </c>
      <c r="BR156" s="230">
        <v>-679750</v>
      </c>
      <c r="BS156" s="229">
        <v>-0.16830000000000001</v>
      </c>
      <c r="BT156" s="230">
        <v>404233</v>
      </c>
      <c r="BU156" s="230">
        <v>497852</v>
      </c>
      <c r="BV156" s="230">
        <v>-93619</v>
      </c>
      <c r="BW156" s="229">
        <v>-0.188</v>
      </c>
      <c r="BX156" s="230">
        <v>9888000</v>
      </c>
      <c r="BY156" s="230">
        <v>9859750</v>
      </c>
      <c r="BZ156" s="230">
        <v>28250</v>
      </c>
      <c r="CA156" s="229">
        <v>2.8999999999999998E-3</v>
      </c>
      <c r="CB156" s="230">
        <v>9449250</v>
      </c>
      <c r="CC156" s="230">
        <v>9463750</v>
      </c>
      <c r="CD156" s="230">
        <v>-14500</v>
      </c>
      <c r="CE156" s="229">
        <v>-1.5E-3</v>
      </c>
      <c r="CF156" s="230">
        <v>374250</v>
      </c>
      <c r="CG156" s="230">
        <v>333750</v>
      </c>
      <c r="CH156" s="230">
        <v>40500</v>
      </c>
      <c r="CI156" s="229">
        <v>0.12130000000000001</v>
      </c>
      <c r="CJ156" s="228">
        <v>0</v>
      </c>
      <c r="CK156" s="228">
        <v>0</v>
      </c>
      <c r="CL156" s="228">
        <v>0</v>
      </c>
      <c r="CM156" s="229">
        <v>0</v>
      </c>
      <c r="CN156" s="230">
        <v>2265250</v>
      </c>
      <c r="CO156" s="230">
        <v>2194750</v>
      </c>
      <c r="CP156" s="230">
        <v>70500</v>
      </c>
      <c r="CQ156" s="229">
        <v>3.2099999999999997E-2</v>
      </c>
      <c r="CR156" s="230">
        <v>2265250</v>
      </c>
      <c r="CS156" s="230">
        <v>2138000</v>
      </c>
      <c r="CT156" s="230">
        <v>127250</v>
      </c>
      <c r="CU156" s="229">
        <v>5.9499999999999997E-2</v>
      </c>
      <c r="CV156" s="230">
        <v>14418500</v>
      </c>
      <c r="CW156" s="230">
        <v>14192500</v>
      </c>
      <c r="CX156" s="230">
        <v>226000</v>
      </c>
      <c r="CY156" s="229">
        <v>1.5900000000000001E-2</v>
      </c>
      <c r="CZ156" s="228">
        <v>26.87</v>
      </c>
      <c r="DA156" s="228">
        <v>25.59</v>
      </c>
      <c r="DB156" s="228">
        <v>1.28</v>
      </c>
      <c r="DC156" s="228">
        <v>1.28</v>
      </c>
      <c r="DD156" s="228">
        <v>22.21</v>
      </c>
      <c r="DE156" s="228">
        <v>22.2</v>
      </c>
      <c r="DF156" s="228">
        <v>4.66</v>
      </c>
      <c r="DG156" s="228">
        <v>0.01</v>
      </c>
      <c r="DH156" s="228">
        <v>26.95</v>
      </c>
      <c r="DI156" s="228">
        <v>24.94</v>
      </c>
      <c r="DJ156" s="228">
        <v>2.0099999999999998</v>
      </c>
      <c r="DK156" s="228">
        <v>2.0099999999999998</v>
      </c>
      <c r="DL156" s="228">
        <v>26.77</v>
      </c>
      <c r="DM156" s="228">
        <v>26.41</v>
      </c>
      <c r="DN156" s="228">
        <v>0.36</v>
      </c>
      <c r="DO156" s="228">
        <v>0.36</v>
      </c>
      <c r="DP156" s="228">
        <v>1</v>
      </c>
      <c r="DQ156" s="228">
        <v>0.97</v>
      </c>
      <c r="DR156" s="228">
        <v>0.03</v>
      </c>
      <c r="DS156" s="229">
        <v>3.09E-2</v>
      </c>
      <c r="DT156" s="231">
        <v>2500</v>
      </c>
      <c r="DU156" s="231">
        <v>2400</v>
      </c>
      <c r="DV156" s="228">
        <v>0.79</v>
      </c>
      <c r="DW156" s="228">
        <v>0.8</v>
      </c>
      <c r="DX156" s="228">
        <v>-0.01</v>
      </c>
      <c r="DY156" s="229">
        <v>-1.2500000000000001E-2</v>
      </c>
      <c r="DZ156" s="229">
        <v>3.78E-2</v>
      </c>
      <c r="EA156" s="230">
        <v>333750</v>
      </c>
      <c r="EB156" s="229">
        <v>5.1999999999999998E-3</v>
      </c>
      <c r="EC156" s="229">
        <v>3.78E-2</v>
      </c>
      <c r="ED156" s="228">
        <v>12.31</v>
      </c>
      <c r="EE156" s="229">
        <v>5.0000000000000001E-3</v>
      </c>
      <c r="EF156" s="230">
        <v>226966</v>
      </c>
      <c r="EG156" s="230">
        <v>278102</v>
      </c>
      <c r="EH156" s="229">
        <v>-0.18390000000000001</v>
      </c>
      <c r="EI156" s="229">
        <v>0.5615</v>
      </c>
      <c r="EJ156" s="231">
        <v>36436.769999999997</v>
      </c>
      <c r="EK156" s="231">
        <v>27640.75</v>
      </c>
      <c r="EL156" s="231">
        <v>19217.11</v>
      </c>
      <c r="EM156" s="228">
        <v>0</v>
      </c>
      <c r="EN156" s="231">
        <v>83294.63</v>
      </c>
      <c r="EO156" s="231">
        <v>99655.51</v>
      </c>
      <c r="EP156" s="231">
        <v>-16360.88</v>
      </c>
      <c r="EQ156" s="229">
        <v>-0.16420000000000001</v>
      </c>
      <c r="ER156" s="231">
        <v>57198</v>
      </c>
      <c r="ES156" s="231">
        <v>52567</v>
      </c>
      <c r="ET156" s="231">
        <v>241883</v>
      </c>
      <c r="EU156" s="231">
        <v>71801274</v>
      </c>
      <c r="EV156" s="231">
        <v>351648</v>
      </c>
      <c r="EW156" s="231">
        <v>349090</v>
      </c>
      <c r="EX156" s="231">
        <v>2558</v>
      </c>
      <c r="EY156" s="229">
        <v>7.3000000000000001E-3</v>
      </c>
      <c r="EZ156" s="229">
        <v>0.20080000000000001</v>
      </c>
      <c r="FA156" s="227" t="s">
        <v>567</v>
      </c>
      <c r="FB156" s="161">
        <f t="shared" si="3"/>
        <v>0</v>
      </c>
    </row>
    <row r="157" spans="1:158" ht="17.25" thickBot="1" x14ac:dyDescent="0.3">
      <c r="A157" s="226">
        <v>45860</v>
      </c>
      <c r="B157" s="227" t="s">
        <v>161</v>
      </c>
      <c r="C157" s="227" t="s">
        <v>586</v>
      </c>
      <c r="D157" s="228">
        <v>6400</v>
      </c>
      <c r="E157" s="228">
        <v>86.58</v>
      </c>
      <c r="F157" s="228">
        <v>87.75</v>
      </c>
      <c r="G157" s="228">
        <v>-1.17</v>
      </c>
      <c r="H157" s="229">
        <v>-1.3299999999999999E-2</v>
      </c>
      <c r="I157" s="228">
        <v>86.33</v>
      </c>
      <c r="J157" s="228">
        <v>87.53</v>
      </c>
      <c r="K157" s="228">
        <v>-1.2</v>
      </c>
      <c r="L157" s="229">
        <v>-1.37E-2</v>
      </c>
      <c r="M157" s="228">
        <v>86.58</v>
      </c>
      <c r="N157" s="228">
        <v>87.75</v>
      </c>
      <c r="O157" s="228">
        <v>-1.17</v>
      </c>
      <c r="P157" s="229">
        <v>-1.3299999999999999E-2</v>
      </c>
      <c r="Q157" s="228">
        <v>86.64</v>
      </c>
      <c r="R157" s="228">
        <v>87.86</v>
      </c>
      <c r="S157" s="228">
        <v>-1.22</v>
      </c>
      <c r="T157" s="229">
        <v>-1.3899999999999999E-2</v>
      </c>
      <c r="U157" s="228">
        <v>0</v>
      </c>
      <c r="V157" s="228">
        <v>0</v>
      </c>
      <c r="W157" s="228">
        <v>0</v>
      </c>
      <c r="X157" s="229">
        <v>0</v>
      </c>
      <c r="Y157" s="228">
        <v>0.25</v>
      </c>
      <c r="Z157" s="228">
        <v>0.22</v>
      </c>
      <c r="AA157" s="228">
        <v>0.03</v>
      </c>
      <c r="AB157" s="229">
        <v>2.8999999999999998E-3</v>
      </c>
      <c r="AC157" s="228">
        <v>0.25</v>
      </c>
      <c r="AD157" s="228">
        <v>0.22</v>
      </c>
      <c r="AE157" s="228">
        <v>0.03</v>
      </c>
      <c r="AF157" s="229">
        <v>2.8999999999999998E-3</v>
      </c>
      <c r="AG157" s="228">
        <v>0.31</v>
      </c>
      <c r="AH157" s="228">
        <v>0.33</v>
      </c>
      <c r="AI157" s="228">
        <v>-0.02</v>
      </c>
      <c r="AJ157" s="229">
        <v>3.5999999999999999E-3</v>
      </c>
      <c r="AK157" s="228">
        <v>0</v>
      </c>
      <c r="AL157" s="228">
        <v>0</v>
      </c>
      <c r="AM157" s="228">
        <v>0</v>
      </c>
      <c r="AN157" s="229">
        <v>0</v>
      </c>
      <c r="AO157" s="228">
        <v>86.91</v>
      </c>
      <c r="AP157" s="228">
        <v>87.03</v>
      </c>
      <c r="AQ157" s="228">
        <v>0</v>
      </c>
      <c r="AR157" s="230">
        <v>5440000</v>
      </c>
      <c r="AS157" s="230">
        <v>5260800</v>
      </c>
      <c r="AT157" s="230">
        <v>179200</v>
      </c>
      <c r="AU157" s="229">
        <v>3.4099999999999998E-2</v>
      </c>
      <c r="AV157" s="230">
        <v>4102400</v>
      </c>
      <c r="AW157" s="230">
        <v>4236800</v>
      </c>
      <c r="AX157" s="230">
        <v>-134400</v>
      </c>
      <c r="AY157" s="229">
        <v>-3.1699999999999999E-2</v>
      </c>
      <c r="AZ157" s="230">
        <v>1024000</v>
      </c>
      <c r="BA157" s="230">
        <v>1004800</v>
      </c>
      <c r="BB157" s="230">
        <v>19200</v>
      </c>
      <c r="BC157" s="229">
        <v>1.9099999999999999E-2</v>
      </c>
      <c r="BD157" s="228">
        <v>0</v>
      </c>
      <c r="BE157" s="228">
        <v>0</v>
      </c>
      <c r="BF157" s="228">
        <v>0</v>
      </c>
      <c r="BG157" s="229">
        <v>0</v>
      </c>
      <c r="BH157" s="230">
        <v>9747200</v>
      </c>
      <c r="BI157" s="230">
        <v>6854400</v>
      </c>
      <c r="BJ157" s="230">
        <v>2892800</v>
      </c>
      <c r="BK157" s="229">
        <v>0.42199999999999999</v>
      </c>
      <c r="BL157" s="230">
        <v>2668800</v>
      </c>
      <c r="BM157" s="230">
        <v>3808000</v>
      </c>
      <c r="BN157" s="230">
        <v>-1139200</v>
      </c>
      <c r="BO157" s="229">
        <v>-0.29920000000000002</v>
      </c>
      <c r="BP157" s="230">
        <v>17856000</v>
      </c>
      <c r="BQ157" s="230">
        <v>15923200</v>
      </c>
      <c r="BR157" s="230">
        <v>1932800</v>
      </c>
      <c r="BS157" s="229">
        <v>0.12139999999999999</v>
      </c>
      <c r="BT157" s="230">
        <v>6966245</v>
      </c>
      <c r="BU157" s="230">
        <v>6660693</v>
      </c>
      <c r="BV157" s="230">
        <v>305552</v>
      </c>
      <c r="BW157" s="229">
        <v>4.5900000000000003E-2</v>
      </c>
      <c r="BX157" s="230">
        <v>69977600</v>
      </c>
      <c r="BY157" s="230">
        <v>70201600</v>
      </c>
      <c r="BZ157" s="230">
        <v>-224000</v>
      </c>
      <c r="CA157" s="229">
        <v>-3.2000000000000002E-3</v>
      </c>
      <c r="CB157" s="230">
        <v>64928000</v>
      </c>
      <c r="CC157" s="230">
        <v>65836800</v>
      </c>
      <c r="CD157" s="230">
        <v>-908800</v>
      </c>
      <c r="CE157" s="229">
        <v>-1.38E-2</v>
      </c>
      <c r="CF157" s="230">
        <v>4537600</v>
      </c>
      <c r="CG157" s="230">
        <v>4076800</v>
      </c>
      <c r="CH157" s="230">
        <v>460800</v>
      </c>
      <c r="CI157" s="229">
        <v>0.113</v>
      </c>
      <c r="CJ157" s="228">
        <v>0</v>
      </c>
      <c r="CK157" s="228">
        <v>0</v>
      </c>
      <c r="CL157" s="228">
        <v>0</v>
      </c>
      <c r="CM157" s="229">
        <v>0</v>
      </c>
      <c r="CN157" s="230">
        <v>23545600</v>
      </c>
      <c r="CO157" s="230">
        <v>23225600</v>
      </c>
      <c r="CP157" s="230">
        <v>320000</v>
      </c>
      <c r="CQ157" s="229">
        <v>1.38E-2</v>
      </c>
      <c r="CR157" s="230">
        <v>11827200</v>
      </c>
      <c r="CS157" s="230">
        <v>12064000</v>
      </c>
      <c r="CT157" s="230">
        <v>-236800</v>
      </c>
      <c r="CU157" s="229">
        <v>-1.9599999999999999E-2</v>
      </c>
      <c r="CV157" s="230">
        <v>105350400</v>
      </c>
      <c r="CW157" s="230">
        <v>105491200</v>
      </c>
      <c r="CX157" s="230">
        <v>-140800</v>
      </c>
      <c r="CY157" s="229">
        <v>-1.2999999999999999E-3</v>
      </c>
      <c r="CZ157" s="228">
        <v>30.99</v>
      </c>
      <c r="DA157" s="228">
        <v>30.07</v>
      </c>
      <c r="DB157" s="228">
        <v>0.92</v>
      </c>
      <c r="DC157" s="228">
        <v>0.92</v>
      </c>
      <c r="DD157" s="228">
        <v>42.95</v>
      </c>
      <c r="DE157" s="228">
        <v>43.02</v>
      </c>
      <c r="DF157" s="228">
        <v>-11.96</v>
      </c>
      <c r="DG157" s="228">
        <v>-7.0000000000000007E-2</v>
      </c>
      <c r="DH157" s="228">
        <v>31.79</v>
      </c>
      <c r="DI157" s="228">
        <v>30.87</v>
      </c>
      <c r="DJ157" s="228">
        <v>0.92</v>
      </c>
      <c r="DK157" s="228">
        <v>0.92</v>
      </c>
      <c r="DL157" s="228">
        <v>28.04</v>
      </c>
      <c r="DM157" s="228">
        <v>28.63</v>
      </c>
      <c r="DN157" s="228">
        <v>-0.59</v>
      </c>
      <c r="DO157" s="228">
        <v>-0.59</v>
      </c>
      <c r="DP157" s="228">
        <v>0.5</v>
      </c>
      <c r="DQ157" s="228">
        <v>0.52</v>
      </c>
      <c r="DR157" s="228">
        <v>-0.02</v>
      </c>
      <c r="DS157" s="229">
        <v>-3.85E-2</v>
      </c>
      <c r="DT157" s="228">
        <v>90</v>
      </c>
      <c r="DU157" s="228">
        <v>85</v>
      </c>
      <c r="DV157" s="228">
        <v>0.27</v>
      </c>
      <c r="DW157" s="228">
        <v>0.56000000000000005</v>
      </c>
      <c r="DX157" s="228">
        <v>-0.28999999999999998</v>
      </c>
      <c r="DY157" s="229">
        <v>-0.51790000000000003</v>
      </c>
      <c r="DZ157" s="229">
        <v>6.4799999999999996E-2</v>
      </c>
      <c r="EA157" s="230">
        <v>4076800</v>
      </c>
      <c r="EB157" s="229">
        <v>6.9999999999999999E-4</v>
      </c>
      <c r="EC157" s="229">
        <v>6.4799999999999996E-2</v>
      </c>
      <c r="ED157" s="228">
        <v>0.12</v>
      </c>
      <c r="EE157" s="229">
        <v>1.4E-3</v>
      </c>
      <c r="EF157" s="230">
        <v>4138579</v>
      </c>
      <c r="EG157" s="230">
        <v>3062641</v>
      </c>
      <c r="EH157" s="229">
        <v>0.3513</v>
      </c>
      <c r="EI157" s="229">
        <v>0.59409999999999996</v>
      </c>
      <c r="EJ157" s="231">
        <v>8962.77</v>
      </c>
      <c r="EK157" s="231">
        <v>2329.46</v>
      </c>
      <c r="EL157" s="231">
        <v>4730.0600000000004</v>
      </c>
      <c r="EM157" s="228">
        <v>0</v>
      </c>
      <c r="EN157" s="231">
        <v>16022.29</v>
      </c>
      <c r="EO157" s="231">
        <v>14170.52</v>
      </c>
      <c r="EP157" s="231">
        <v>1851.77</v>
      </c>
      <c r="EQ157" s="229">
        <v>0.13070000000000001</v>
      </c>
      <c r="ER157" s="231">
        <v>21334</v>
      </c>
      <c r="ES157" s="231">
        <v>9934</v>
      </c>
      <c r="ET157" s="231">
        <v>60592</v>
      </c>
      <c r="EU157" s="231">
        <v>654977669</v>
      </c>
      <c r="EV157" s="231">
        <v>91859</v>
      </c>
      <c r="EW157" s="231">
        <v>92811</v>
      </c>
      <c r="EX157" s="228">
        <v>-952</v>
      </c>
      <c r="EY157" s="229">
        <v>-1.03E-2</v>
      </c>
      <c r="EZ157" s="229">
        <v>0.1608</v>
      </c>
      <c r="FA157" s="227" t="s">
        <v>568</v>
      </c>
      <c r="FB157" s="161">
        <f t="shared" si="3"/>
        <v>0</v>
      </c>
    </row>
    <row r="158" spans="1:158" ht="17.25" thickBot="1" x14ac:dyDescent="0.3">
      <c r="A158" s="226">
        <v>45860</v>
      </c>
      <c r="B158" s="227" t="s">
        <v>181</v>
      </c>
      <c r="C158" s="227" t="s">
        <v>266</v>
      </c>
      <c r="D158" s="228">
        <v>75</v>
      </c>
      <c r="E158" s="231">
        <v>25093.9</v>
      </c>
      <c r="F158" s="231">
        <v>25127.599999999999</v>
      </c>
      <c r="G158" s="228">
        <v>-33.700000000000003</v>
      </c>
      <c r="H158" s="229">
        <v>-1.2999999999999999E-3</v>
      </c>
      <c r="I158" s="231">
        <v>25060.9</v>
      </c>
      <c r="J158" s="231">
        <v>25090.7</v>
      </c>
      <c r="K158" s="228">
        <v>-29.8</v>
      </c>
      <c r="L158" s="229">
        <v>-1.1999999999999999E-3</v>
      </c>
      <c r="M158" s="231">
        <v>25093.9</v>
      </c>
      <c r="N158" s="231">
        <v>25127.599999999999</v>
      </c>
      <c r="O158" s="228">
        <v>-33.700000000000003</v>
      </c>
      <c r="P158" s="229">
        <v>-1.2999999999999999E-3</v>
      </c>
      <c r="Q158" s="231">
        <v>25199</v>
      </c>
      <c r="R158" s="231">
        <v>25226.7</v>
      </c>
      <c r="S158" s="228">
        <v>-27.7</v>
      </c>
      <c r="T158" s="229">
        <v>-1.1000000000000001E-3</v>
      </c>
      <c r="U158" s="231">
        <v>25348.5</v>
      </c>
      <c r="V158" s="231">
        <v>25378.9</v>
      </c>
      <c r="W158" s="228">
        <v>-30.4</v>
      </c>
      <c r="X158" s="229">
        <v>-1.1999999999999999E-3</v>
      </c>
      <c r="Y158" s="228">
        <v>33</v>
      </c>
      <c r="Z158" s="228">
        <v>36.9</v>
      </c>
      <c r="AA158" s="228">
        <v>-3.9</v>
      </c>
      <c r="AB158" s="229">
        <v>1.2999999999999999E-3</v>
      </c>
      <c r="AC158" s="228">
        <v>33</v>
      </c>
      <c r="AD158" s="228">
        <v>36.9</v>
      </c>
      <c r="AE158" s="228">
        <v>-3.9</v>
      </c>
      <c r="AF158" s="229">
        <v>1.2999999999999999E-3</v>
      </c>
      <c r="AG158" s="228">
        <v>138.1</v>
      </c>
      <c r="AH158" s="228">
        <v>136</v>
      </c>
      <c r="AI158" s="228">
        <v>2.1</v>
      </c>
      <c r="AJ158" s="229">
        <v>5.4999999999999997E-3</v>
      </c>
      <c r="AK158" s="228">
        <v>287.60000000000002</v>
      </c>
      <c r="AL158" s="228">
        <v>288.2</v>
      </c>
      <c r="AM158" s="228">
        <v>-0.6</v>
      </c>
      <c r="AN158" s="229">
        <v>1.15E-2</v>
      </c>
      <c r="AO158" s="231">
        <v>25122.12</v>
      </c>
      <c r="AP158" s="231">
        <v>25224.94</v>
      </c>
      <c r="AQ158" s="228">
        <v>0</v>
      </c>
      <c r="AR158" s="230">
        <v>3567075</v>
      </c>
      <c r="AS158" s="230">
        <v>4995750</v>
      </c>
      <c r="AT158" s="230">
        <v>-1428675</v>
      </c>
      <c r="AU158" s="229">
        <v>-0.28599999999999998</v>
      </c>
      <c r="AV158" s="230">
        <v>3099225</v>
      </c>
      <c r="AW158" s="230">
        <v>4273200</v>
      </c>
      <c r="AX158" s="230">
        <v>-1173975</v>
      </c>
      <c r="AY158" s="229">
        <v>-0.2747</v>
      </c>
      <c r="AZ158" s="230">
        <v>401400</v>
      </c>
      <c r="BA158" s="230">
        <v>522075</v>
      </c>
      <c r="BB158" s="230">
        <v>-120675</v>
      </c>
      <c r="BC158" s="229">
        <v>-0.2311</v>
      </c>
      <c r="BD158" s="230">
        <v>66450</v>
      </c>
      <c r="BE158" s="230">
        <v>200475</v>
      </c>
      <c r="BF158" s="230">
        <v>-134025</v>
      </c>
      <c r="BG158" s="229">
        <v>-0.66849999999999998</v>
      </c>
      <c r="BH158" s="230">
        <v>2047297725</v>
      </c>
      <c r="BI158" s="230">
        <v>2450272125</v>
      </c>
      <c r="BJ158" s="230">
        <v>-402974400</v>
      </c>
      <c r="BK158" s="229">
        <v>-0.16450000000000001</v>
      </c>
      <c r="BL158" s="230">
        <v>2007721725</v>
      </c>
      <c r="BM158" s="230">
        <v>2084121375</v>
      </c>
      <c r="BN158" s="230">
        <v>-76399650</v>
      </c>
      <c r="BO158" s="229">
        <v>-3.6700000000000003E-2</v>
      </c>
      <c r="BP158" s="230">
        <v>4058586525</v>
      </c>
      <c r="BQ158" s="230">
        <v>4539389250</v>
      </c>
      <c r="BR158" s="230">
        <v>-480802725</v>
      </c>
      <c r="BS158" s="229">
        <v>-0.10589999999999999</v>
      </c>
      <c r="BT158" s="228">
        <v>0</v>
      </c>
      <c r="BU158" s="228">
        <v>0</v>
      </c>
      <c r="BV158" s="228">
        <v>0</v>
      </c>
      <c r="BW158" s="229">
        <v>0</v>
      </c>
      <c r="BX158" s="230">
        <v>19057125</v>
      </c>
      <c r="BY158" s="230">
        <v>18971850</v>
      </c>
      <c r="BZ158" s="230">
        <v>85275</v>
      </c>
      <c r="CA158" s="229">
        <v>4.4999999999999997E-3</v>
      </c>
      <c r="CB158" s="230">
        <v>13220850</v>
      </c>
      <c r="CC158" s="230">
        <v>13284525</v>
      </c>
      <c r="CD158" s="230">
        <v>-63675</v>
      </c>
      <c r="CE158" s="229">
        <v>-4.7999999999999996E-3</v>
      </c>
      <c r="CF158" s="230">
        <v>5337900</v>
      </c>
      <c r="CG158" s="230">
        <v>5200425</v>
      </c>
      <c r="CH158" s="230">
        <v>137475</v>
      </c>
      <c r="CI158" s="229">
        <v>2.64E-2</v>
      </c>
      <c r="CJ158" s="230">
        <v>498375</v>
      </c>
      <c r="CK158" s="230">
        <v>486900</v>
      </c>
      <c r="CL158" s="230">
        <v>11475</v>
      </c>
      <c r="CM158" s="229">
        <v>2.3599999999999999E-2</v>
      </c>
      <c r="CN158" s="230">
        <v>264543025</v>
      </c>
      <c r="CO158" s="230">
        <v>221390225</v>
      </c>
      <c r="CP158" s="230">
        <v>43152800</v>
      </c>
      <c r="CQ158" s="229">
        <v>0.19489999999999999</v>
      </c>
      <c r="CR158" s="230">
        <v>221494850</v>
      </c>
      <c r="CS158" s="230">
        <v>211439200</v>
      </c>
      <c r="CT158" s="230">
        <v>10055650</v>
      </c>
      <c r="CU158" s="229">
        <v>4.7600000000000003E-2</v>
      </c>
      <c r="CV158" s="230">
        <v>505095000</v>
      </c>
      <c r="CW158" s="230">
        <v>451801275</v>
      </c>
      <c r="CX158" s="230">
        <v>53293725</v>
      </c>
      <c r="CY158" s="229">
        <v>0.11799999999999999</v>
      </c>
      <c r="CZ158" s="228">
        <v>10.76</v>
      </c>
      <c r="DA158" s="228">
        <v>11.39</v>
      </c>
      <c r="DB158" s="228">
        <v>-0.63</v>
      </c>
      <c r="DC158" s="228">
        <v>-0.63</v>
      </c>
      <c r="DD158" s="228">
        <v>16.37</v>
      </c>
      <c r="DE158" s="228">
        <v>16.41</v>
      </c>
      <c r="DF158" s="228">
        <v>-5.61</v>
      </c>
      <c r="DG158" s="228">
        <v>-0.04</v>
      </c>
      <c r="DH158" s="228">
        <v>10.44</v>
      </c>
      <c r="DI158" s="228">
        <v>10.7</v>
      </c>
      <c r="DJ158" s="228">
        <v>-0.26</v>
      </c>
      <c r="DK158" s="228">
        <v>-0.26</v>
      </c>
      <c r="DL158" s="228">
        <v>11.12</v>
      </c>
      <c r="DM158" s="228">
        <v>12.18</v>
      </c>
      <c r="DN158" s="228">
        <v>-1.06</v>
      </c>
      <c r="DO158" s="228">
        <v>-1.06</v>
      </c>
      <c r="DP158" s="228">
        <v>0.84</v>
      </c>
      <c r="DQ158" s="228">
        <v>0.96</v>
      </c>
      <c r="DR158" s="228">
        <v>-0.12</v>
      </c>
      <c r="DS158" s="229">
        <v>-0.125</v>
      </c>
      <c r="DT158" s="231">
        <v>25100</v>
      </c>
      <c r="DU158" s="231">
        <v>25000</v>
      </c>
      <c r="DV158" s="228">
        <v>0.98</v>
      </c>
      <c r="DW158" s="228">
        <v>0.85</v>
      </c>
      <c r="DX158" s="228">
        <v>0.13</v>
      </c>
      <c r="DY158" s="229">
        <v>0.15290000000000001</v>
      </c>
      <c r="DZ158" s="229">
        <v>0.30630000000000002</v>
      </c>
      <c r="EA158" s="230">
        <v>5687325</v>
      </c>
      <c r="EB158" s="229">
        <v>4.1999999999999997E-3</v>
      </c>
      <c r="EC158" s="229">
        <v>0.30630000000000002</v>
      </c>
      <c r="ED158" s="228">
        <v>102.82</v>
      </c>
      <c r="EE158" s="229">
        <v>4.1000000000000003E-3</v>
      </c>
      <c r="EF158" s="228">
        <v>0</v>
      </c>
      <c r="EG158" s="228">
        <v>0</v>
      </c>
      <c r="EH158" s="229">
        <v>0</v>
      </c>
      <c r="EI158" s="229">
        <v>0</v>
      </c>
      <c r="EJ158" s="231">
        <v>520907718.12</v>
      </c>
      <c r="EK158" s="231">
        <v>499672713.49000001</v>
      </c>
      <c r="EL158" s="231">
        <v>896709.42</v>
      </c>
      <c r="EM158" s="228">
        <v>0</v>
      </c>
      <c r="EN158" s="231">
        <v>1021477141.03</v>
      </c>
      <c r="EO158" s="231">
        <v>1140351259.9300001</v>
      </c>
      <c r="EP158" s="231">
        <v>-118874118.90000001</v>
      </c>
      <c r="EQ158" s="229">
        <v>-0.1042</v>
      </c>
      <c r="ER158" s="231">
        <v>68039144</v>
      </c>
      <c r="ES158" s="231">
        <v>54134337</v>
      </c>
      <c r="ET158" s="231">
        <v>4789055</v>
      </c>
      <c r="EU158" s="228">
        <v>0</v>
      </c>
      <c r="EV158" s="231">
        <v>126962536</v>
      </c>
      <c r="EW158" s="231">
        <v>113465256</v>
      </c>
      <c r="EX158" s="231">
        <v>13497280</v>
      </c>
      <c r="EY158" s="229">
        <v>0.11899999999999999</v>
      </c>
      <c r="EZ158" s="229">
        <v>0</v>
      </c>
      <c r="FA158" s="227" t="s">
        <v>567</v>
      </c>
      <c r="FB158" s="161">
        <f t="shared" si="3"/>
        <v>0</v>
      </c>
    </row>
    <row r="159" spans="1:158" ht="17.25" thickBot="1" x14ac:dyDescent="0.3">
      <c r="A159" s="226">
        <v>45860</v>
      </c>
      <c r="B159" s="227" t="s">
        <v>181</v>
      </c>
      <c r="C159" s="227" t="s">
        <v>566</v>
      </c>
      <c r="D159" s="228">
        <v>25</v>
      </c>
      <c r="E159" s="231">
        <v>68212.600000000006</v>
      </c>
      <c r="F159" s="231">
        <v>68591.600000000006</v>
      </c>
      <c r="G159" s="228">
        <v>-379</v>
      </c>
      <c r="H159" s="229">
        <v>-5.4999999999999997E-3</v>
      </c>
      <c r="I159" s="231">
        <v>68253.899999999994</v>
      </c>
      <c r="J159" s="231">
        <v>68503.149999999994</v>
      </c>
      <c r="K159" s="228">
        <v>-249.25</v>
      </c>
      <c r="L159" s="229">
        <v>-3.5999999999999999E-3</v>
      </c>
      <c r="M159" s="231">
        <v>68212.600000000006</v>
      </c>
      <c r="N159" s="231">
        <v>68591.600000000006</v>
      </c>
      <c r="O159" s="228">
        <v>-379</v>
      </c>
      <c r="P159" s="229">
        <v>-5.4999999999999997E-3</v>
      </c>
      <c r="Q159" s="231">
        <v>68582</v>
      </c>
      <c r="R159" s="231">
        <v>68960.600000000006</v>
      </c>
      <c r="S159" s="228">
        <v>-378.6</v>
      </c>
      <c r="T159" s="229">
        <v>-5.4999999999999997E-3</v>
      </c>
      <c r="U159" s="228">
        <v>0</v>
      </c>
      <c r="V159" s="228">
        <v>0</v>
      </c>
      <c r="W159" s="228">
        <v>0</v>
      </c>
      <c r="X159" s="229">
        <v>0</v>
      </c>
      <c r="Y159" s="228">
        <v>-41.3</v>
      </c>
      <c r="Z159" s="228">
        <v>88.45</v>
      </c>
      <c r="AA159" s="228">
        <v>-129.75</v>
      </c>
      <c r="AB159" s="229">
        <v>-5.9999999999999995E-4</v>
      </c>
      <c r="AC159" s="228">
        <v>-41.3</v>
      </c>
      <c r="AD159" s="228">
        <v>88.45</v>
      </c>
      <c r="AE159" s="228">
        <v>-129.75</v>
      </c>
      <c r="AF159" s="229">
        <v>-5.9999999999999995E-4</v>
      </c>
      <c r="AG159" s="228">
        <v>328.1</v>
      </c>
      <c r="AH159" s="228">
        <v>457.45</v>
      </c>
      <c r="AI159" s="228">
        <v>-129.35</v>
      </c>
      <c r="AJ159" s="229">
        <v>4.7999999999999996E-3</v>
      </c>
      <c r="AK159" s="228">
        <v>0</v>
      </c>
      <c r="AL159" s="228">
        <v>0</v>
      </c>
      <c r="AM159" s="228">
        <v>0</v>
      </c>
      <c r="AN159" s="229">
        <v>0</v>
      </c>
      <c r="AO159" s="231">
        <v>68369.13</v>
      </c>
      <c r="AP159" s="231">
        <v>68698.259999999995</v>
      </c>
      <c r="AQ159" s="228">
        <v>0</v>
      </c>
      <c r="AR159" s="230">
        <v>9200</v>
      </c>
      <c r="AS159" s="230">
        <v>6275</v>
      </c>
      <c r="AT159" s="230">
        <v>2925</v>
      </c>
      <c r="AU159" s="229">
        <v>0.46610000000000001</v>
      </c>
      <c r="AV159" s="230">
        <v>6900</v>
      </c>
      <c r="AW159" s="230">
        <v>5425</v>
      </c>
      <c r="AX159" s="230">
        <v>1475</v>
      </c>
      <c r="AY159" s="229">
        <v>0.27189999999999998</v>
      </c>
      <c r="AZ159" s="230">
        <v>2300</v>
      </c>
      <c r="BA159" s="228">
        <v>850</v>
      </c>
      <c r="BB159" s="230">
        <v>1450</v>
      </c>
      <c r="BC159" s="229">
        <v>1.7059</v>
      </c>
      <c r="BD159" s="228">
        <v>0</v>
      </c>
      <c r="BE159" s="228">
        <v>0</v>
      </c>
      <c r="BF159" s="228">
        <v>0</v>
      </c>
      <c r="BG159" s="229">
        <v>0</v>
      </c>
      <c r="BH159" s="230">
        <v>7175</v>
      </c>
      <c r="BI159" s="230">
        <v>10450</v>
      </c>
      <c r="BJ159" s="230">
        <v>-3275</v>
      </c>
      <c r="BK159" s="229">
        <v>-0.31340000000000001</v>
      </c>
      <c r="BL159" s="230">
        <v>2650</v>
      </c>
      <c r="BM159" s="230">
        <v>4725</v>
      </c>
      <c r="BN159" s="230">
        <v>-2075</v>
      </c>
      <c r="BO159" s="229">
        <v>-0.43919999999999998</v>
      </c>
      <c r="BP159" s="230">
        <v>19025</v>
      </c>
      <c r="BQ159" s="230">
        <v>21450</v>
      </c>
      <c r="BR159" s="230">
        <v>-2425</v>
      </c>
      <c r="BS159" s="229">
        <v>-0.11310000000000001</v>
      </c>
      <c r="BT159" s="228">
        <v>0</v>
      </c>
      <c r="BU159" s="228">
        <v>0</v>
      </c>
      <c r="BV159" s="228">
        <v>0</v>
      </c>
      <c r="BW159" s="229">
        <v>0</v>
      </c>
      <c r="BX159" s="230">
        <v>21675</v>
      </c>
      <c r="BY159" s="230">
        <v>23225</v>
      </c>
      <c r="BZ159" s="230">
        <v>-1550</v>
      </c>
      <c r="CA159" s="229">
        <v>-6.6699999999999995E-2</v>
      </c>
      <c r="CB159" s="230">
        <v>17900</v>
      </c>
      <c r="CC159" s="230">
        <v>19725</v>
      </c>
      <c r="CD159" s="230">
        <v>-1825</v>
      </c>
      <c r="CE159" s="229">
        <v>-9.2499999999999999E-2</v>
      </c>
      <c r="CF159" s="230">
        <v>3750</v>
      </c>
      <c r="CG159" s="230">
        <v>3475</v>
      </c>
      <c r="CH159" s="228">
        <v>275</v>
      </c>
      <c r="CI159" s="229">
        <v>7.9100000000000004E-2</v>
      </c>
      <c r="CJ159" s="228">
        <v>0</v>
      </c>
      <c r="CK159" s="228">
        <v>0</v>
      </c>
      <c r="CL159" s="228">
        <v>0</v>
      </c>
      <c r="CM159" s="229">
        <v>0</v>
      </c>
      <c r="CN159" s="230">
        <v>9950</v>
      </c>
      <c r="CO159" s="230">
        <v>10750</v>
      </c>
      <c r="CP159" s="228">
        <v>-800</v>
      </c>
      <c r="CQ159" s="229">
        <v>-7.4399999999999994E-2</v>
      </c>
      <c r="CR159" s="230">
        <v>3500</v>
      </c>
      <c r="CS159" s="230">
        <v>3550</v>
      </c>
      <c r="CT159" s="228">
        <v>-50</v>
      </c>
      <c r="CU159" s="229">
        <v>-1.41E-2</v>
      </c>
      <c r="CV159" s="230">
        <v>35125</v>
      </c>
      <c r="CW159" s="230">
        <v>37525</v>
      </c>
      <c r="CX159" s="230">
        <v>-2400</v>
      </c>
      <c r="CY159" s="229">
        <v>-6.4000000000000001E-2</v>
      </c>
      <c r="CZ159" s="228">
        <v>11.16</v>
      </c>
      <c r="DA159" s="228">
        <v>11.82</v>
      </c>
      <c r="DB159" s="228">
        <v>-0.66</v>
      </c>
      <c r="DC159" s="228">
        <v>-0.66</v>
      </c>
      <c r="DD159" s="228">
        <v>23.25</v>
      </c>
      <c r="DE159" s="228">
        <v>23.3</v>
      </c>
      <c r="DF159" s="228">
        <v>-12.09</v>
      </c>
      <c r="DG159" s="228">
        <v>-0.05</v>
      </c>
      <c r="DH159" s="228">
        <v>11.16</v>
      </c>
      <c r="DI159" s="228">
        <v>11.59</v>
      </c>
      <c r="DJ159" s="228">
        <v>-0.43</v>
      </c>
      <c r="DK159" s="228">
        <v>-0.43</v>
      </c>
      <c r="DL159" s="228">
        <v>11.15</v>
      </c>
      <c r="DM159" s="228">
        <v>12.32</v>
      </c>
      <c r="DN159" s="228">
        <v>-1.17</v>
      </c>
      <c r="DO159" s="228">
        <v>-1.17</v>
      </c>
      <c r="DP159" s="228">
        <v>0.35</v>
      </c>
      <c r="DQ159" s="228">
        <v>0.33</v>
      </c>
      <c r="DR159" s="228">
        <v>0.02</v>
      </c>
      <c r="DS159" s="229">
        <v>6.0600000000000001E-2</v>
      </c>
      <c r="DT159" s="231">
        <v>69000</v>
      </c>
      <c r="DU159" s="231">
        <v>68000</v>
      </c>
      <c r="DV159" s="228">
        <v>0.37</v>
      </c>
      <c r="DW159" s="228">
        <v>0.45</v>
      </c>
      <c r="DX159" s="228">
        <v>-0.08</v>
      </c>
      <c r="DY159" s="229">
        <v>-0.17780000000000001</v>
      </c>
      <c r="DZ159" s="229">
        <v>0.17299999999999999</v>
      </c>
      <c r="EA159" s="230">
        <v>3475</v>
      </c>
      <c r="EB159" s="229">
        <v>5.4000000000000003E-3</v>
      </c>
      <c r="EC159" s="229">
        <v>0.17299999999999999</v>
      </c>
      <c r="ED159" s="228">
        <v>329.13</v>
      </c>
      <c r="EE159" s="229">
        <v>4.7999999999999996E-3</v>
      </c>
      <c r="EF159" s="228">
        <v>0</v>
      </c>
      <c r="EG159" s="228">
        <v>0</v>
      </c>
      <c r="EH159" s="229">
        <v>0</v>
      </c>
      <c r="EI159" s="229">
        <v>0</v>
      </c>
      <c r="EJ159" s="231">
        <v>4990.2700000000004</v>
      </c>
      <c r="EK159" s="231">
        <v>1825.71</v>
      </c>
      <c r="EL159" s="231">
        <v>6297.53</v>
      </c>
      <c r="EM159" s="228">
        <v>0</v>
      </c>
      <c r="EN159" s="231">
        <v>13113.51</v>
      </c>
      <c r="EO159" s="231">
        <v>14793.04</v>
      </c>
      <c r="EP159" s="231">
        <v>-1679.53</v>
      </c>
      <c r="EQ159" s="229">
        <v>-0.1135</v>
      </c>
      <c r="ER159" s="231">
        <v>6882</v>
      </c>
      <c r="ES159" s="231">
        <v>2387</v>
      </c>
      <c r="ET159" s="231">
        <v>14799</v>
      </c>
      <c r="EU159" s="228">
        <v>0</v>
      </c>
      <c r="EV159" s="231">
        <v>24069</v>
      </c>
      <c r="EW159" s="231">
        <v>25809</v>
      </c>
      <c r="EX159" s="231">
        <v>-1740</v>
      </c>
      <c r="EY159" s="229">
        <v>-6.7400000000000002E-2</v>
      </c>
      <c r="EZ159" s="229">
        <v>0</v>
      </c>
      <c r="FA159" s="227" t="s">
        <v>568</v>
      </c>
      <c r="FB159" s="161">
        <f t="shared" si="3"/>
        <v>0</v>
      </c>
    </row>
    <row r="160" spans="1:158" ht="17.25" thickBot="1" x14ac:dyDescent="0.3">
      <c r="A160" s="226">
        <v>45860</v>
      </c>
      <c r="B160" s="227" t="s">
        <v>227</v>
      </c>
      <c r="C160" s="227" t="s">
        <v>267</v>
      </c>
      <c r="D160" s="228">
        <v>13500</v>
      </c>
      <c r="E160" s="228">
        <v>72.38</v>
      </c>
      <c r="F160" s="228">
        <v>72.17</v>
      </c>
      <c r="G160" s="228">
        <v>0.21</v>
      </c>
      <c r="H160" s="229">
        <v>2.8999999999999998E-3</v>
      </c>
      <c r="I160" s="228">
        <v>72.14</v>
      </c>
      <c r="J160" s="228">
        <v>71.91</v>
      </c>
      <c r="K160" s="228">
        <v>0.23</v>
      </c>
      <c r="L160" s="229">
        <v>3.2000000000000002E-3</v>
      </c>
      <c r="M160" s="228">
        <v>72.38</v>
      </c>
      <c r="N160" s="228">
        <v>72.17</v>
      </c>
      <c r="O160" s="228">
        <v>0.21</v>
      </c>
      <c r="P160" s="229">
        <v>2.8999999999999998E-3</v>
      </c>
      <c r="Q160" s="228">
        <v>72.31</v>
      </c>
      <c r="R160" s="228">
        <v>72.150000000000006</v>
      </c>
      <c r="S160" s="228">
        <v>0.16</v>
      </c>
      <c r="T160" s="229">
        <v>2.2000000000000001E-3</v>
      </c>
      <c r="U160" s="228">
        <v>0</v>
      </c>
      <c r="V160" s="228">
        <v>0</v>
      </c>
      <c r="W160" s="228">
        <v>0</v>
      </c>
      <c r="X160" s="229">
        <v>0</v>
      </c>
      <c r="Y160" s="228">
        <v>0.24</v>
      </c>
      <c r="Z160" s="228">
        <v>0.26</v>
      </c>
      <c r="AA160" s="228">
        <v>-0.02</v>
      </c>
      <c r="AB160" s="229">
        <v>3.3E-3</v>
      </c>
      <c r="AC160" s="228">
        <v>0.24</v>
      </c>
      <c r="AD160" s="228">
        <v>0.26</v>
      </c>
      <c r="AE160" s="228">
        <v>-0.02</v>
      </c>
      <c r="AF160" s="229">
        <v>3.3E-3</v>
      </c>
      <c r="AG160" s="228">
        <v>0.17</v>
      </c>
      <c r="AH160" s="228">
        <v>0.24</v>
      </c>
      <c r="AI160" s="228">
        <v>-7.0000000000000007E-2</v>
      </c>
      <c r="AJ160" s="229">
        <v>2.3999999999999998E-3</v>
      </c>
      <c r="AK160" s="228">
        <v>0</v>
      </c>
      <c r="AL160" s="228">
        <v>0</v>
      </c>
      <c r="AM160" s="228">
        <v>0</v>
      </c>
      <c r="AN160" s="229">
        <v>0</v>
      </c>
      <c r="AO160" s="228">
        <v>72.459999999999994</v>
      </c>
      <c r="AP160" s="228">
        <v>72.36</v>
      </c>
      <c r="AQ160" s="228">
        <v>0</v>
      </c>
      <c r="AR160" s="230">
        <v>52434000</v>
      </c>
      <c r="AS160" s="230">
        <v>63909000</v>
      </c>
      <c r="AT160" s="230">
        <v>-11475000</v>
      </c>
      <c r="AU160" s="229">
        <v>-0.17960000000000001</v>
      </c>
      <c r="AV160" s="230">
        <v>37422000</v>
      </c>
      <c r="AW160" s="230">
        <v>51691500</v>
      </c>
      <c r="AX160" s="230">
        <v>-14269500</v>
      </c>
      <c r="AY160" s="229">
        <v>-0.27610000000000001</v>
      </c>
      <c r="AZ160" s="230">
        <v>13567500</v>
      </c>
      <c r="BA160" s="230">
        <v>9180000</v>
      </c>
      <c r="BB160" s="230">
        <v>4387500</v>
      </c>
      <c r="BC160" s="229">
        <v>0.47789999999999999</v>
      </c>
      <c r="BD160" s="228">
        <v>0</v>
      </c>
      <c r="BE160" s="228">
        <v>0</v>
      </c>
      <c r="BF160" s="228">
        <v>0</v>
      </c>
      <c r="BG160" s="229">
        <v>0</v>
      </c>
      <c r="BH160" s="230">
        <v>133879500</v>
      </c>
      <c r="BI160" s="230">
        <v>121891500</v>
      </c>
      <c r="BJ160" s="230">
        <v>11988000</v>
      </c>
      <c r="BK160" s="229">
        <v>9.8299999999999998E-2</v>
      </c>
      <c r="BL160" s="230">
        <v>66663000</v>
      </c>
      <c r="BM160" s="230">
        <v>62316000</v>
      </c>
      <c r="BN160" s="230">
        <v>4347000</v>
      </c>
      <c r="BO160" s="229">
        <v>6.9800000000000001E-2</v>
      </c>
      <c r="BP160" s="230">
        <v>252976500</v>
      </c>
      <c r="BQ160" s="230">
        <v>248116500</v>
      </c>
      <c r="BR160" s="230">
        <v>4860000</v>
      </c>
      <c r="BS160" s="229">
        <v>1.9599999999999999E-2</v>
      </c>
      <c r="BT160" s="230">
        <v>26483048</v>
      </c>
      <c r="BU160" s="230">
        <v>29622715</v>
      </c>
      <c r="BV160" s="230">
        <v>-3139667</v>
      </c>
      <c r="BW160" s="229">
        <v>-0.106</v>
      </c>
      <c r="BX160" s="230">
        <v>275872500</v>
      </c>
      <c r="BY160" s="230">
        <v>271026000</v>
      </c>
      <c r="BZ160" s="230">
        <v>4846500</v>
      </c>
      <c r="CA160" s="229">
        <v>1.7899999999999999E-2</v>
      </c>
      <c r="CB160" s="230">
        <v>236101500</v>
      </c>
      <c r="CC160" s="230">
        <v>238126500</v>
      </c>
      <c r="CD160" s="230">
        <v>-2025000</v>
      </c>
      <c r="CE160" s="229">
        <v>-8.5000000000000006E-3</v>
      </c>
      <c r="CF160" s="230">
        <v>32116500</v>
      </c>
      <c r="CG160" s="230">
        <v>25596000</v>
      </c>
      <c r="CH160" s="230">
        <v>6520500</v>
      </c>
      <c r="CI160" s="229">
        <v>0.25469999999999998</v>
      </c>
      <c r="CJ160" s="228">
        <v>0</v>
      </c>
      <c r="CK160" s="228">
        <v>0</v>
      </c>
      <c r="CL160" s="228">
        <v>0</v>
      </c>
      <c r="CM160" s="229">
        <v>0</v>
      </c>
      <c r="CN160" s="230">
        <v>136863000</v>
      </c>
      <c r="CO160" s="230">
        <v>137119500</v>
      </c>
      <c r="CP160" s="230">
        <v>-256500</v>
      </c>
      <c r="CQ160" s="229">
        <v>-1.9E-3</v>
      </c>
      <c r="CR160" s="230">
        <v>101641500</v>
      </c>
      <c r="CS160" s="230">
        <v>102127500</v>
      </c>
      <c r="CT160" s="230">
        <v>-486000</v>
      </c>
      <c r="CU160" s="229">
        <v>-4.7999999999999996E-3</v>
      </c>
      <c r="CV160" s="230">
        <v>514377000</v>
      </c>
      <c r="CW160" s="230">
        <v>510273000</v>
      </c>
      <c r="CX160" s="230">
        <v>4104000</v>
      </c>
      <c r="CY160" s="229">
        <v>8.0000000000000002E-3</v>
      </c>
      <c r="CZ160" s="228">
        <v>28.85</v>
      </c>
      <c r="DA160" s="228">
        <v>29.34</v>
      </c>
      <c r="DB160" s="228">
        <v>-0.49</v>
      </c>
      <c r="DC160" s="228">
        <v>-0.49</v>
      </c>
      <c r="DD160" s="228">
        <v>42.94</v>
      </c>
      <c r="DE160" s="228">
        <v>43.05</v>
      </c>
      <c r="DF160" s="228">
        <v>-14.09</v>
      </c>
      <c r="DG160" s="228">
        <v>-0.11</v>
      </c>
      <c r="DH160" s="228">
        <v>28.15</v>
      </c>
      <c r="DI160" s="228">
        <v>28.77</v>
      </c>
      <c r="DJ160" s="228">
        <v>-0.62</v>
      </c>
      <c r="DK160" s="228">
        <v>-0.62</v>
      </c>
      <c r="DL160" s="228">
        <v>30.27</v>
      </c>
      <c r="DM160" s="228">
        <v>30.45</v>
      </c>
      <c r="DN160" s="228">
        <v>-0.18</v>
      </c>
      <c r="DO160" s="228">
        <v>-0.18</v>
      </c>
      <c r="DP160" s="228">
        <v>0.74</v>
      </c>
      <c r="DQ160" s="228">
        <v>0.74</v>
      </c>
      <c r="DR160" s="228">
        <v>0</v>
      </c>
      <c r="DS160" s="229">
        <v>0</v>
      </c>
      <c r="DT160" s="228">
        <v>75</v>
      </c>
      <c r="DU160" s="228">
        <v>60</v>
      </c>
      <c r="DV160" s="228">
        <v>0.5</v>
      </c>
      <c r="DW160" s="228">
        <v>0.51</v>
      </c>
      <c r="DX160" s="228">
        <v>-0.01</v>
      </c>
      <c r="DY160" s="229">
        <v>-1.9599999999999999E-2</v>
      </c>
      <c r="DZ160" s="229">
        <v>0.1164</v>
      </c>
      <c r="EA160" s="230">
        <v>25596000</v>
      </c>
      <c r="EB160" s="229">
        <v>-1E-3</v>
      </c>
      <c r="EC160" s="229">
        <v>0.1164</v>
      </c>
      <c r="ED160" s="228">
        <v>-0.1</v>
      </c>
      <c r="EE160" s="229">
        <v>-1.4E-3</v>
      </c>
      <c r="EF160" s="230">
        <v>12335085</v>
      </c>
      <c r="EG160" s="230">
        <v>14140683</v>
      </c>
      <c r="EH160" s="229">
        <v>-0.12770000000000001</v>
      </c>
      <c r="EI160" s="229">
        <v>0.46579999999999999</v>
      </c>
      <c r="EJ160" s="231">
        <v>100639.76</v>
      </c>
      <c r="EK160" s="231">
        <v>47690.1</v>
      </c>
      <c r="EL160" s="231">
        <v>37977.19</v>
      </c>
      <c r="EM160" s="228">
        <v>0</v>
      </c>
      <c r="EN160" s="231">
        <v>186307.05</v>
      </c>
      <c r="EO160" s="231">
        <v>181763.68</v>
      </c>
      <c r="EP160" s="231">
        <v>4543.37</v>
      </c>
      <c r="EQ160" s="229">
        <v>2.5000000000000001E-2</v>
      </c>
      <c r="ER160" s="231">
        <v>101957</v>
      </c>
      <c r="ES160" s="231">
        <v>70144</v>
      </c>
      <c r="ET160" s="231">
        <v>199639</v>
      </c>
      <c r="EU160" s="231">
        <v>689383367</v>
      </c>
      <c r="EV160" s="231">
        <v>371741</v>
      </c>
      <c r="EW160" s="231">
        <v>368019</v>
      </c>
      <c r="EX160" s="231">
        <v>3722</v>
      </c>
      <c r="EY160" s="229">
        <v>1.01E-2</v>
      </c>
      <c r="EZ160" s="229">
        <v>0.74609999999999999</v>
      </c>
      <c r="FA160" s="227" t="s">
        <v>555</v>
      </c>
      <c r="FB160" s="161">
        <f t="shared" si="3"/>
        <v>0</v>
      </c>
    </row>
    <row r="161" spans="1:158" ht="17.25" thickBot="1" x14ac:dyDescent="0.3">
      <c r="A161" s="226">
        <v>45860</v>
      </c>
      <c r="B161" s="227" t="s">
        <v>161</v>
      </c>
      <c r="C161" s="227" t="s">
        <v>268</v>
      </c>
      <c r="D161" s="228">
        <v>1500</v>
      </c>
      <c r="E161" s="228">
        <v>341.3</v>
      </c>
      <c r="F161" s="228">
        <v>341.75</v>
      </c>
      <c r="G161" s="228">
        <v>-0.45</v>
      </c>
      <c r="H161" s="229">
        <v>-1.2999999999999999E-3</v>
      </c>
      <c r="I161" s="228">
        <v>340.85</v>
      </c>
      <c r="J161" s="228">
        <v>341.55</v>
      </c>
      <c r="K161" s="228">
        <v>-0.7</v>
      </c>
      <c r="L161" s="229">
        <v>-2E-3</v>
      </c>
      <c r="M161" s="228">
        <v>341.3</v>
      </c>
      <c r="N161" s="228">
        <v>341.75</v>
      </c>
      <c r="O161" s="228">
        <v>-0.45</v>
      </c>
      <c r="P161" s="229">
        <v>-1.2999999999999999E-3</v>
      </c>
      <c r="Q161" s="228">
        <v>339.8</v>
      </c>
      <c r="R161" s="228">
        <v>340.2</v>
      </c>
      <c r="S161" s="228">
        <v>-0.4</v>
      </c>
      <c r="T161" s="229">
        <v>-1.1999999999999999E-3</v>
      </c>
      <c r="U161" s="228">
        <v>0</v>
      </c>
      <c r="V161" s="228">
        <v>0</v>
      </c>
      <c r="W161" s="228">
        <v>0</v>
      </c>
      <c r="X161" s="229">
        <v>0</v>
      </c>
      <c r="Y161" s="228">
        <v>0.45</v>
      </c>
      <c r="Z161" s="228">
        <v>0.2</v>
      </c>
      <c r="AA161" s="228">
        <v>0.25</v>
      </c>
      <c r="AB161" s="229">
        <v>1.2999999999999999E-3</v>
      </c>
      <c r="AC161" s="228">
        <v>0.45</v>
      </c>
      <c r="AD161" s="228">
        <v>0.2</v>
      </c>
      <c r="AE161" s="228">
        <v>0.25</v>
      </c>
      <c r="AF161" s="229">
        <v>1.2999999999999999E-3</v>
      </c>
      <c r="AG161" s="228">
        <v>-1.05</v>
      </c>
      <c r="AH161" s="228">
        <v>-1.35</v>
      </c>
      <c r="AI161" s="228">
        <v>0.3</v>
      </c>
      <c r="AJ161" s="229">
        <v>-3.0999999999999999E-3</v>
      </c>
      <c r="AK161" s="228">
        <v>0</v>
      </c>
      <c r="AL161" s="228">
        <v>0</v>
      </c>
      <c r="AM161" s="228">
        <v>0</v>
      </c>
      <c r="AN161" s="229">
        <v>0</v>
      </c>
      <c r="AO161" s="228">
        <v>341.4</v>
      </c>
      <c r="AP161" s="228">
        <v>339.94</v>
      </c>
      <c r="AQ161" s="228">
        <v>0</v>
      </c>
      <c r="AR161" s="230">
        <v>6154500</v>
      </c>
      <c r="AS161" s="230">
        <v>7300500</v>
      </c>
      <c r="AT161" s="230">
        <v>-1146000</v>
      </c>
      <c r="AU161" s="229">
        <v>-0.157</v>
      </c>
      <c r="AV161" s="230">
        <v>4854000</v>
      </c>
      <c r="AW161" s="230">
        <v>6117000</v>
      </c>
      <c r="AX161" s="230">
        <v>-1263000</v>
      </c>
      <c r="AY161" s="229">
        <v>-0.20649999999999999</v>
      </c>
      <c r="AZ161" s="230">
        <v>1264500</v>
      </c>
      <c r="BA161" s="230">
        <v>1114500</v>
      </c>
      <c r="BB161" s="230">
        <v>150000</v>
      </c>
      <c r="BC161" s="229">
        <v>0.1346</v>
      </c>
      <c r="BD161" s="228">
        <v>0</v>
      </c>
      <c r="BE161" s="228">
        <v>0</v>
      </c>
      <c r="BF161" s="228">
        <v>0</v>
      </c>
      <c r="BG161" s="229">
        <v>0</v>
      </c>
      <c r="BH161" s="230">
        <v>28659000</v>
      </c>
      <c r="BI161" s="230">
        <v>34726500</v>
      </c>
      <c r="BJ161" s="230">
        <v>-6067500</v>
      </c>
      <c r="BK161" s="229">
        <v>-0.17469999999999999</v>
      </c>
      <c r="BL161" s="230">
        <v>12687000</v>
      </c>
      <c r="BM161" s="230">
        <v>14511000</v>
      </c>
      <c r="BN161" s="230">
        <v>-1824000</v>
      </c>
      <c r="BO161" s="229">
        <v>-0.12570000000000001</v>
      </c>
      <c r="BP161" s="230">
        <v>47500500</v>
      </c>
      <c r="BQ161" s="230">
        <v>56538000</v>
      </c>
      <c r="BR161" s="230">
        <v>-9037500</v>
      </c>
      <c r="BS161" s="229">
        <v>-0.1598</v>
      </c>
      <c r="BT161" s="230">
        <v>5020447</v>
      </c>
      <c r="BU161" s="230">
        <v>4758246</v>
      </c>
      <c r="BV161" s="230">
        <v>262201</v>
      </c>
      <c r="BW161" s="229">
        <v>5.5100000000000003E-2</v>
      </c>
      <c r="BX161" s="230">
        <v>115924500</v>
      </c>
      <c r="BY161" s="230">
        <v>116523000</v>
      </c>
      <c r="BZ161" s="230">
        <v>-598500</v>
      </c>
      <c r="CA161" s="229">
        <v>-5.1000000000000004E-3</v>
      </c>
      <c r="CB161" s="230">
        <v>85917000</v>
      </c>
      <c r="CC161" s="230">
        <v>86821500</v>
      </c>
      <c r="CD161" s="230">
        <v>-904500</v>
      </c>
      <c r="CE161" s="229">
        <v>-1.04E-2</v>
      </c>
      <c r="CF161" s="230">
        <v>29565000</v>
      </c>
      <c r="CG161" s="230">
        <v>29272500</v>
      </c>
      <c r="CH161" s="230">
        <v>292500</v>
      </c>
      <c r="CI161" s="229">
        <v>0.01</v>
      </c>
      <c r="CJ161" s="228">
        <v>0</v>
      </c>
      <c r="CK161" s="228">
        <v>0</v>
      </c>
      <c r="CL161" s="228">
        <v>0</v>
      </c>
      <c r="CM161" s="229">
        <v>0</v>
      </c>
      <c r="CN161" s="230">
        <v>80997000</v>
      </c>
      <c r="CO161" s="230">
        <v>80050500</v>
      </c>
      <c r="CP161" s="230">
        <v>946500</v>
      </c>
      <c r="CQ161" s="229">
        <v>1.18E-2</v>
      </c>
      <c r="CR161" s="230">
        <v>26377500</v>
      </c>
      <c r="CS161" s="230">
        <v>25465500</v>
      </c>
      <c r="CT161" s="230">
        <v>912000</v>
      </c>
      <c r="CU161" s="229">
        <v>3.5799999999999998E-2</v>
      </c>
      <c r="CV161" s="230">
        <v>223299000</v>
      </c>
      <c r="CW161" s="230">
        <v>222039000</v>
      </c>
      <c r="CX161" s="230">
        <v>1260000</v>
      </c>
      <c r="CY161" s="229">
        <v>5.7000000000000002E-3</v>
      </c>
      <c r="CZ161" s="228">
        <v>14.92</v>
      </c>
      <c r="DA161" s="228">
        <v>15.11</v>
      </c>
      <c r="DB161" s="228">
        <v>-0.19</v>
      </c>
      <c r="DC161" s="228">
        <v>-0.19</v>
      </c>
      <c r="DD161" s="228">
        <v>31.63</v>
      </c>
      <c r="DE161" s="228">
        <v>31.7</v>
      </c>
      <c r="DF161" s="228">
        <v>-16.71</v>
      </c>
      <c r="DG161" s="228">
        <v>-7.0000000000000007E-2</v>
      </c>
      <c r="DH161" s="228">
        <v>14.35</v>
      </c>
      <c r="DI161" s="228">
        <v>14.55</v>
      </c>
      <c r="DJ161" s="228">
        <v>-0.2</v>
      </c>
      <c r="DK161" s="228">
        <v>-0.2</v>
      </c>
      <c r="DL161" s="228">
        <v>16.21</v>
      </c>
      <c r="DM161" s="228">
        <v>16.440000000000001</v>
      </c>
      <c r="DN161" s="228">
        <v>-0.23</v>
      </c>
      <c r="DO161" s="228">
        <v>-0.23</v>
      </c>
      <c r="DP161" s="228">
        <v>0.33</v>
      </c>
      <c r="DQ161" s="228">
        <v>0.32</v>
      </c>
      <c r="DR161" s="228">
        <v>0.01</v>
      </c>
      <c r="DS161" s="229">
        <v>3.1300000000000001E-2</v>
      </c>
      <c r="DT161" s="228">
        <v>345</v>
      </c>
      <c r="DU161" s="228">
        <v>345</v>
      </c>
      <c r="DV161" s="228">
        <v>0.44</v>
      </c>
      <c r="DW161" s="228">
        <v>0.42</v>
      </c>
      <c r="DX161" s="228">
        <v>0.02</v>
      </c>
      <c r="DY161" s="229">
        <v>4.7600000000000003E-2</v>
      </c>
      <c r="DZ161" s="229">
        <v>0.255</v>
      </c>
      <c r="EA161" s="230">
        <v>29272500</v>
      </c>
      <c r="EB161" s="229">
        <v>-4.4000000000000003E-3</v>
      </c>
      <c r="EC161" s="229">
        <v>0.255</v>
      </c>
      <c r="ED161" s="228">
        <v>-1.46</v>
      </c>
      <c r="EE161" s="229">
        <v>-4.3E-3</v>
      </c>
      <c r="EF161" s="230">
        <v>3295352</v>
      </c>
      <c r="EG161" s="230">
        <v>3184143</v>
      </c>
      <c r="EH161" s="229">
        <v>3.49E-2</v>
      </c>
      <c r="EI161" s="229">
        <v>0.65639999999999998</v>
      </c>
      <c r="EJ161" s="231">
        <v>100077.74</v>
      </c>
      <c r="EK161" s="231">
        <v>43234.720000000001</v>
      </c>
      <c r="EL161" s="231">
        <v>20993</v>
      </c>
      <c r="EM161" s="228">
        <v>0</v>
      </c>
      <c r="EN161" s="231">
        <v>164305.46</v>
      </c>
      <c r="EO161" s="231">
        <v>195716.81</v>
      </c>
      <c r="EP161" s="231">
        <v>-31411.35</v>
      </c>
      <c r="EQ161" s="229">
        <v>-0.1605</v>
      </c>
      <c r="ER161" s="231">
        <v>282592</v>
      </c>
      <c r="ES161" s="231">
        <v>88864</v>
      </c>
      <c r="ET161" s="231">
        <v>395209</v>
      </c>
      <c r="EU161" s="231">
        <v>948263976</v>
      </c>
      <c r="EV161" s="231">
        <v>766665</v>
      </c>
      <c r="EW161" s="231">
        <v>762781</v>
      </c>
      <c r="EX161" s="231">
        <v>3884</v>
      </c>
      <c r="EY161" s="229">
        <v>5.1000000000000004E-3</v>
      </c>
      <c r="EZ161" s="229">
        <v>0.23549999999999999</v>
      </c>
      <c r="FA161" s="227" t="s">
        <v>568</v>
      </c>
      <c r="FB161" s="161">
        <f t="shared" si="3"/>
        <v>0</v>
      </c>
    </row>
    <row r="162" spans="1:158" ht="17.25" thickBot="1" x14ac:dyDescent="0.3">
      <c r="A162" s="226">
        <v>45860</v>
      </c>
      <c r="B162" s="227" t="s">
        <v>616</v>
      </c>
      <c r="C162" s="227" t="s">
        <v>614</v>
      </c>
      <c r="D162" s="228">
        <v>3125</v>
      </c>
      <c r="E162" s="228">
        <v>220.1</v>
      </c>
      <c r="F162" s="228">
        <v>215.49</v>
      </c>
      <c r="G162" s="228">
        <v>4.6100000000000003</v>
      </c>
      <c r="H162" s="229">
        <v>2.1399999999999999E-2</v>
      </c>
      <c r="I162" s="228">
        <v>220.03</v>
      </c>
      <c r="J162" s="228">
        <v>215.03</v>
      </c>
      <c r="K162" s="228">
        <v>5</v>
      </c>
      <c r="L162" s="229">
        <v>2.3300000000000001E-2</v>
      </c>
      <c r="M162" s="228">
        <v>220.1</v>
      </c>
      <c r="N162" s="228">
        <v>215.49</v>
      </c>
      <c r="O162" s="228">
        <v>4.6100000000000003</v>
      </c>
      <c r="P162" s="229">
        <v>2.1399999999999999E-2</v>
      </c>
      <c r="Q162" s="228">
        <v>219.22</v>
      </c>
      <c r="R162" s="228">
        <v>214.92</v>
      </c>
      <c r="S162" s="228">
        <v>4.3</v>
      </c>
      <c r="T162" s="229">
        <v>0.02</v>
      </c>
      <c r="U162" s="228">
        <v>0</v>
      </c>
      <c r="V162" s="228">
        <v>0</v>
      </c>
      <c r="W162" s="228">
        <v>0</v>
      </c>
      <c r="X162" s="229">
        <v>0</v>
      </c>
      <c r="Y162" s="228">
        <v>7.0000000000000007E-2</v>
      </c>
      <c r="Z162" s="228">
        <v>0.46</v>
      </c>
      <c r="AA162" s="228">
        <v>-0.39</v>
      </c>
      <c r="AB162" s="229">
        <v>2.9999999999999997E-4</v>
      </c>
      <c r="AC162" s="228">
        <v>7.0000000000000007E-2</v>
      </c>
      <c r="AD162" s="228">
        <v>0.46</v>
      </c>
      <c r="AE162" s="228">
        <v>-0.39</v>
      </c>
      <c r="AF162" s="229">
        <v>2.9999999999999997E-4</v>
      </c>
      <c r="AG162" s="228">
        <v>-0.81</v>
      </c>
      <c r="AH162" s="228">
        <v>-0.11</v>
      </c>
      <c r="AI162" s="228">
        <v>-0.7</v>
      </c>
      <c r="AJ162" s="229">
        <v>-3.7000000000000002E-3</v>
      </c>
      <c r="AK162" s="228">
        <v>0</v>
      </c>
      <c r="AL162" s="228">
        <v>0</v>
      </c>
      <c r="AM162" s="228">
        <v>0</v>
      </c>
      <c r="AN162" s="229">
        <v>0</v>
      </c>
      <c r="AO162" s="228">
        <v>219.33</v>
      </c>
      <c r="AP162" s="228">
        <v>218.6</v>
      </c>
      <c r="AQ162" s="228">
        <v>0</v>
      </c>
      <c r="AR162" s="230">
        <v>14121875</v>
      </c>
      <c r="AS162" s="230">
        <v>4468750</v>
      </c>
      <c r="AT162" s="230">
        <v>9653125</v>
      </c>
      <c r="AU162" s="229">
        <v>2.1600999999999999</v>
      </c>
      <c r="AV162" s="230">
        <v>12506250</v>
      </c>
      <c r="AW162" s="230">
        <v>3953125</v>
      </c>
      <c r="AX162" s="230">
        <v>8553125</v>
      </c>
      <c r="AY162" s="229">
        <v>2.1636000000000002</v>
      </c>
      <c r="AZ162" s="230">
        <v>1528125</v>
      </c>
      <c r="BA162" s="230">
        <v>465625</v>
      </c>
      <c r="BB162" s="230">
        <v>1062500</v>
      </c>
      <c r="BC162" s="229">
        <v>2.2818999999999998</v>
      </c>
      <c r="BD162" s="228">
        <v>0</v>
      </c>
      <c r="BE162" s="228">
        <v>0</v>
      </c>
      <c r="BF162" s="228">
        <v>0</v>
      </c>
      <c r="BG162" s="229">
        <v>0</v>
      </c>
      <c r="BH162" s="230">
        <v>73937500</v>
      </c>
      <c r="BI162" s="230">
        <v>5215625</v>
      </c>
      <c r="BJ162" s="230">
        <v>68721875</v>
      </c>
      <c r="BK162" s="229">
        <v>13.1762</v>
      </c>
      <c r="BL162" s="230">
        <v>14868750</v>
      </c>
      <c r="BM162" s="230">
        <v>3262500</v>
      </c>
      <c r="BN162" s="230">
        <v>11606250</v>
      </c>
      <c r="BO162" s="229">
        <v>3.5575000000000001</v>
      </c>
      <c r="BP162" s="230">
        <v>102928125</v>
      </c>
      <c r="BQ162" s="230">
        <v>12946875</v>
      </c>
      <c r="BR162" s="230">
        <v>89981250</v>
      </c>
      <c r="BS162" s="229">
        <v>6.95</v>
      </c>
      <c r="BT162" s="230">
        <v>7529038</v>
      </c>
      <c r="BU162" s="230">
        <v>2146429</v>
      </c>
      <c r="BV162" s="230">
        <v>5382609</v>
      </c>
      <c r="BW162" s="229">
        <v>2.5076999999999998</v>
      </c>
      <c r="BX162" s="230">
        <v>51956250</v>
      </c>
      <c r="BY162" s="230">
        <v>49431250</v>
      </c>
      <c r="BZ162" s="230">
        <v>2525000</v>
      </c>
      <c r="CA162" s="229">
        <v>5.11E-2</v>
      </c>
      <c r="CB162" s="230">
        <v>49121875</v>
      </c>
      <c r="CC162" s="230">
        <v>47003125</v>
      </c>
      <c r="CD162" s="230">
        <v>2118750</v>
      </c>
      <c r="CE162" s="229">
        <v>4.5100000000000001E-2</v>
      </c>
      <c r="CF162" s="230">
        <v>2618750</v>
      </c>
      <c r="CG162" s="230">
        <v>2218750</v>
      </c>
      <c r="CH162" s="230">
        <v>400000</v>
      </c>
      <c r="CI162" s="229">
        <v>0.18029999999999999</v>
      </c>
      <c r="CJ162" s="228">
        <v>0</v>
      </c>
      <c r="CK162" s="228">
        <v>0</v>
      </c>
      <c r="CL162" s="228">
        <v>0</v>
      </c>
      <c r="CM162" s="229">
        <v>0</v>
      </c>
      <c r="CN162" s="230">
        <v>21359375</v>
      </c>
      <c r="CO162" s="230">
        <v>13121875</v>
      </c>
      <c r="CP162" s="230">
        <v>8237500</v>
      </c>
      <c r="CQ162" s="229">
        <v>0.62780000000000002</v>
      </c>
      <c r="CR162" s="230">
        <v>11465625</v>
      </c>
      <c r="CS162" s="230">
        <v>10156250</v>
      </c>
      <c r="CT162" s="230">
        <v>1309375</v>
      </c>
      <c r="CU162" s="229">
        <v>0.12889999999999999</v>
      </c>
      <c r="CV162" s="230">
        <v>84781250</v>
      </c>
      <c r="CW162" s="230">
        <v>72709375</v>
      </c>
      <c r="CX162" s="230">
        <v>12071875</v>
      </c>
      <c r="CY162" s="229">
        <v>0.16600000000000001</v>
      </c>
      <c r="CZ162" s="228">
        <v>35.880000000000003</v>
      </c>
      <c r="DA162" s="228">
        <v>28.77</v>
      </c>
      <c r="DB162" s="228">
        <v>7.11</v>
      </c>
      <c r="DC162" s="228">
        <v>7.11</v>
      </c>
      <c r="DD162" s="228">
        <v>38.33</v>
      </c>
      <c r="DE162" s="228">
        <v>38.32</v>
      </c>
      <c r="DF162" s="228">
        <v>-2.4500000000000002</v>
      </c>
      <c r="DG162" s="228">
        <v>0.01</v>
      </c>
      <c r="DH162" s="228">
        <v>36.26</v>
      </c>
      <c r="DI162" s="228">
        <v>28.81</v>
      </c>
      <c r="DJ162" s="228">
        <v>7.45</v>
      </c>
      <c r="DK162" s="228">
        <v>7.45</v>
      </c>
      <c r="DL162" s="228">
        <v>34.020000000000003</v>
      </c>
      <c r="DM162" s="228">
        <v>28.71</v>
      </c>
      <c r="DN162" s="228">
        <v>5.31</v>
      </c>
      <c r="DO162" s="228">
        <v>5.31</v>
      </c>
      <c r="DP162" s="228">
        <v>0.54</v>
      </c>
      <c r="DQ162" s="228">
        <v>0.77</v>
      </c>
      <c r="DR162" s="228">
        <v>-0.23</v>
      </c>
      <c r="DS162" s="229">
        <v>-0.29870000000000002</v>
      </c>
      <c r="DT162" s="228">
        <v>230</v>
      </c>
      <c r="DU162" s="228">
        <v>210</v>
      </c>
      <c r="DV162" s="228">
        <v>0.2</v>
      </c>
      <c r="DW162" s="228">
        <v>0.63</v>
      </c>
      <c r="DX162" s="228">
        <v>-0.43</v>
      </c>
      <c r="DY162" s="229">
        <v>-0.6825</v>
      </c>
      <c r="DZ162" s="229">
        <v>5.04E-2</v>
      </c>
      <c r="EA162" s="230">
        <v>2218750</v>
      </c>
      <c r="EB162" s="229">
        <v>-4.0000000000000001E-3</v>
      </c>
      <c r="EC162" s="229">
        <v>5.04E-2</v>
      </c>
      <c r="ED162" s="228">
        <v>-0.73</v>
      </c>
      <c r="EE162" s="229">
        <v>-3.3E-3</v>
      </c>
      <c r="EF162" s="230">
        <v>2847237</v>
      </c>
      <c r="EG162" s="230">
        <v>882438</v>
      </c>
      <c r="EH162" s="229">
        <v>2.2265999999999999</v>
      </c>
      <c r="EI162" s="229">
        <v>0.37819999999999998</v>
      </c>
      <c r="EJ162" s="231">
        <v>168086.78</v>
      </c>
      <c r="EK162" s="231">
        <v>32486.51</v>
      </c>
      <c r="EL162" s="231">
        <v>30961.18</v>
      </c>
      <c r="EM162" s="228">
        <v>0</v>
      </c>
      <c r="EN162" s="231">
        <v>231534.47</v>
      </c>
      <c r="EO162" s="231">
        <v>28123.91</v>
      </c>
      <c r="EP162" s="231">
        <v>203410.56</v>
      </c>
      <c r="EQ162" s="229">
        <v>7.2327000000000004</v>
      </c>
      <c r="ER162" s="231">
        <v>47382</v>
      </c>
      <c r="ES162" s="231">
        <v>23549</v>
      </c>
      <c r="ET162" s="231">
        <v>114330</v>
      </c>
      <c r="EU162" s="231">
        <v>273572068</v>
      </c>
      <c r="EV162" s="231">
        <v>185261</v>
      </c>
      <c r="EW162" s="231">
        <v>155533</v>
      </c>
      <c r="EX162" s="231">
        <v>29728</v>
      </c>
      <c r="EY162" s="229">
        <v>0.19109999999999999</v>
      </c>
      <c r="EZ162" s="229">
        <v>0.30990000000000001</v>
      </c>
      <c r="FA162" s="227" t="s">
        <v>555</v>
      </c>
      <c r="FB162" s="161">
        <f t="shared" ref="FB162:FB194" si="4">BX244-CB244</f>
        <v>0</v>
      </c>
    </row>
    <row r="163" spans="1:158" ht="17.25" thickBot="1" x14ac:dyDescent="0.3">
      <c r="A163" s="226">
        <v>45860</v>
      </c>
      <c r="B163" s="227" t="s">
        <v>206</v>
      </c>
      <c r="C163" s="227" t="s">
        <v>528</v>
      </c>
      <c r="D163" s="228">
        <v>350</v>
      </c>
      <c r="E163" s="231">
        <v>1824.2</v>
      </c>
      <c r="F163" s="231">
        <v>1836.5</v>
      </c>
      <c r="G163" s="228">
        <v>-12.3</v>
      </c>
      <c r="H163" s="229">
        <v>-6.7000000000000002E-3</v>
      </c>
      <c r="I163" s="231">
        <v>1826.2</v>
      </c>
      <c r="J163" s="231">
        <v>1834.6</v>
      </c>
      <c r="K163" s="228">
        <v>-8.4</v>
      </c>
      <c r="L163" s="229">
        <v>-4.5999999999999999E-3</v>
      </c>
      <c r="M163" s="231">
        <v>1824.2</v>
      </c>
      <c r="N163" s="231">
        <v>1836.5</v>
      </c>
      <c r="O163" s="228">
        <v>-12.3</v>
      </c>
      <c r="P163" s="229">
        <v>-6.7000000000000002E-3</v>
      </c>
      <c r="Q163" s="231">
        <v>1813</v>
      </c>
      <c r="R163" s="231">
        <v>1831.7</v>
      </c>
      <c r="S163" s="228">
        <v>-18.7</v>
      </c>
      <c r="T163" s="229">
        <v>-1.0200000000000001E-2</v>
      </c>
      <c r="U163" s="228">
        <v>0</v>
      </c>
      <c r="V163" s="228">
        <v>0</v>
      </c>
      <c r="W163" s="228">
        <v>0</v>
      </c>
      <c r="X163" s="229">
        <v>0</v>
      </c>
      <c r="Y163" s="228">
        <v>-2</v>
      </c>
      <c r="Z163" s="228">
        <v>1.9</v>
      </c>
      <c r="AA163" s="228">
        <v>-3.9</v>
      </c>
      <c r="AB163" s="229">
        <v>-1.1000000000000001E-3</v>
      </c>
      <c r="AC163" s="228">
        <v>-2</v>
      </c>
      <c r="AD163" s="228">
        <v>1.9</v>
      </c>
      <c r="AE163" s="228">
        <v>-3.9</v>
      </c>
      <c r="AF163" s="229">
        <v>-1.1000000000000001E-3</v>
      </c>
      <c r="AG163" s="228">
        <v>-13.2</v>
      </c>
      <c r="AH163" s="228">
        <v>-2.9</v>
      </c>
      <c r="AI163" s="228">
        <v>-10.3</v>
      </c>
      <c r="AJ163" s="229">
        <v>-7.1999999999999998E-3</v>
      </c>
      <c r="AK163" s="228">
        <v>0</v>
      </c>
      <c r="AL163" s="228">
        <v>0</v>
      </c>
      <c r="AM163" s="228">
        <v>0</v>
      </c>
      <c r="AN163" s="229">
        <v>0</v>
      </c>
      <c r="AO163" s="231">
        <v>1813.3</v>
      </c>
      <c r="AP163" s="231">
        <v>1806.49</v>
      </c>
      <c r="AQ163" s="228">
        <v>0</v>
      </c>
      <c r="AR163" s="230">
        <v>1811600</v>
      </c>
      <c r="AS163" s="230">
        <v>788900</v>
      </c>
      <c r="AT163" s="230">
        <v>1022700</v>
      </c>
      <c r="AU163" s="229">
        <v>1.2964</v>
      </c>
      <c r="AV163" s="230">
        <v>1521800</v>
      </c>
      <c r="AW163" s="230">
        <v>688450</v>
      </c>
      <c r="AX163" s="230">
        <v>833350</v>
      </c>
      <c r="AY163" s="229">
        <v>1.2104999999999999</v>
      </c>
      <c r="AZ163" s="230">
        <v>280350</v>
      </c>
      <c r="BA163" s="230">
        <v>99750</v>
      </c>
      <c r="BB163" s="230">
        <v>180600</v>
      </c>
      <c r="BC163" s="229">
        <v>1.8105</v>
      </c>
      <c r="BD163" s="228">
        <v>0</v>
      </c>
      <c r="BE163" s="228">
        <v>0</v>
      </c>
      <c r="BF163" s="228">
        <v>0</v>
      </c>
      <c r="BG163" s="229">
        <v>0</v>
      </c>
      <c r="BH163" s="230">
        <v>5804750</v>
      </c>
      <c r="BI163" s="230">
        <v>2571800</v>
      </c>
      <c r="BJ163" s="230">
        <v>3232950</v>
      </c>
      <c r="BK163" s="229">
        <v>1.2571000000000001</v>
      </c>
      <c r="BL163" s="230">
        <v>4533550</v>
      </c>
      <c r="BM163" s="230">
        <v>1938650</v>
      </c>
      <c r="BN163" s="230">
        <v>2594900</v>
      </c>
      <c r="BO163" s="229">
        <v>1.3385</v>
      </c>
      <c r="BP163" s="230">
        <v>12149900</v>
      </c>
      <c r="BQ163" s="230">
        <v>5299350</v>
      </c>
      <c r="BR163" s="230">
        <v>6850550</v>
      </c>
      <c r="BS163" s="229">
        <v>1.2927</v>
      </c>
      <c r="BT163" s="230">
        <v>743681</v>
      </c>
      <c r="BU163" s="230">
        <v>285496</v>
      </c>
      <c r="BV163" s="230">
        <v>458185</v>
      </c>
      <c r="BW163" s="229">
        <v>1.6049</v>
      </c>
      <c r="BX163" s="230">
        <v>5047000</v>
      </c>
      <c r="BY163" s="230">
        <v>4885300</v>
      </c>
      <c r="BZ163" s="230">
        <v>161700</v>
      </c>
      <c r="CA163" s="229">
        <v>3.3099999999999997E-2</v>
      </c>
      <c r="CB163" s="230">
        <v>4696650</v>
      </c>
      <c r="CC163" s="230">
        <v>4629450</v>
      </c>
      <c r="CD163" s="230">
        <v>67200</v>
      </c>
      <c r="CE163" s="229">
        <v>1.4500000000000001E-2</v>
      </c>
      <c r="CF163" s="230">
        <v>323400</v>
      </c>
      <c r="CG163" s="230">
        <v>233100</v>
      </c>
      <c r="CH163" s="230">
        <v>90300</v>
      </c>
      <c r="CI163" s="229">
        <v>0.38740000000000002</v>
      </c>
      <c r="CJ163" s="228">
        <v>0</v>
      </c>
      <c r="CK163" s="228">
        <v>0</v>
      </c>
      <c r="CL163" s="228">
        <v>0</v>
      </c>
      <c r="CM163" s="229">
        <v>0</v>
      </c>
      <c r="CN163" s="230">
        <v>2571100</v>
      </c>
      <c r="CO163" s="230">
        <v>2533650</v>
      </c>
      <c r="CP163" s="230">
        <v>37450</v>
      </c>
      <c r="CQ163" s="229">
        <v>1.4800000000000001E-2</v>
      </c>
      <c r="CR163" s="230">
        <v>1556450</v>
      </c>
      <c r="CS163" s="230">
        <v>1593200</v>
      </c>
      <c r="CT163" s="230">
        <v>-36750</v>
      </c>
      <c r="CU163" s="229">
        <v>-2.3099999999999999E-2</v>
      </c>
      <c r="CV163" s="230">
        <v>9174550</v>
      </c>
      <c r="CW163" s="230">
        <v>9012150</v>
      </c>
      <c r="CX163" s="230">
        <v>162400</v>
      </c>
      <c r="CY163" s="229">
        <v>1.7999999999999999E-2</v>
      </c>
      <c r="CZ163" s="228">
        <v>30.51</v>
      </c>
      <c r="DA163" s="228">
        <v>40.6</v>
      </c>
      <c r="DB163" s="228">
        <v>-10.09</v>
      </c>
      <c r="DC163" s="228">
        <v>-10.09</v>
      </c>
      <c r="DD163" s="228">
        <v>41.08</v>
      </c>
      <c r="DE163" s="228">
        <v>41.18</v>
      </c>
      <c r="DF163" s="228">
        <v>-10.57</v>
      </c>
      <c r="DG163" s="228">
        <v>-0.1</v>
      </c>
      <c r="DH163" s="228">
        <v>31.21</v>
      </c>
      <c r="DI163" s="228">
        <v>40.549999999999997</v>
      </c>
      <c r="DJ163" s="228">
        <v>-9.34</v>
      </c>
      <c r="DK163" s="228">
        <v>-9.34</v>
      </c>
      <c r="DL163" s="228">
        <v>29.61</v>
      </c>
      <c r="DM163" s="228">
        <v>40.67</v>
      </c>
      <c r="DN163" s="228">
        <v>-11.06</v>
      </c>
      <c r="DO163" s="228">
        <v>-11.06</v>
      </c>
      <c r="DP163" s="228">
        <v>0.61</v>
      </c>
      <c r="DQ163" s="228">
        <v>0.63</v>
      </c>
      <c r="DR163" s="228">
        <v>-0.02</v>
      </c>
      <c r="DS163" s="229">
        <v>-3.1699999999999999E-2</v>
      </c>
      <c r="DT163" s="231">
        <v>1900</v>
      </c>
      <c r="DU163" s="231">
        <v>1800</v>
      </c>
      <c r="DV163" s="228">
        <v>0.78</v>
      </c>
      <c r="DW163" s="228">
        <v>0.75</v>
      </c>
      <c r="DX163" s="228">
        <v>0.03</v>
      </c>
      <c r="DY163" s="229">
        <v>0.04</v>
      </c>
      <c r="DZ163" s="229">
        <v>6.4100000000000004E-2</v>
      </c>
      <c r="EA163" s="230">
        <v>233100</v>
      </c>
      <c r="EB163" s="229">
        <v>-6.1000000000000004E-3</v>
      </c>
      <c r="EC163" s="229">
        <v>6.4100000000000004E-2</v>
      </c>
      <c r="ED163" s="228">
        <v>-6.81</v>
      </c>
      <c r="EE163" s="229">
        <v>-3.8E-3</v>
      </c>
      <c r="EF163" s="230">
        <v>179874</v>
      </c>
      <c r="EG163" s="230">
        <v>137954</v>
      </c>
      <c r="EH163" s="229">
        <v>0.3039</v>
      </c>
      <c r="EI163" s="229">
        <v>0.2419</v>
      </c>
      <c r="EJ163" s="231">
        <v>110416.5</v>
      </c>
      <c r="EK163" s="231">
        <v>81828.17</v>
      </c>
      <c r="EL163" s="231">
        <v>32830.14</v>
      </c>
      <c r="EM163" s="228">
        <v>0</v>
      </c>
      <c r="EN163" s="231">
        <v>225074.81</v>
      </c>
      <c r="EO163" s="231">
        <v>99593.98</v>
      </c>
      <c r="EP163" s="231">
        <v>125480.83</v>
      </c>
      <c r="EQ163" s="229">
        <v>1.2599</v>
      </c>
      <c r="ER163" s="231">
        <v>49608</v>
      </c>
      <c r="ES163" s="231">
        <v>28113</v>
      </c>
      <c r="ET163" s="231">
        <v>92028</v>
      </c>
      <c r="EU163" s="231">
        <v>23485458</v>
      </c>
      <c r="EV163" s="231">
        <v>169750</v>
      </c>
      <c r="EW163" s="231">
        <v>167649</v>
      </c>
      <c r="EX163" s="231">
        <v>2101</v>
      </c>
      <c r="EY163" s="229">
        <v>1.2500000000000001E-2</v>
      </c>
      <c r="EZ163" s="229">
        <v>0.3906</v>
      </c>
      <c r="FA163" s="227" t="s">
        <v>567</v>
      </c>
      <c r="FB163" s="161">
        <f t="shared" si="4"/>
        <v>0</v>
      </c>
    </row>
    <row r="164" spans="1:158" ht="17.25" thickBot="1" x14ac:dyDescent="0.3">
      <c r="A164" s="226">
        <v>45860</v>
      </c>
      <c r="B164" s="227" t="s">
        <v>221</v>
      </c>
      <c r="C164" s="227" t="s">
        <v>518</v>
      </c>
      <c r="D164" s="228">
        <v>75</v>
      </c>
      <c r="E164" s="231">
        <v>8729</v>
      </c>
      <c r="F164" s="231">
        <v>8830</v>
      </c>
      <c r="G164" s="228">
        <v>-101</v>
      </c>
      <c r="H164" s="229">
        <v>-1.14E-2</v>
      </c>
      <c r="I164" s="231">
        <v>8707.5</v>
      </c>
      <c r="J164" s="231">
        <v>8821</v>
      </c>
      <c r="K164" s="228">
        <v>-113.5</v>
      </c>
      <c r="L164" s="229">
        <v>-1.29E-2</v>
      </c>
      <c r="M164" s="231">
        <v>8729</v>
      </c>
      <c r="N164" s="231">
        <v>8830</v>
      </c>
      <c r="O164" s="228">
        <v>-101</v>
      </c>
      <c r="P164" s="229">
        <v>-1.14E-2</v>
      </c>
      <c r="Q164" s="231">
        <v>8773</v>
      </c>
      <c r="R164" s="231">
        <v>8866.5</v>
      </c>
      <c r="S164" s="228">
        <v>-93.5</v>
      </c>
      <c r="T164" s="229">
        <v>-1.0500000000000001E-2</v>
      </c>
      <c r="U164" s="228">
        <v>0</v>
      </c>
      <c r="V164" s="228">
        <v>0</v>
      </c>
      <c r="W164" s="228">
        <v>0</v>
      </c>
      <c r="X164" s="229">
        <v>0</v>
      </c>
      <c r="Y164" s="228">
        <v>21.5</v>
      </c>
      <c r="Z164" s="228">
        <v>9</v>
      </c>
      <c r="AA164" s="228">
        <v>12.5</v>
      </c>
      <c r="AB164" s="229">
        <v>2.5000000000000001E-3</v>
      </c>
      <c r="AC164" s="228">
        <v>21.5</v>
      </c>
      <c r="AD164" s="228">
        <v>9</v>
      </c>
      <c r="AE164" s="228">
        <v>12.5</v>
      </c>
      <c r="AF164" s="229">
        <v>2.5000000000000001E-3</v>
      </c>
      <c r="AG164" s="228">
        <v>65.5</v>
      </c>
      <c r="AH164" s="228">
        <v>45.5</v>
      </c>
      <c r="AI164" s="228">
        <v>20</v>
      </c>
      <c r="AJ164" s="229">
        <v>7.4999999999999997E-3</v>
      </c>
      <c r="AK164" s="228">
        <v>0</v>
      </c>
      <c r="AL164" s="228">
        <v>0</v>
      </c>
      <c r="AM164" s="228">
        <v>0</v>
      </c>
      <c r="AN164" s="229">
        <v>0</v>
      </c>
      <c r="AO164" s="231">
        <v>8749.98</v>
      </c>
      <c r="AP164" s="231">
        <v>8794.4699999999993</v>
      </c>
      <c r="AQ164" s="228">
        <v>0</v>
      </c>
      <c r="AR164" s="230">
        <v>194625</v>
      </c>
      <c r="AS164" s="230">
        <v>190425</v>
      </c>
      <c r="AT164" s="230">
        <v>4200</v>
      </c>
      <c r="AU164" s="229">
        <v>2.2100000000000002E-2</v>
      </c>
      <c r="AV164" s="230">
        <v>163500</v>
      </c>
      <c r="AW164" s="230">
        <v>168825</v>
      </c>
      <c r="AX164" s="230">
        <v>-5325</v>
      </c>
      <c r="AY164" s="229">
        <v>-3.15E-2</v>
      </c>
      <c r="AZ164" s="230">
        <v>30225</v>
      </c>
      <c r="BA164" s="230">
        <v>20925</v>
      </c>
      <c r="BB164" s="230">
        <v>9300</v>
      </c>
      <c r="BC164" s="229">
        <v>0.44440000000000002</v>
      </c>
      <c r="BD164" s="228">
        <v>0</v>
      </c>
      <c r="BE164" s="228">
        <v>0</v>
      </c>
      <c r="BF164" s="228">
        <v>0</v>
      </c>
      <c r="BG164" s="229">
        <v>0</v>
      </c>
      <c r="BH164" s="230">
        <v>421575</v>
      </c>
      <c r="BI164" s="230">
        <v>474375</v>
      </c>
      <c r="BJ164" s="230">
        <v>-52800</v>
      </c>
      <c r="BK164" s="229">
        <v>-0.1113</v>
      </c>
      <c r="BL164" s="230">
        <v>214950</v>
      </c>
      <c r="BM164" s="230">
        <v>193650</v>
      </c>
      <c r="BN164" s="230">
        <v>21300</v>
      </c>
      <c r="BO164" s="229">
        <v>0.11</v>
      </c>
      <c r="BP164" s="230">
        <v>831150</v>
      </c>
      <c r="BQ164" s="230">
        <v>858450</v>
      </c>
      <c r="BR164" s="230">
        <v>-27300</v>
      </c>
      <c r="BS164" s="229">
        <v>-3.1800000000000002E-2</v>
      </c>
      <c r="BT164" s="230">
        <v>71958</v>
      </c>
      <c r="BU164" s="230">
        <v>64812</v>
      </c>
      <c r="BV164" s="230">
        <v>7146</v>
      </c>
      <c r="BW164" s="229">
        <v>0.1103</v>
      </c>
      <c r="BX164" s="230">
        <v>1154850</v>
      </c>
      <c r="BY164" s="230">
        <v>1103925</v>
      </c>
      <c r="BZ164" s="230">
        <v>50925</v>
      </c>
      <c r="CA164" s="229">
        <v>4.6100000000000002E-2</v>
      </c>
      <c r="CB164" s="230">
        <v>1071900</v>
      </c>
      <c r="CC164" s="230">
        <v>1038375</v>
      </c>
      <c r="CD164" s="230">
        <v>33525</v>
      </c>
      <c r="CE164" s="229">
        <v>3.2300000000000002E-2</v>
      </c>
      <c r="CF164" s="230">
        <v>76350</v>
      </c>
      <c r="CG164" s="230">
        <v>59775</v>
      </c>
      <c r="CH164" s="230">
        <v>16575</v>
      </c>
      <c r="CI164" s="229">
        <v>0.27729999999999999</v>
      </c>
      <c r="CJ164" s="228">
        <v>0</v>
      </c>
      <c r="CK164" s="228">
        <v>0</v>
      </c>
      <c r="CL164" s="228">
        <v>0</v>
      </c>
      <c r="CM164" s="229">
        <v>0</v>
      </c>
      <c r="CN164" s="230">
        <v>691950</v>
      </c>
      <c r="CO164" s="230">
        <v>653100</v>
      </c>
      <c r="CP164" s="230">
        <v>38850</v>
      </c>
      <c r="CQ164" s="229">
        <v>5.9499999999999997E-2</v>
      </c>
      <c r="CR164" s="230">
        <v>358200</v>
      </c>
      <c r="CS164" s="230">
        <v>361125</v>
      </c>
      <c r="CT164" s="230">
        <v>-2925</v>
      </c>
      <c r="CU164" s="229">
        <v>-8.0999999999999996E-3</v>
      </c>
      <c r="CV164" s="230">
        <v>2205000</v>
      </c>
      <c r="CW164" s="230">
        <v>2118150</v>
      </c>
      <c r="CX164" s="230">
        <v>86850</v>
      </c>
      <c r="CY164" s="229">
        <v>4.1000000000000002E-2</v>
      </c>
      <c r="CZ164" s="228">
        <v>44.96</v>
      </c>
      <c r="DA164" s="228">
        <v>42.69</v>
      </c>
      <c r="DB164" s="228">
        <v>2.27</v>
      </c>
      <c r="DC164" s="228">
        <v>2.27</v>
      </c>
      <c r="DD164" s="228">
        <v>42.81</v>
      </c>
      <c r="DE164" s="228">
        <v>42.88</v>
      </c>
      <c r="DF164" s="228">
        <v>2.15</v>
      </c>
      <c r="DG164" s="228">
        <v>-7.0000000000000007E-2</v>
      </c>
      <c r="DH164" s="228">
        <v>45.71</v>
      </c>
      <c r="DI164" s="228">
        <v>42.74</v>
      </c>
      <c r="DJ164" s="228">
        <v>2.97</v>
      </c>
      <c r="DK164" s="228">
        <v>2.97</v>
      </c>
      <c r="DL164" s="228">
        <v>43.5</v>
      </c>
      <c r="DM164" s="228">
        <v>42.56</v>
      </c>
      <c r="DN164" s="228">
        <v>0.94</v>
      </c>
      <c r="DO164" s="228">
        <v>0.94</v>
      </c>
      <c r="DP164" s="228">
        <v>0.52</v>
      </c>
      <c r="DQ164" s="228">
        <v>0.55000000000000004</v>
      </c>
      <c r="DR164" s="228">
        <v>-0.03</v>
      </c>
      <c r="DS164" s="229">
        <v>-5.45E-2</v>
      </c>
      <c r="DT164" s="231">
        <v>9000</v>
      </c>
      <c r="DU164" s="231">
        <v>9000</v>
      </c>
      <c r="DV164" s="228">
        <v>0.51</v>
      </c>
      <c r="DW164" s="228">
        <v>0.41</v>
      </c>
      <c r="DX164" s="228">
        <v>0.1</v>
      </c>
      <c r="DY164" s="229">
        <v>0.24390000000000001</v>
      </c>
      <c r="DZ164" s="229">
        <v>6.6100000000000006E-2</v>
      </c>
      <c r="EA164" s="230">
        <v>59775</v>
      </c>
      <c r="EB164" s="229">
        <v>5.0000000000000001E-3</v>
      </c>
      <c r="EC164" s="229">
        <v>6.6100000000000006E-2</v>
      </c>
      <c r="ED164" s="228">
        <v>44.49</v>
      </c>
      <c r="EE164" s="229">
        <v>5.1000000000000004E-3</v>
      </c>
      <c r="EF164" s="230">
        <v>31613</v>
      </c>
      <c r="EG164" s="230">
        <v>18171</v>
      </c>
      <c r="EH164" s="229">
        <v>0.73980000000000001</v>
      </c>
      <c r="EI164" s="229">
        <v>0.43930000000000002</v>
      </c>
      <c r="EJ164" s="231">
        <v>39292.39</v>
      </c>
      <c r="EK164" s="231">
        <v>18842.080000000002</v>
      </c>
      <c r="EL164" s="231">
        <v>17043.87</v>
      </c>
      <c r="EM164" s="228">
        <v>0</v>
      </c>
      <c r="EN164" s="231">
        <v>75178.34</v>
      </c>
      <c r="EO164" s="231">
        <v>78068.210000000006</v>
      </c>
      <c r="EP164" s="231">
        <v>-2889.87</v>
      </c>
      <c r="EQ164" s="229">
        <v>-3.6999999999999998E-2</v>
      </c>
      <c r="ER164" s="231">
        <v>65054</v>
      </c>
      <c r="ES164" s="231">
        <v>31180</v>
      </c>
      <c r="ET164" s="231">
        <v>100847</v>
      </c>
      <c r="EU164" s="231">
        <v>4762380</v>
      </c>
      <c r="EV164" s="231">
        <v>197081</v>
      </c>
      <c r="EW164" s="231">
        <v>190531</v>
      </c>
      <c r="EX164" s="231">
        <v>6550</v>
      </c>
      <c r="EY164" s="229">
        <v>3.44E-2</v>
      </c>
      <c r="EZ164" s="229">
        <v>0.46300000000000002</v>
      </c>
      <c r="FA164" s="227" t="s">
        <v>567</v>
      </c>
      <c r="FB164" s="161">
        <f t="shared" si="4"/>
        <v>0</v>
      </c>
    </row>
    <row r="165" spans="1:158" ht="17.25" thickBot="1" x14ac:dyDescent="0.3">
      <c r="A165" s="226">
        <v>45860</v>
      </c>
      <c r="B165" s="227" t="s">
        <v>193</v>
      </c>
      <c r="C165" s="227" t="s">
        <v>588</v>
      </c>
      <c r="D165" s="228">
        <v>1400</v>
      </c>
      <c r="E165" s="228">
        <v>452.6</v>
      </c>
      <c r="F165" s="228">
        <v>454.5</v>
      </c>
      <c r="G165" s="228">
        <v>-1.9</v>
      </c>
      <c r="H165" s="229">
        <v>-4.1999999999999997E-3</v>
      </c>
      <c r="I165" s="228">
        <v>451.35</v>
      </c>
      <c r="J165" s="228">
        <v>453.25</v>
      </c>
      <c r="K165" s="228">
        <v>-1.9</v>
      </c>
      <c r="L165" s="229">
        <v>-4.1999999999999997E-3</v>
      </c>
      <c r="M165" s="228">
        <v>452.6</v>
      </c>
      <c r="N165" s="228">
        <v>454.5</v>
      </c>
      <c r="O165" s="228">
        <v>-1.9</v>
      </c>
      <c r="P165" s="229">
        <v>-4.1999999999999997E-3</v>
      </c>
      <c r="Q165" s="228">
        <v>453.6</v>
      </c>
      <c r="R165" s="228">
        <v>455.55</v>
      </c>
      <c r="S165" s="228">
        <v>-1.95</v>
      </c>
      <c r="T165" s="229">
        <v>-4.3E-3</v>
      </c>
      <c r="U165" s="228">
        <v>0</v>
      </c>
      <c r="V165" s="228">
        <v>0</v>
      </c>
      <c r="W165" s="228">
        <v>0</v>
      </c>
      <c r="X165" s="229">
        <v>0</v>
      </c>
      <c r="Y165" s="228">
        <v>1.25</v>
      </c>
      <c r="Z165" s="228">
        <v>1.25</v>
      </c>
      <c r="AA165" s="228">
        <v>0</v>
      </c>
      <c r="AB165" s="229">
        <v>2.8E-3</v>
      </c>
      <c r="AC165" s="228">
        <v>1.25</v>
      </c>
      <c r="AD165" s="228">
        <v>1.25</v>
      </c>
      <c r="AE165" s="228">
        <v>0</v>
      </c>
      <c r="AF165" s="229">
        <v>2.8E-3</v>
      </c>
      <c r="AG165" s="228">
        <v>2.25</v>
      </c>
      <c r="AH165" s="228">
        <v>2.2999999999999998</v>
      </c>
      <c r="AI165" s="228">
        <v>-0.05</v>
      </c>
      <c r="AJ165" s="229">
        <v>5.0000000000000001E-3</v>
      </c>
      <c r="AK165" s="228">
        <v>0</v>
      </c>
      <c r="AL165" s="228">
        <v>0</v>
      </c>
      <c r="AM165" s="228">
        <v>0</v>
      </c>
      <c r="AN165" s="229">
        <v>0</v>
      </c>
      <c r="AO165" s="228">
        <v>453.09</v>
      </c>
      <c r="AP165" s="228">
        <v>453.49</v>
      </c>
      <c r="AQ165" s="228">
        <v>0</v>
      </c>
      <c r="AR165" s="230">
        <v>1629600</v>
      </c>
      <c r="AS165" s="230">
        <v>2406600</v>
      </c>
      <c r="AT165" s="230">
        <v>-777000</v>
      </c>
      <c r="AU165" s="229">
        <v>-0.32290000000000002</v>
      </c>
      <c r="AV165" s="230">
        <v>1330000</v>
      </c>
      <c r="AW165" s="230">
        <v>2153200</v>
      </c>
      <c r="AX165" s="230">
        <v>-823200</v>
      </c>
      <c r="AY165" s="229">
        <v>-0.38229999999999997</v>
      </c>
      <c r="AZ165" s="230">
        <v>278600</v>
      </c>
      <c r="BA165" s="230">
        <v>243600</v>
      </c>
      <c r="BB165" s="230">
        <v>35000</v>
      </c>
      <c r="BC165" s="229">
        <v>0.14369999999999999</v>
      </c>
      <c r="BD165" s="228">
        <v>0</v>
      </c>
      <c r="BE165" s="228">
        <v>0</v>
      </c>
      <c r="BF165" s="228">
        <v>0</v>
      </c>
      <c r="BG165" s="229">
        <v>0</v>
      </c>
      <c r="BH165" s="230">
        <v>6123600</v>
      </c>
      <c r="BI165" s="230">
        <v>5749800</v>
      </c>
      <c r="BJ165" s="230">
        <v>373800</v>
      </c>
      <c r="BK165" s="229">
        <v>6.5000000000000002E-2</v>
      </c>
      <c r="BL165" s="230">
        <v>1934800</v>
      </c>
      <c r="BM165" s="230">
        <v>2315600</v>
      </c>
      <c r="BN165" s="230">
        <v>-380800</v>
      </c>
      <c r="BO165" s="229">
        <v>-0.16439999999999999</v>
      </c>
      <c r="BP165" s="230">
        <v>9688000</v>
      </c>
      <c r="BQ165" s="230">
        <v>10472000</v>
      </c>
      <c r="BR165" s="230">
        <v>-784000</v>
      </c>
      <c r="BS165" s="229">
        <v>-7.4899999999999994E-2</v>
      </c>
      <c r="BT165" s="230">
        <v>1637154</v>
      </c>
      <c r="BU165" s="230">
        <v>1870003</v>
      </c>
      <c r="BV165" s="230">
        <v>-232849</v>
      </c>
      <c r="BW165" s="229">
        <v>-0.1245</v>
      </c>
      <c r="BX165" s="230">
        <v>15544200</v>
      </c>
      <c r="BY165" s="230">
        <v>15457400</v>
      </c>
      <c r="BZ165" s="230">
        <v>86800</v>
      </c>
      <c r="CA165" s="229">
        <v>5.5999999999999999E-3</v>
      </c>
      <c r="CB165" s="230">
        <v>13974800</v>
      </c>
      <c r="CC165" s="230">
        <v>13925800</v>
      </c>
      <c r="CD165" s="230">
        <v>49000</v>
      </c>
      <c r="CE165" s="229">
        <v>3.5000000000000001E-3</v>
      </c>
      <c r="CF165" s="230">
        <v>1507800</v>
      </c>
      <c r="CG165" s="230">
        <v>1478400</v>
      </c>
      <c r="CH165" s="230">
        <v>29400</v>
      </c>
      <c r="CI165" s="229">
        <v>1.9900000000000001E-2</v>
      </c>
      <c r="CJ165" s="228">
        <v>0</v>
      </c>
      <c r="CK165" s="228">
        <v>0</v>
      </c>
      <c r="CL165" s="228">
        <v>0</v>
      </c>
      <c r="CM165" s="229">
        <v>0</v>
      </c>
      <c r="CN165" s="230">
        <v>7908600</v>
      </c>
      <c r="CO165" s="230">
        <v>7732200</v>
      </c>
      <c r="CP165" s="230">
        <v>176400</v>
      </c>
      <c r="CQ165" s="229">
        <v>2.2800000000000001E-2</v>
      </c>
      <c r="CR165" s="230">
        <v>4583600</v>
      </c>
      <c r="CS165" s="230">
        <v>4730600</v>
      </c>
      <c r="CT165" s="230">
        <v>-147000</v>
      </c>
      <c r="CU165" s="229">
        <v>-3.1099999999999999E-2</v>
      </c>
      <c r="CV165" s="230">
        <v>28036400</v>
      </c>
      <c r="CW165" s="230">
        <v>27920200</v>
      </c>
      <c r="CX165" s="230">
        <v>116200</v>
      </c>
      <c r="CY165" s="229">
        <v>4.1999999999999997E-3</v>
      </c>
      <c r="CZ165" s="228">
        <v>31.92</v>
      </c>
      <c r="DA165" s="228">
        <v>32.380000000000003</v>
      </c>
      <c r="DB165" s="228">
        <v>-0.46</v>
      </c>
      <c r="DC165" s="228">
        <v>-0.46</v>
      </c>
      <c r="DD165" s="228">
        <v>49.25</v>
      </c>
      <c r="DE165" s="228">
        <v>49.37</v>
      </c>
      <c r="DF165" s="228">
        <v>-17.329999999999998</v>
      </c>
      <c r="DG165" s="228">
        <v>-0.12</v>
      </c>
      <c r="DH165" s="228">
        <v>31.75</v>
      </c>
      <c r="DI165" s="228">
        <v>32.32</v>
      </c>
      <c r="DJ165" s="228">
        <v>-0.56999999999999995</v>
      </c>
      <c r="DK165" s="228">
        <v>-0.56999999999999995</v>
      </c>
      <c r="DL165" s="228">
        <v>32.450000000000003</v>
      </c>
      <c r="DM165" s="228">
        <v>32.53</v>
      </c>
      <c r="DN165" s="228">
        <v>-0.08</v>
      </c>
      <c r="DO165" s="228">
        <v>-0.08</v>
      </c>
      <c r="DP165" s="228">
        <v>0.57999999999999996</v>
      </c>
      <c r="DQ165" s="228">
        <v>0.61</v>
      </c>
      <c r="DR165" s="228">
        <v>-0.03</v>
      </c>
      <c r="DS165" s="229">
        <v>-4.9200000000000001E-2</v>
      </c>
      <c r="DT165" s="228">
        <v>450</v>
      </c>
      <c r="DU165" s="228">
        <v>450</v>
      </c>
      <c r="DV165" s="228">
        <v>0.32</v>
      </c>
      <c r="DW165" s="228">
        <v>0.4</v>
      </c>
      <c r="DX165" s="228">
        <v>-0.08</v>
      </c>
      <c r="DY165" s="229">
        <v>-0.2</v>
      </c>
      <c r="DZ165" s="229">
        <v>9.7000000000000003E-2</v>
      </c>
      <c r="EA165" s="230">
        <v>1478400</v>
      </c>
      <c r="EB165" s="229">
        <v>2.2000000000000001E-3</v>
      </c>
      <c r="EC165" s="229">
        <v>9.7000000000000003E-2</v>
      </c>
      <c r="ED165" s="228">
        <v>0.4</v>
      </c>
      <c r="EE165" s="229">
        <v>8.9999999999999998E-4</v>
      </c>
      <c r="EF165" s="230">
        <v>866770</v>
      </c>
      <c r="EG165" s="230">
        <v>876551</v>
      </c>
      <c r="EH165" s="229">
        <v>-1.12E-2</v>
      </c>
      <c r="EI165" s="229">
        <v>0.52939999999999998</v>
      </c>
      <c r="EJ165" s="231">
        <v>28559.84</v>
      </c>
      <c r="EK165" s="231">
        <v>8599.93</v>
      </c>
      <c r="EL165" s="231">
        <v>7384.97</v>
      </c>
      <c r="EM165" s="228">
        <v>0</v>
      </c>
      <c r="EN165" s="231">
        <v>44544.74</v>
      </c>
      <c r="EO165" s="231">
        <v>48184.58</v>
      </c>
      <c r="EP165" s="231">
        <v>-3639.84</v>
      </c>
      <c r="EQ165" s="229">
        <v>-7.5499999999999998E-2</v>
      </c>
      <c r="ER165" s="231">
        <v>36886</v>
      </c>
      <c r="ES165" s="231">
        <v>19885</v>
      </c>
      <c r="ET165" s="231">
        <v>70369</v>
      </c>
      <c r="EU165" s="231">
        <v>141008560</v>
      </c>
      <c r="EV165" s="231">
        <v>127140</v>
      </c>
      <c r="EW165" s="231">
        <v>126873</v>
      </c>
      <c r="EX165" s="228">
        <v>267</v>
      </c>
      <c r="EY165" s="229">
        <v>2.0999999999999999E-3</v>
      </c>
      <c r="EZ165" s="229">
        <v>0.1988</v>
      </c>
      <c r="FA165" s="227" t="s">
        <v>567</v>
      </c>
      <c r="FB165" s="161">
        <f t="shared" si="4"/>
        <v>0</v>
      </c>
    </row>
    <row r="166" spans="1:158" ht="17.25" thickBot="1" x14ac:dyDescent="0.3">
      <c r="A166" s="226">
        <v>45860</v>
      </c>
      <c r="B166" s="227" t="s">
        <v>193</v>
      </c>
      <c r="C166" s="227" t="s">
        <v>269</v>
      </c>
      <c r="D166" s="228">
        <v>2250</v>
      </c>
      <c r="E166" s="228">
        <v>246.32</v>
      </c>
      <c r="F166" s="228">
        <v>245.42</v>
      </c>
      <c r="G166" s="228">
        <v>0.9</v>
      </c>
      <c r="H166" s="229">
        <v>3.7000000000000002E-3</v>
      </c>
      <c r="I166" s="228">
        <v>246.41</v>
      </c>
      <c r="J166" s="228">
        <v>245.04</v>
      </c>
      <c r="K166" s="228">
        <v>1.37</v>
      </c>
      <c r="L166" s="229">
        <v>5.5999999999999999E-3</v>
      </c>
      <c r="M166" s="228">
        <v>246.32</v>
      </c>
      <c r="N166" s="228">
        <v>245.42</v>
      </c>
      <c r="O166" s="228">
        <v>0.9</v>
      </c>
      <c r="P166" s="229">
        <v>3.7000000000000002E-3</v>
      </c>
      <c r="Q166" s="228">
        <v>246.35</v>
      </c>
      <c r="R166" s="228">
        <v>245.51</v>
      </c>
      <c r="S166" s="228">
        <v>0.84</v>
      </c>
      <c r="T166" s="229">
        <v>3.3999999999999998E-3</v>
      </c>
      <c r="U166" s="228">
        <v>0</v>
      </c>
      <c r="V166" s="228">
        <v>0</v>
      </c>
      <c r="W166" s="228">
        <v>0</v>
      </c>
      <c r="X166" s="229">
        <v>0</v>
      </c>
      <c r="Y166" s="228">
        <v>-0.09</v>
      </c>
      <c r="Z166" s="228">
        <v>0.38</v>
      </c>
      <c r="AA166" s="228">
        <v>-0.47</v>
      </c>
      <c r="AB166" s="229">
        <v>-4.0000000000000002E-4</v>
      </c>
      <c r="AC166" s="228">
        <v>-0.09</v>
      </c>
      <c r="AD166" s="228">
        <v>0.38</v>
      </c>
      <c r="AE166" s="228">
        <v>-0.47</v>
      </c>
      <c r="AF166" s="229">
        <v>-4.0000000000000002E-4</v>
      </c>
      <c r="AG166" s="228">
        <v>-0.06</v>
      </c>
      <c r="AH166" s="228">
        <v>0.47</v>
      </c>
      <c r="AI166" s="228">
        <v>-0.53</v>
      </c>
      <c r="AJ166" s="229">
        <v>-2.0000000000000001E-4</v>
      </c>
      <c r="AK166" s="228">
        <v>0</v>
      </c>
      <c r="AL166" s="228">
        <v>0</v>
      </c>
      <c r="AM166" s="228">
        <v>0</v>
      </c>
      <c r="AN166" s="229">
        <v>0</v>
      </c>
      <c r="AO166" s="228">
        <v>245.83</v>
      </c>
      <c r="AP166" s="228">
        <v>245.92</v>
      </c>
      <c r="AQ166" s="228">
        <v>0</v>
      </c>
      <c r="AR166" s="230">
        <v>11038500</v>
      </c>
      <c r="AS166" s="230">
        <v>6741000</v>
      </c>
      <c r="AT166" s="230">
        <v>4297500</v>
      </c>
      <c r="AU166" s="229">
        <v>0.63749999999999996</v>
      </c>
      <c r="AV166" s="230">
        <v>7717500</v>
      </c>
      <c r="AW166" s="230">
        <v>5010750</v>
      </c>
      <c r="AX166" s="230">
        <v>2706750</v>
      </c>
      <c r="AY166" s="229">
        <v>0.54020000000000001</v>
      </c>
      <c r="AZ166" s="230">
        <v>3235500</v>
      </c>
      <c r="BA166" s="230">
        <v>1635750</v>
      </c>
      <c r="BB166" s="230">
        <v>1599750</v>
      </c>
      <c r="BC166" s="229">
        <v>0.97799999999999998</v>
      </c>
      <c r="BD166" s="228">
        <v>0</v>
      </c>
      <c r="BE166" s="228">
        <v>0</v>
      </c>
      <c r="BF166" s="228">
        <v>0</v>
      </c>
      <c r="BG166" s="229">
        <v>0</v>
      </c>
      <c r="BH166" s="230">
        <v>52593750</v>
      </c>
      <c r="BI166" s="230">
        <v>52418250</v>
      </c>
      <c r="BJ166" s="230">
        <v>175500</v>
      </c>
      <c r="BK166" s="229">
        <v>3.3E-3</v>
      </c>
      <c r="BL166" s="230">
        <v>22664250</v>
      </c>
      <c r="BM166" s="230">
        <v>15747750</v>
      </c>
      <c r="BN166" s="230">
        <v>6916500</v>
      </c>
      <c r="BO166" s="229">
        <v>0.43919999999999998</v>
      </c>
      <c r="BP166" s="230">
        <v>86296500</v>
      </c>
      <c r="BQ166" s="230">
        <v>74907000</v>
      </c>
      <c r="BR166" s="230">
        <v>11389500</v>
      </c>
      <c r="BS166" s="229">
        <v>0.152</v>
      </c>
      <c r="BT166" s="230">
        <v>6736609</v>
      </c>
      <c r="BU166" s="230">
        <v>5841831</v>
      </c>
      <c r="BV166" s="230">
        <v>894778</v>
      </c>
      <c r="BW166" s="229">
        <v>0.1532</v>
      </c>
      <c r="BX166" s="230">
        <v>99443250</v>
      </c>
      <c r="BY166" s="230">
        <v>99920250</v>
      </c>
      <c r="BZ166" s="230">
        <v>-477000</v>
      </c>
      <c r="CA166" s="229">
        <v>-4.7999999999999996E-3</v>
      </c>
      <c r="CB166" s="230">
        <v>75631500</v>
      </c>
      <c r="CC166" s="230">
        <v>78120000</v>
      </c>
      <c r="CD166" s="230">
        <v>-2488500</v>
      </c>
      <c r="CE166" s="229">
        <v>-3.1899999999999998E-2</v>
      </c>
      <c r="CF166" s="230">
        <v>23474250</v>
      </c>
      <c r="CG166" s="230">
        <v>21485250</v>
      </c>
      <c r="CH166" s="230">
        <v>1989000</v>
      </c>
      <c r="CI166" s="229">
        <v>9.2600000000000002E-2</v>
      </c>
      <c r="CJ166" s="228">
        <v>0</v>
      </c>
      <c r="CK166" s="228">
        <v>0</v>
      </c>
      <c r="CL166" s="228">
        <v>0</v>
      </c>
      <c r="CM166" s="229">
        <v>0</v>
      </c>
      <c r="CN166" s="230">
        <v>79186500</v>
      </c>
      <c r="CO166" s="230">
        <v>80948250</v>
      </c>
      <c r="CP166" s="230">
        <v>-1761750</v>
      </c>
      <c r="CQ166" s="229">
        <v>-2.18E-2</v>
      </c>
      <c r="CR166" s="230">
        <v>22554000</v>
      </c>
      <c r="CS166" s="230">
        <v>21728250</v>
      </c>
      <c r="CT166" s="230">
        <v>825750</v>
      </c>
      <c r="CU166" s="229">
        <v>3.7999999999999999E-2</v>
      </c>
      <c r="CV166" s="230">
        <v>201183750</v>
      </c>
      <c r="CW166" s="230">
        <v>202596750</v>
      </c>
      <c r="CX166" s="230">
        <v>-1413000</v>
      </c>
      <c r="CY166" s="229">
        <v>-7.0000000000000001E-3</v>
      </c>
      <c r="CZ166" s="228">
        <v>18.059999999999999</v>
      </c>
      <c r="DA166" s="228">
        <v>19.399999999999999</v>
      </c>
      <c r="DB166" s="228">
        <v>-1.34</v>
      </c>
      <c r="DC166" s="228">
        <v>-1.34</v>
      </c>
      <c r="DD166" s="228">
        <v>36.35</v>
      </c>
      <c r="DE166" s="228">
        <v>36.44</v>
      </c>
      <c r="DF166" s="228">
        <v>-18.29</v>
      </c>
      <c r="DG166" s="228">
        <v>-0.09</v>
      </c>
      <c r="DH166" s="228">
        <v>17.91</v>
      </c>
      <c r="DI166" s="228">
        <v>19.690000000000001</v>
      </c>
      <c r="DJ166" s="228">
        <v>-1.78</v>
      </c>
      <c r="DK166" s="228">
        <v>-1.78</v>
      </c>
      <c r="DL166" s="228">
        <v>18.41</v>
      </c>
      <c r="DM166" s="228">
        <v>18.440000000000001</v>
      </c>
      <c r="DN166" s="228">
        <v>-0.03</v>
      </c>
      <c r="DO166" s="228">
        <v>-0.03</v>
      </c>
      <c r="DP166" s="228">
        <v>0.28000000000000003</v>
      </c>
      <c r="DQ166" s="228">
        <v>0.27</v>
      </c>
      <c r="DR166" s="228">
        <v>0.01</v>
      </c>
      <c r="DS166" s="229">
        <v>3.6999999999999998E-2</v>
      </c>
      <c r="DT166" s="228">
        <v>250</v>
      </c>
      <c r="DU166" s="228">
        <v>245</v>
      </c>
      <c r="DV166" s="228">
        <v>0.43</v>
      </c>
      <c r="DW166" s="228">
        <v>0.3</v>
      </c>
      <c r="DX166" s="228">
        <v>0.13</v>
      </c>
      <c r="DY166" s="229">
        <v>0.43330000000000002</v>
      </c>
      <c r="DZ166" s="229">
        <v>0.2361</v>
      </c>
      <c r="EA166" s="230">
        <v>21485250</v>
      </c>
      <c r="EB166" s="229">
        <v>1E-4</v>
      </c>
      <c r="EC166" s="229">
        <v>0.2361</v>
      </c>
      <c r="ED166" s="228">
        <v>0.09</v>
      </c>
      <c r="EE166" s="229">
        <v>4.0000000000000002E-4</v>
      </c>
      <c r="EF166" s="230">
        <v>4295446</v>
      </c>
      <c r="EG166" s="230">
        <v>3546219</v>
      </c>
      <c r="EH166" s="229">
        <v>0.21129999999999999</v>
      </c>
      <c r="EI166" s="229">
        <v>0.63759999999999994</v>
      </c>
      <c r="EJ166" s="231">
        <v>132571.57999999999</v>
      </c>
      <c r="EK166" s="231">
        <v>56229.48</v>
      </c>
      <c r="EL166" s="231">
        <v>27139.81</v>
      </c>
      <c r="EM166" s="228">
        <v>0</v>
      </c>
      <c r="EN166" s="231">
        <v>215940.87</v>
      </c>
      <c r="EO166" s="231">
        <v>188302.98</v>
      </c>
      <c r="EP166" s="231">
        <v>27637.89</v>
      </c>
      <c r="EQ166" s="229">
        <v>0.14680000000000001</v>
      </c>
      <c r="ER166" s="231">
        <v>200389</v>
      </c>
      <c r="ES166" s="231">
        <v>54513</v>
      </c>
      <c r="ET166" s="231">
        <v>244960</v>
      </c>
      <c r="EU166" s="231">
        <v>1034282422</v>
      </c>
      <c r="EV166" s="231">
        <v>499861</v>
      </c>
      <c r="EW166" s="231">
        <v>502501</v>
      </c>
      <c r="EX166" s="231">
        <v>-2640</v>
      </c>
      <c r="EY166" s="229">
        <v>-5.3E-3</v>
      </c>
      <c r="EZ166" s="229">
        <v>0.19450000000000001</v>
      </c>
      <c r="FA166" s="227" t="s">
        <v>556</v>
      </c>
      <c r="FB166" s="161">
        <f t="shared" si="4"/>
        <v>0</v>
      </c>
    </row>
    <row r="167" spans="1:158" ht="17.25" thickBot="1" x14ac:dyDescent="0.3">
      <c r="A167" s="226">
        <v>45860</v>
      </c>
      <c r="B167" s="227" t="s">
        <v>197</v>
      </c>
      <c r="C167" s="227" t="s">
        <v>270</v>
      </c>
      <c r="D167" s="228">
        <v>15</v>
      </c>
      <c r="E167" s="231">
        <v>46360</v>
      </c>
      <c r="F167" s="231">
        <v>46605</v>
      </c>
      <c r="G167" s="228">
        <v>-245</v>
      </c>
      <c r="H167" s="229">
        <v>-5.3E-3</v>
      </c>
      <c r="I167" s="231">
        <v>46295</v>
      </c>
      <c r="J167" s="231">
        <v>46730</v>
      </c>
      <c r="K167" s="228">
        <v>-435</v>
      </c>
      <c r="L167" s="229">
        <v>-9.2999999999999992E-3</v>
      </c>
      <c r="M167" s="231">
        <v>46360</v>
      </c>
      <c r="N167" s="231">
        <v>46605</v>
      </c>
      <c r="O167" s="228">
        <v>-245</v>
      </c>
      <c r="P167" s="229">
        <v>-5.3E-3</v>
      </c>
      <c r="Q167" s="231">
        <v>45400</v>
      </c>
      <c r="R167" s="231">
        <v>45710</v>
      </c>
      <c r="S167" s="228">
        <v>-310</v>
      </c>
      <c r="T167" s="229">
        <v>-6.7999999999999996E-3</v>
      </c>
      <c r="U167" s="228">
        <v>0</v>
      </c>
      <c r="V167" s="228">
        <v>0</v>
      </c>
      <c r="W167" s="228">
        <v>0</v>
      </c>
      <c r="X167" s="229">
        <v>0</v>
      </c>
      <c r="Y167" s="228">
        <v>65</v>
      </c>
      <c r="Z167" s="228">
        <v>-125</v>
      </c>
      <c r="AA167" s="228">
        <v>190</v>
      </c>
      <c r="AB167" s="229">
        <v>1.4E-3</v>
      </c>
      <c r="AC167" s="228">
        <v>65</v>
      </c>
      <c r="AD167" s="228">
        <v>-125</v>
      </c>
      <c r="AE167" s="228">
        <v>190</v>
      </c>
      <c r="AF167" s="229">
        <v>1.4E-3</v>
      </c>
      <c r="AG167" s="228">
        <v>-895</v>
      </c>
      <c r="AH167" s="231">
        <v>-1020</v>
      </c>
      <c r="AI167" s="228">
        <v>125</v>
      </c>
      <c r="AJ167" s="229">
        <v>-1.9300000000000001E-2</v>
      </c>
      <c r="AK167" s="228">
        <v>0</v>
      </c>
      <c r="AL167" s="228">
        <v>0</v>
      </c>
      <c r="AM167" s="228">
        <v>0</v>
      </c>
      <c r="AN167" s="229">
        <v>0</v>
      </c>
      <c r="AO167" s="231">
        <v>46467.34</v>
      </c>
      <c r="AP167" s="231">
        <v>45567.49</v>
      </c>
      <c r="AQ167" s="228">
        <v>0</v>
      </c>
      <c r="AR167" s="230">
        <v>27420</v>
      </c>
      <c r="AS167" s="230">
        <v>15885</v>
      </c>
      <c r="AT167" s="230">
        <v>11535</v>
      </c>
      <c r="AU167" s="229">
        <v>0.72619999999999996</v>
      </c>
      <c r="AV167" s="230">
        <v>20685</v>
      </c>
      <c r="AW167" s="230">
        <v>14505</v>
      </c>
      <c r="AX167" s="230">
        <v>6180</v>
      </c>
      <c r="AY167" s="229">
        <v>0.42609999999999998</v>
      </c>
      <c r="AZ167" s="230">
        <v>6705</v>
      </c>
      <c r="BA167" s="230">
        <v>1335</v>
      </c>
      <c r="BB167" s="230">
        <v>5370</v>
      </c>
      <c r="BC167" s="229">
        <v>4.0225</v>
      </c>
      <c r="BD167" s="228">
        <v>0</v>
      </c>
      <c r="BE167" s="228">
        <v>0</v>
      </c>
      <c r="BF167" s="228">
        <v>0</v>
      </c>
      <c r="BG167" s="229">
        <v>0</v>
      </c>
      <c r="BH167" s="230">
        <v>134220</v>
      </c>
      <c r="BI167" s="230">
        <v>113880</v>
      </c>
      <c r="BJ167" s="230">
        <v>20340</v>
      </c>
      <c r="BK167" s="229">
        <v>0.17860000000000001</v>
      </c>
      <c r="BL167" s="230">
        <v>7515</v>
      </c>
      <c r="BM167" s="230">
        <v>10035</v>
      </c>
      <c r="BN167" s="230">
        <v>-2520</v>
      </c>
      <c r="BO167" s="229">
        <v>-0.25109999999999999</v>
      </c>
      <c r="BP167" s="230">
        <v>169155</v>
      </c>
      <c r="BQ167" s="230">
        <v>139800</v>
      </c>
      <c r="BR167" s="230">
        <v>29355</v>
      </c>
      <c r="BS167" s="229">
        <v>0.21</v>
      </c>
      <c r="BT167" s="230">
        <v>14052</v>
      </c>
      <c r="BU167" s="230">
        <v>10570</v>
      </c>
      <c r="BV167" s="230">
        <v>3482</v>
      </c>
      <c r="BW167" s="229">
        <v>0.32940000000000003</v>
      </c>
      <c r="BX167" s="230">
        <v>284355</v>
      </c>
      <c r="BY167" s="230">
        <v>284490</v>
      </c>
      <c r="BZ167" s="228">
        <v>-135</v>
      </c>
      <c r="CA167" s="229">
        <v>-5.0000000000000001E-4</v>
      </c>
      <c r="CB167" s="230">
        <v>255510</v>
      </c>
      <c r="CC167" s="230">
        <v>258435</v>
      </c>
      <c r="CD167" s="230">
        <v>-2925</v>
      </c>
      <c r="CE167" s="229">
        <v>-1.1299999999999999E-2</v>
      </c>
      <c r="CF167" s="230">
        <v>28425</v>
      </c>
      <c r="CG167" s="230">
        <v>25650</v>
      </c>
      <c r="CH167" s="230">
        <v>2775</v>
      </c>
      <c r="CI167" s="229">
        <v>0.1082</v>
      </c>
      <c r="CJ167" s="228">
        <v>0</v>
      </c>
      <c r="CK167" s="228">
        <v>0</v>
      </c>
      <c r="CL167" s="228">
        <v>0</v>
      </c>
      <c r="CM167" s="229">
        <v>0</v>
      </c>
      <c r="CN167" s="230">
        <v>95100</v>
      </c>
      <c r="CO167" s="230">
        <v>103605</v>
      </c>
      <c r="CP167" s="230">
        <v>-8505</v>
      </c>
      <c r="CQ167" s="229">
        <v>-8.2100000000000006E-2</v>
      </c>
      <c r="CR167" s="230">
        <v>25005</v>
      </c>
      <c r="CS167" s="230">
        <v>26460</v>
      </c>
      <c r="CT167" s="230">
        <v>-1455</v>
      </c>
      <c r="CU167" s="229">
        <v>-5.5E-2</v>
      </c>
      <c r="CV167" s="230">
        <v>404460</v>
      </c>
      <c r="CW167" s="230">
        <v>414555</v>
      </c>
      <c r="CX167" s="230">
        <v>-10095</v>
      </c>
      <c r="CY167" s="229">
        <v>-2.4400000000000002E-2</v>
      </c>
      <c r="CZ167" s="228">
        <v>31.76</v>
      </c>
      <c r="DA167" s="228">
        <v>31.61</v>
      </c>
      <c r="DB167" s="228">
        <v>0.15</v>
      </c>
      <c r="DC167" s="228">
        <v>0.15</v>
      </c>
      <c r="DD167" s="228">
        <v>29.36</v>
      </c>
      <c r="DE167" s="228">
        <v>29.41</v>
      </c>
      <c r="DF167" s="228">
        <v>2.4</v>
      </c>
      <c r="DG167" s="228">
        <v>-0.05</v>
      </c>
      <c r="DH167" s="228">
        <v>32.03</v>
      </c>
      <c r="DI167" s="228">
        <v>31.91</v>
      </c>
      <c r="DJ167" s="228">
        <v>0.12</v>
      </c>
      <c r="DK167" s="228">
        <v>0.12</v>
      </c>
      <c r="DL167" s="228">
        <v>26.92</v>
      </c>
      <c r="DM167" s="228">
        <v>28.23</v>
      </c>
      <c r="DN167" s="228">
        <v>-1.31</v>
      </c>
      <c r="DO167" s="228">
        <v>-1.31</v>
      </c>
      <c r="DP167" s="228">
        <v>0.26</v>
      </c>
      <c r="DQ167" s="228">
        <v>0.26</v>
      </c>
      <c r="DR167" s="228">
        <v>0</v>
      </c>
      <c r="DS167" s="229">
        <v>0</v>
      </c>
      <c r="DT167" s="231">
        <v>50000</v>
      </c>
      <c r="DU167" s="231">
        <v>48000</v>
      </c>
      <c r="DV167" s="228">
        <v>0.06</v>
      </c>
      <c r="DW167" s="228">
        <v>0.09</v>
      </c>
      <c r="DX167" s="228">
        <v>-0.03</v>
      </c>
      <c r="DY167" s="229">
        <v>-0.33329999999999999</v>
      </c>
      <c r="DZ167" s="229">
        <v>0.1</v>
      </c>
      <c r="EA167" s="230">
        <v>25650</v>
      </c>
      <c r="EB167" s="229">
        <v>-2.07E-2</v>
      </c>
      <c r="EC167" s="229">
        <v>0.1</v>
      </c>
      <c r="ED167" s="228">
        <v>-899.85</v>
      </c>
      <c r="EE167" s="229">
        <v>-1.9400000000000001E-2</v>
      </c>
      <c r="EF167" s="230">
        <v>7820</v>
      </c>
      <c r="EG167" s="230">
        <v>4992</v>
      </c>
      <c r="EH167" s="229">
        <v>0.5665</v>
      </c>
      <c r="EI167" s="229">
        <v>0.55649999999999999</v>
      </c>
      <c r="EJ167" s="231">
        <v>67755.91</v>
      </c>
      <c r="EK167" s="231">
        <v>3356.77</v>
      </c>
      <c r="EL167" s="231">
        <v>12680.64</v>
      </c>
      <c r="EM167" s="228">
        <v>0</v>
      </c>
      <c r="EN167" s="231">
        <v>83793.320000000007</v>
      </c>
      <c r="EO167" s="231">
        <v>69371.05</v>
      </c>
      <c r="EP167" s="231">
        <v>14422.27</v>
      </c>
      <c r="EQ167" s="229">
        <v>0.2079</v>
      </c>
      <c r="ER167" s="231">
        <v>47543</v>
      </c>
      <c r="ES167" s="231">
        <v>11488</v>
      </c>
      <c r="ET167" s="231">
        <v>131549</v>
      </c>
      <c r="EU167" s="231">
        <v>1274066</v>
      </c>
      <c r="EV167" s="231">
        <v>190581</v>
      </c>
      <c r="EW167" s="231">
        <v>196222</v>
      </c>
      <c r="EX167" s="231">
        <v>-5641</v>
      </c>
      <c r="EY167" s="229">
        <v>-2.87E-2</v>
      </c>
      <c r="EZ167" s="229">
        <v>0.3175</v>
      </c>
      <c r="FA167" s="227" t="s">
        <v>568</v>
      </c>
      <c r="FB167" s="161">
        <f t="shared" si="4"/>
        <v>0</v>
      </c>
    </row>
    <row r="168" spans="1:158" ht="17.25" thickBot="1" x14ac:dyDescent="0.3">
      <c r="A168" s="226">
        <v>45860</v>
      </c>
      <c r="B168" s="227" t="s">
        <v>168</v>
      </c>
      <c r="C168" s="227" t="s">
        <v>667</v>
      </c>
      <c r="D168" s="228">
        <v>300</v>
      </c>
      <c r="E168" s="231">
        <v>1944.2</v>
      </c>
      <c r="F168" s="231">
        <v>1944.9</v>
      </c>
      <c r="G168" s="228">
        <v>-0.7</v>
      </c>
      <c r="H168" s="229">
        <v>-4.0000000000000002E-4</v>
      </c>
      <c r="I168" s="231">
        <v>1942</v>
      </c>
      <c r="J168" s="231">
        <v>1942</v>
      </c>
      <c r="K168" s="228">
        <v>0</v>
      </c>
      <c r="L168" s="229">
        <v>0</v>
      </c>
      <c r="M168" s="231">
        <v>1944.2</v>
      </c>
      <c r="N168" s="231">
        <v>1944.9</v>
      </c>
      <c r="O168" s="228">
        <v>-0.7</v>
      </c>
      <c r="P168" s="229">
        <v>-4.0000000000000002E-4</v>
      </c>
      <c r="Q168" s="231">
        <v>1949.3</v>
      </c>
      <c r="R168" s="231">
        <v>1952.8</v>
      </c>
      <c r="S168" s="228">
        <v>-3.5</v>
      </c>
      <c r="T168" s="229">
        <v>-1.8E-3</v>
      </c>
      <c r="U168" s="228">
        <v>0</v>
      </c>
      <c r="V168" s="228">
        <v>0</v>
      </c>
      <c r="W168" s="228">
        <v>0</v>
      </c>
      <c r="X168" s="229">
        <v>0</v>
      </c>
      <c r="Y168" s="228">
        <v>2.2000000000000002</v>
      </c>
      <c r="Z168" s="228">
        <v>2.9</v>
      </c>
      <c r="AA168" s="228">
        <v>-0.7</v>
      </c>
      <c r="AB168" s="229">
        <v>1.1000000000000001E-3</v>
      </c>
      <c r="AC168" s="228">
        <v>2.2000000000000002</v>
      </c>
      <c r="AD168" s="228">
        <v>2.9</v>
      </c>
      <c r="AE168" s="228">
        <v>-0.7</v>
      </c>
      <c r="AF168" s="229">
        <v>1.1000000000000001E-3</v>
      </c>
      <c r="AG168" s="228">
        <v>7.3</v>
      </c>
      <c r="AH168" s="228">
        <v>10.8</v>
      </c>
      <c r="AI168" s="228">
        <v>-3.5</v>
      </c>
      <c r="AJ168" s="229">
        <v>3.8E-3</v>
      </c>
      <c r="AK168" s="228">
        <v>0</v>
      </c>
      <c r="AL168" s="228">
        <v>0</v>
      </c>
      <c r="AM168" s="228">
        <v>0</v>
      </c>
      <c r="AN168" s="229">
        <v>0</v>
      </c>
      <c r="AO168" s="231">
        <v>1952.74</v>
      </c>
      <c r="AP168" s="231">
        <v>1957.94</v>
      </c>
      <c r="AQ168" s="228">
        <v>0</v>
      </c>
      <c r="AR168" s="230">
        <v>1094700</v>
      </c>
      <c r="AS168" s="230">
        <v>1746600</v>
      </c>
      <c r="AT168" s="230">
        <v>-651900</v>
      </c>
      <c r="AU168" s="229">
        <v>-0.37319999999999998</v>
      </c>
      <c r="AV168" s="230">
        <v>968400</v>
      </c>
      <c r="AW168" s="230">
        <v>1513500</v>
      </c>
      <c r="AX168" s="230">
        <v>-545100</v>
      </c>
      <c r="AY168" s="229">
        <v>-0.36020000000000002</v>
      </c>
      <c r="AZ168" s="230">
        <v>124500</v>
      </c>
      <c r="BA168" s="230">
        <v>230400</v>
      </c>
      <c r="BB168" s="230">
        <v>-105900</v>
      </c>
      <c r="BC168" s="229">
        <v>-0.45960000000000001</v>
      </c>
      <c r="BD168" s="228">
        <v>0</v>
      </c>
      <c r="BE168" s="228">
        <v>0</v>
      </c>
      <c r="BF168" s="228">
        <v>0</v>
      </c>
      <c r="BG168" s="229">
        <v>0</v>
      </c>
      <c r="BH168" s="230">
        <v>3955200</v>
      </c>
      <c r="BI168" s="230">
        <v>6342300</v>
      </c>
      <c r="BJ168" s="230">
        <v>-2387100</v>
      </c>
      <c r="BK168" s="229">
        <v>-0.37640000000000001</v>
      </c>
      <c r="BL168" s="230">
        <v>2306700</v>
      </c>
      <c r="BM168" s="230">
        <v>3041100</v>
      </c>
      <c r="BN168" s="230">
        <v>-734400</v>
      </c>
      <c r="BO168" s="229">
        <v>-0.24149999999999999</v>
      </c>
      <c r="BP168" s="230">
        <v>7356600</v>
      </c>
      <c r="BQ168" s="230">
        <v>11130000</v>
      </c>
      <c r="BR168" s="230">
        <v>-3773400</v>
      </c>
      <c r="BS168" s="229">
        <v>-0.33900000000000002</v>
      </c>
      <c r="BT168" s="230">
        <v>632114</v>
      </c>
      <c r="BU168" s="230">
        <v>1146139</v>
      </c>
      <c r="BV168" s="230">
        <v>-514025</v>
      </c>
      <c r="BW168" s="229">
        <v>-0.44850000000000001</v>
      </c>
      <c r="BX168" s="230">
        <v>9770100</v>
      </c>
      <c r="BY168" s="230">
        <v>9995100</v>
      </c>
      <c r="BZ168" s="230">
        <v>-225000</v>
      </c>
      <c r="CA168" s="229">
        <v>-2.2499999999999999E-2</v>
      </c>
      <c r="CB168" s="230">
        <v>8477700</v>
      </c>
      <c r="CC168" s="230">
        <v>8708700</v>
      </c>
      <c r="CD168" s="230">
        <v>-231000</v>
      </c>
      <c r="CE168" s="229">
        <v>-2.6499999999999999E-2</v>
      </c>
      <c r="CF168" s="230">
        <v>1269900</v>
      </c>
      <c r="CG168" s="230">
        <v>1264500</v>
      </c>
      <c r="CH168" s="230">
        <v>5400</v>
      </c>
      <c r="CI168" s="229">
        <v>4.3E-3</v>
      </c>
      <c r="CJ168" s="228">
        <v>0</v>
      </c>
      <c r="CK168" s="228">
        <v>0</v>
      </c>
      <c r="CL168" s="228">
        <v>0</v>
      </c>
      <c r="CM168" s="229">
        <v>0</v>
      </c>
      <c r="CN168" s="230">
        <v>5046900</v>
      </c>
      <c r="CO168" s="230">
        <v>5290200</v>
      </c>
      <c r="CP168" s="230">
        <v>-243300</v>
      </c>
      <c r="CQ168" s="229">
        <v>-4.5999999999999999E-2</v>
      </c>
      <c r="CR168" s="230">
        <v>2643600</v>
      </c>
      <c r="CS168" s="230">
        <v>2782500</v>
      </c>
      <c r="CT168" s="230">
        <v>-138900</v>
      </c>
      <c r="CU168" s="229">
        <v>-4.99E-2</v>
      </c>
      <c r="CV168" s="230">
        <v>17460600</v>
      </c>
      <c r="CW168" s="230">
        <v>18067800</v>
      </c>
      <c r="CX168" s="230">
        <v>-607200</v>
      </c>
      <c r="CY168" s="229">
        <v>-3.3599999999999998E-2</v>
      </c>
      <c r="CZ168" s="228">
        <v>35.590000000000003</v>
      </c>
      <c r="DA168" s="228">
        <v>37.74</v>
      </c>
      <c r="DB168" s="228">
        <v>-2.15</v>
      </c>
      <c r="DC168" s="228">
        <v>-2.15</v>
      </c>
      <c r="DD168" s="228">
        <v>37.700000000000003</v>
      </c>
      <c r="DE168" s="228">
        <v>37.79</v>
      </c>
      <c r="DF168" s="228">
        <v>-2.11</v>
      </c>
      <c r="DG168" s="228">
        <v>-0.09</v>
      </c>
      <c r="DH168" s="228">
        <v>34.83</v>
      </c>
      <c r="DI168" s="228">
        <v>37.22</v>
      </c>
      <c r="DJ168" s="228">
        <v>-2.39</v>
      </c>
      <c r="DK168" s="228">
        <v>-2.39</v>
      </c>
      <c r="DL168" s="228">
        <v>36.9</v>
      </c>
      <c r="DM168" s="228">
        <v>38.83</v>
      </c>
      <c r="DN168" s="228">
        <v>-1.93</v>
      </c>
      <c r="DO168" s="228">
        <v>-1.93</v>
      </c>
      <c r="DP168" s="228">
        <v>0.52</v>
      </c>
      <c r="DQ168" s="228">
        <v>0.53</v>
      </c>
      <c r="DR168" s="228">
        <v>-0.01</v>
      </c>
      <c r="DS168" s="229">
        <v>-1.89E-2</v>
      </c>
      <c r="DT168" s="231">
        <v>2000</v>
      </c>
      <c r="DU168" s="231">
        <v>1800</v>
      </c>
      <c r="DV168" s="228">
        <v>0.57999999999999996</v>
      </c>
      <c r="DW168" s="228">
        <v>0.48</v>
      </c>
      <c r="DX168" s="228">
        <v>0.1</v>
      </c>
      <c r="DY168" s="229">
        <v>0.20830000000000001</v>
      </c>
      <c r="DZ168" s="229">
        <v>0.13</v>
      </c>
      <c r="EA168" s="230">
        <v>1264500</v>
      </c>
      <c r="EB168" s="229">
        <v>2.5999999999999999E-3</v>
      </c>
      <c r="EC168" s="229">
        <v>0.13</v>
      </c>
      <c r="ED168" s="228">
        <v>5.2</v>
      </c>
      <c r="EE168" s="229">
        <v>2.7000000000000001E-3</v>
      </c>
      <c r="EF168" s="230">
        <v>188482</v>
      </c>
      <c r="EG168" s="230">
        <v>289152</v>
      </c>
      <c r="EH168" s="229">
        <v>-0.34820000000000001</v>
      </c>
      <c r="EI168" s="229">
        <v>0.29820000000000002</v>
      </c>
      <c r="EJ168" s="231">
        <v>80561.89</v>
      </c>
      <c r="EK168" s="231">
        <v>43571.96</v>
      </c>
      <c r="EL168" s="231">
        <v>21383.31</v>
      </c>
      <c r="EM168" s="228">
        <v>0</v>
      </c>
      <c r="EN168" s="231">
        <v>145517.16</v>
      </c>
      <c r="EO168" s="231">
        <v>219160.35</v>
      </c>
      <c r="EP168" s="231">
        <v>-73643.19</v>
      </c>
      <c r="EQ168" s="229">
        <v>-0.33600000000000002</v>
      </c>
      <c r="ER168" s="231">
        <v>97564</v>
      </c>
      <c r="ES168" s="231">
        <v>47244</v>
      </c>
      <c r="ET168" s="231">
        <v>190016</v>
      </c>
      <c r="EU168" s="231">
        <v>22129978</v>
      </c>
      <c r="EV168" s="231">
        <v>334825</v>
      </c>
      <c r="EW168" s="231">
        <v>346318</v>
      </c>
      <c r="EX168" s="231">
        <v>-11493</v>
      </c>
      <c r="EY168" s="229">
        <v>-3.32E-2</v>
      </c>
      <c r="EZ168" s="229">
        <v>0.78900000000000003</v>
      </c>
      <c r="FA168" s="227" t="s">
        <v>568</v>
      </c>
      <c r="FB168" s="161">
        <f t="shared" si="4"/>
        <v>0</v>
      </c>
    </row>
    <row r="169" spans="1:158" ht="17.25" thickBot="1" x14ac:dyDescent="0.3">
      <c r="A169" s="226">
        <v>45860</v>
      </c>
      <c r="B169" s="227" t="s">
        <v>616</v>
      </c>
      <c r="C169" s="227" t="s">
        <v>576</v>
      </c>
      <c r="D169" s="228">
        <v>725</v>
      </c>
      <c r="E169" s="231">
        <v>1055.2</v>
      </c>
      <c r="F169" s="231">
        <v>1019.55</v>
      </c>
      <c r="G169" s="228">
        <v>35.65</v>
      </c>
      <c r="H169" s="229">
        <v>3.5000000000000003E-2</v>
      </c>
      <c r="I169" s="231">
        <v>1051.05</v>
      </c>
      <c r="J169" s="231">
        <v>1017.7</v>
      </c>
      <c r="K169" s="228">
        <v>33.35</v>
      </c>
      <c r="L169" s="229">
        <v>3.2800000000000003E-2</v>
      </c>
      <c r="M169" s="231">
        <v>1055.2</v>
      </c>
      <c r="N169" s="231">
        <v>1019.55</v>
      </c>
      <c r="O169" s="228">
        <v>35.65</v>
      </c>
      <c r="P169" s="229">
        <v>3.5000000000000003E-2</v>
      </c>
      <c r="Q169" s="231">
        <v>1061.3</v>
      </c>
      <c r="R169" s="231">
        <v>1024.9000000000001</v>
      </c>
      <c r="S169" s="228">
        <v>36.4</v>
      </c>
      <c r="T169" s="229">
        <v>3.5499999999999997E-2</v>
      </c>
      <c r="U169" s="228">
        <v>0</v>
      </c>
      <c r="V169" s="228">
        <v>0</v>
      </c>
      <c r="W169" s="228">
        <v>0</v>
      </c>
      <c r="X169" s="229">
        <v>0</v>
      </c>
      <c r="Y169" s="228">
        <v>4.1500000000000004</v>
      </c>
      <c r="Z169" s="228">
        <v>1.85</v>
      </c>
      <c r="AA169" s="228">
        <v>2.2999999999999998</v>
      </c>
      <c r="AB169" s="229">
        <v>3.8999999999999998E-3</v>
      </c>
      <c r="AC169" s="228">
        <v>4.1500000000000004</v>
      </c>
      <c r="AD169" s="228">
        <v>1.85</v>
      </c>
      <c r="AE169" s="228">
        <v>2.2999999999999998</v>
      </c>
      <c r="AF169" s="229">
        <v>3.8999999999999998E-3</v>
      </c>
      <c r="AG169" s="228">
        <v>10.25</v>
      </c>
      <c r="AH169" s="228">
        <v>7.2</v>
      </c>
      <c r="AI169" s="228">
        <v>3.05</v>
      </c>
      <c r="AJ169" s="229">
        <v>9.7999999999999997E-3</v>
      </c>
      <c r="AK169" s="228">
        <v>0</v>
      </c>
      <c r="AL169" s="228">
        <v>0</v>
      </c>
      <c r="AM169" s="228">
        <v>0</v>
      </c>
      <c r="AN169" s="229">
        <v>0</v>
      </c>
      <c r="AO169" s="231">
        <v>1048.32</v>
      </c>
      <c r="AP169" s="231">
        <v>1054.1500000000001</v>
      </c>
      <c r="AQ169" s="228">
        <v>0</v>
      </c>
      <c r="AR169" s="230">
        <v>16084850</v>
      </c>
      <c r="AS169" s="230">
        <v>5365725</v>
      </c>
      <c r="AT169" s="230">
        <v>10719125</v>
      </c>
      <c r="AU169" s="229">
        <v>1.9977</v>
      </c>
      <c r="AV169" s="230">
        <v>14584100</v>
      </c>
      <c r="AW169" s="230">
        <v>4915500</v>
      </c>
      <c r="AX169" s="230">
        <v>9668600</v>
      </c>
      <c r="AY169" s="229">
        <v>1.9670000000000001</v>
      </c>
      <c r="AZ169" s="230">
        <v>1421000</v>
      </c>
      <c r="BA169" s="230">
        <v>421950</v>
      </c>
      <c r="BB169" s="230">
        <v>999050</v>
      </c>
      <c r="BC169" s="229">
        <v>2.3677000000000001</v>
      </c>
      <c r="BD169" s="228">
        <v>0</v>
      </c>
      <c r="BE169" s="228">
        <v>0</v>
      </c>
      <c r="BF169" s="228">
        <v>0</v>
      </c>
      <c r="BG169" s="229">
        <v>0</v>
      </c>
      <c r="BH169" s="230">
        <v>55472650</v>
      </c>
      <c r="BI169" s="230">
        <v>11404250</v>
      </c>
      <c r="BJ169" s="230">
        <v>44068400</v>
      </c>
      <c r="BK169" s="229">
        <v>3.8641999999999999</v>
      </c>
      <c r="BL169" s="230">
        <v>22606225</v>
      </c>
      <c r="BM169" s="230">
        <v>6311850</v>
      </c>
      <c r="BN169" s="230">
        <v>16294375</v>
      </c>
      <c r="BO169" s="229">
        <v>2.5815999999999999</v>
      </c>
      <c r="BP169" s="230">
        <v>94163725</v>
      </c>
      <c r="BQ169" s="230">
        <v>23081825</v>
      </c>
      <c r="BR169" s="230">
        <v>71081900</v>
      </c>
      <c r="BS169" s="229">
        <v>3.0796000000000001</v>
      </c>
      <c r="BT169" s="230">
        <v>9516052</v>
      </c>
      <c r="BU169" s="230">
        <v>3316859</v>
      </c>
      <c r="BV169" s="230">
        <v>6199193</v>
      </c>
      <c r="BW169" s="229">
        <v>1.869</v>
      </c>
      <c r="BX169" s="230">
        <v>25674425</v>
      </c>
      <c r="BY169" s="230">
        <v>27315825</v>
      </c>
      <c r="BZ169" s="230">
        <v>-1641400</v>
      </c>
      <c r="CA169" s="229">
        <v>-6.0100000000000001E-2</v>
      </c>
      <c r="CB169" s="230">
        <v>24555750</v>
      </c>
      <c r="CC169" s="230">
        <v>26403050</v>
      </c>
      <c r="CD169" s="230">
        <v>-1847300</v>
      </c>
      <c r="CE169" s="229">
        <v>-7.0000000000000007E-2</v>
      </c>
      <c r="CF169" s="230">
        <v>1009925</v>
      </c>
      <c r="CG169" s="230">
        <v>832300</v>
      </c>
      <c r="CH169" s="230">
        <v>177625</v>
      </c>
      <c r="CI169" s="229">
        <v>0.21340000000000001</v>
      </c>
      <c r="CJ169" s="228">
        <v>0</v>
      </c>
      <c r="CK169" s="228">
        <v>0</v>
      </c>
      <c r="CL169" s="228">
        <v>0</v>
      </c>
      <c r="CM169" s="229">
        <v>0</v>
      </c>
      <c r="CN169" s="230">
        <v>12513500</v>
      </c>
      <c r="CO169" s="230">
        <v>8215700</v>
      </c>
      <c r="CP169" s="230">
        <v>4297800</v>
      </c>
      <c r="CQ169" s="229">
        <v>0.52310000000000001</v>
      </c>
      <c r="CR169" s="230">
        <v>8914600</v>
      </c>
      <c r="CS169" s="230">
        <v>6941875</v>
      </c>
      <c r="CT169" s="230">
        <v>1972725</v>
      </c>
      <c r="CU169" s="229">
        <v>0.28420000000000001</v>
      </c>
      <c r="CV169" s="230">
        <v>47102525</v>
      </c>
      <c r="CW169" s="230">
        <v>42473400</v>
      </c>
      <c r="CX169" s="230">
        <v>4629125</v>
      </c>
      <c r="CY169" s="229">
        <v>0.109</v>
      </c>
      <c r="CZ169" s="228">
        <v>63.89</v>
      </c>
      <c r="DA169" s="228">
        <v>49.53</v>
      </c>
      <c r="DB169" s="228">
        <v>14.36</v>
      </c>
      <c r="DC169" s="228">
        <v>14.36</v>
      </c>
      <c r="DD169" s="228">
        <v>60.87</v>
      </c>
      <c r="DE169" s="228">
        <v>60.85</v>
      </c>
      <c r="DF169" s="228">
        <v>3.02</v>
      </c>
      <c r="DG169" s="228">
        <v>0.02</v>
      </c>
      <c r="DH169" s="228">
        <v>64.040000000000006</v>
      </c>
      <c r="DI169" s="228">
        <v>48.96</v>
      </c>
      <c r="DJ169" s="228">
        <v>15.08</v>
      </c>
      <c r="DK169" s="228">
        <v>15.08</v>
      </c>
      <c r="DL169" s="228">
        <v>63.51</v>
      </c>
      <c r="DM169" s="228">
        <v>50.55</v>
      </c>
      <c r="DN169" s="228">
        <v>12.96</v>
      </c>
      <c r="DO169" s="228">
        <v>12.96</v>
      </c>
      <c r="DP169" s="228">
        <v>0.71</v>
      </c>
      <c r="DQ169" s="228">
        <v>0.84</v>
      </c>
      <c r="DR169" s="228">
        <v>-0.13</v>
      </c>
      <c r="DS169" s="229">
        <v>-0.15479999999999999</v>
      </c>
      <c r="DT169" s="231">
        <v>1040</v>
      </c>
      <c r="DU169" s="231">
        <v>1000</v>
      </c>
      <c r="DV169" s="228">
        <v>0.41</v>
      </c>
      <c r="DW169" s="228">
        <v>0.55000000000000004</v>
      </c>
      <c r="DX169" s="228">
        <v>-0.14000000000000001</v>
      </c>
      <c r="DY169" s="229">
        <v>-0.2545</v>
      </c>
      <c r="DZ169" s="229">
        <v>3.9300000000000002E-2</v>
      </c>
      <c r="EA169" s="230">
        <v>832300</v>
      </c>
      <c r="EB169" s="229">
        <v>5.7999999999999996E-3</v>
      </c>
      <c r="EC169" s="229">
        <v>3.9300000000000002E-2</v>
      </c>
      <c r="ED169" s="228">
        <v>5.83</v>
      </c>
      <c r="EE169" s="229">
        <v>5.5999999999999999E-3</v>
      </c>
      <c r="EF169" s="230">
        <v>3056346</v>
      </c>
      <c r="EG169" s="230">
        <v>1164315</v>
      </c>
      <c r="EH169" s="229">
        <v>1.625</v>
      </c>
      <c r="EI169" s="229">
        <v>0.32119999999999999</v>
      </c>
      <c r="EJ169" s="231">
        <v>610155.5</v>
      </c>
      <c r="EK169" s="231">
        <v>228235.19</v>
      </c>
      <c r="EL169" s="231">
        <v>168710.68</v>
      </c>
      <c r="EM169" s="228">
        <v>0</v>
      </c>
      <c r="EN169" s="231">
        <v>1007101.37</v>
      </c>
      <c r="EO169" s="231">
        <v>237882.63</v>
      </c>
      <c r="EP169" s="231">
        <v>769218.74</v>
      </c>
      <c r="EQ169" s="229">
        <v>3.2336</v>
      </c>
      <c r="ER169" s="231">
        <v>129611</v>
      </c>
      <c r="ES169" s="231">
        <v>84484</v>
      </c>
      <c r="ET169" s="231">
        <v>270991</v>
      </c>
      <c r="EU169" s="231">
        <v>127569096</v>
      </c>
      <c r="EV169" s="231">
        <v>485085</v>
      </c>
      <c r="EW169" s="231">
        <v>424832</v>
      </c>
      <c r="EX169" s="231">
        <v>60253</v>
      </c>
      <c r="EY169" s="229">
        <v>0.14180000000000001</v>
      </c>
      <c r="EZ169" s="229">
        <v>0.36919999999999997</v>
      </c>
      <c r="FA169" s="227" t="s">
        <v>556</v>
      </c>
      <c r="FB169" s="161">
        <f t="shared" si="4"/>
        <v>0</v>
      </c>
    </row>
    <row r="170" spans="1:158" ht="17.25" thickBot="1" x14ac:dyDescent="0.3">
      <c r="A170" s="226">
        <v>45860</v>
      </c>
      <c r="B170" s="227" t="s">
        <v>175</v>
      </c>
      <c r="C170" s="227" t="s">
        <v>271</v>
      </c>
      <c r="D170" s="228">
        <v>750</v>
      </c>
      <c r="E170" s="231">
        <v>1287.8</v>
      </c>
      <c r="F170" s="231">
        <v>1305.8</v>
      </c>
      <c r="G170" s="228">
        <v>-18</v>
      </c>
      <c r="H170" s="229">
        <v>-1.38E-2</v>
      </c>
      <c r="I170" s="231">
        <v>1287.4000000000001</v>
      </c>
      <c r="J170" s="231">
        <v>1301.7</v>
      </c>
      <c r="K170" s="228">
        <v>-14.3</v>
      </c>
      <c r="L170" s="229">
        <v>-1.0999999999999999E-2</v>
      </c>
      <c r="M170" s="231">
        <v>1287.8</v>
      </c>
      <c r="N170" s="231">
        <v>1305.8</v>
      </c>
      <c r="O170" s="228">
        <v>-18</v>
      </c>
      <c r="P170" s="229">
        <v>-1.38E-2</v>
      </c>
      <c r="Q170" s="228">
        <v>0</v>
      </c>
      <c r="R170" s="228">
        <v>0</v>
      </c>
      <c r="S170" s="228">
        <v>0</v>
      </c>
      <c r="T170" s="229">
        <v>0</v>
      </c>
      <c r="U170" s="228">
        <v>0</v>
      </c>
      <c r="V170" s="228">
        <v>0</v>
      </c>
      <c r="W170" s="228">
        <v>0</v>
      </c>
      <c r="X170" s="229">
        <v>0</v>
      </c>
      <c r="Y170" s="228">
        <v>0.4</v>
      </c>
      <c r="Z170" s="228">
        <v>4.0999999999999996</v>
      </c>
      <c r="AA170" s="228">
        <v>-3.7</v>
      </c>
      <c r="AB170" s="229">
        <v>2.9999999999999997E-4</v>
      </c>
      <c r="AC170" s="228">
        <v>0.4</v>
      </c>
      <c r="AD170" s="228">
        <v>4.0999999999999996</v>
      </c>
      <c r="AE170" s="228">
        <v>-3.7</v>
      </c>
      <c r="AF170" s="229">
        <v>2.9999999999999997E-4</v>
      </c>
      <c r="AG170" s="228">
        <v>0</v>
      </c>
      <c r="AH170" s="228">
        <v>0</v>
      </c>
      <c r="AI170" s="228">
        <v>0</v>
      </c>
      <c r="AJ170" s="229">
        <v>0</v>
      </c>
      <c r="AK170" s="228">
        <v>0</v>
      </c>
      <c r="AL170" s="228">
        <v>0</v>
      </c>
      <c r="AM170" s="228">
        <v>0</v>
      </c>
      <c r="AN170" s="229">
        <v>0</v>
      </c>
      <c r="AO170" s="231">
        <v>1291.1500000000001</v>
      </c>
      <c r="AP170" s="228">
        <v>0</v>
      </c>
      <c r="AQ170" s="228">
        <v>0</v>
      </c>
      <c r="AR170" s="230">
        <v>898500</v>
      </c>
      <c r="AS170" s="230">
        <v>1551750</v>
      </c>
      <c r="AT170" s="230">
        <v>-653250</v>
      </c>
      <c r="AU170" s="229">
        <v>-0.42099999999999999</v>
      </c>
      <c r="AV170" s="230">
        <v>898500</v>
      </c>
      <c r="AW170" s="230">
        <v>1551750</v>
      </c>
      <c r="AX170" s="230">
        <v>-653250</v>
      </c>
      <c r="AY170" s="229">
        <v>-0.42099999999999999</v>
      </c>
      <c r="AZ170" s="228">
        <v>0</v>
      </c>
      <c r="BA170" s="228">
        <v>0</v>
      </c>
      <c r="BB170" s="228">
        <v>0</v>
      </c>
      <c r="BC170" s="229">
        <v>0</v>
      </c>
      <c r="BD170" s="228">
        <v>0</v>
      </c>
      <c r="BE170" s="228">
        <v>0</v>
      </c>
      <c r="BF170" s="228">
        <v>0</v>
      </c>
      <c r="BG170" s="229">
        <v>0</v>
      </c>
      <c r="BH170" s="230">
        <v>2775000</v>
      </c>
      <c r="BI170" s="230">
        <v>4459500</v>
      </c>
      <c r="BJ170" s="230">
        <v>-1684500</v>
      </c>
      <c r="BK170" s="229">
        <v>-0.37769999999999998</v>
      </c>
      <c r="BL170" s="230">
        <v>2074500</v>
      </c>
      <c r="BM170" s="230">
        <v>4186500</v>
      </c>
      <c r="BN170" s="230">
        <v>-2112000</v>
      </c>
      <c r="BO170" s="229">
        <v>-0.50449999999999995</v>
      </c>
      <c r="BP170" s="230">
        <v>5748000</v>
      </c>
      <c r="BQ170" s="230">
        <v>10197750</v>
      </c>
      <c r="BR170" s="230">
        <v>-4449750</v>
      </c>
      <c r="BS170" s="229">
        <v>-0.43630000000000002</v>
      </c>
      <c r="BT170" s="230">
        <v>430232</v>
      </c>
      <c r="BU170" s="230">
        <v>439200</v>
      </c>
      <c r="BV170" s="230">
        <v>-8968</v>
      </c>
      <c r="BW170" s="229">
        <v>-2.0400000000000001E-2</v>
      </c>
      <c r="BX170" s="230">
        <v>5636250</v>
      </c>
      <c r="BY170" s="230">
        <v>5723250</v>
      </c>
      <c r="BZ170" s="230">
        <v>-87000</v>
      </c>
      <c r="CA170" s="229">
        <v>-1.52E-2</v>
      </c>
      <c r="CB170" s="230">
        <v>5636250</v>
      </c>
      <c r="CC170" s="230">
        <v>5723250</v>
      </c>
      <c r="CD170" s="230">
        <v>-87000</v>
      </c>
      <c r="CE170" s="229">
        <v>-1.52E-2</v>
      </c>
      <c r="CF170" s="228">
        <v>0</v>
      </c>
      <c r="CG170" s="228">
        <v>0</v>
      </c>
      <c r="CH170" s="228">
        <v>0</v>
      </c>
      <c r="CI170" s="229">
        <v>0</v>
      </c>
      <c r="CJ170" s="228">
        <v>0</v>
      </c>
      <c r="CK170" s="228">
        <v>0</v>
      </c>
      <c r="CL170" s="228">
        <v>0</v>
      </c>
      <c r="CM170" s="229">
        <v>0</v>
      </c>
      <c r="CN170" s="230">
        <v>4173750</v>
      </c>
      <c r="CO170" s="230">
        <v>4224000</v>
      </c>
      <c r="CP170" s="230">
        <v>-50250</v>
      </c>
      <c r="CQ170" s="229">
        <v>-1.1900000000000001E-2</v>
      </c>
      <c r="CR170" s="230">
        <v>2966250</v>
      </c>
      <c r="CS170" s="230">
        <v>3260250</v>
      </c>
      <c r="CT170" s="230">
        <v>-294000</v>
      </c>
      <c r="CU170" s="229">
        <v>-9.0200000000000002E-2</v>
      </c>
      <c r="CV170" s="230">
        <v>12776250</v>
      </c>
      <c r="CW170" s="230">
        <v>13207500</v>
      </c>
      <c r="CX170" s="230">
        <v>-431250</v>
      </c>
      <c r="CY170" s="229">
        <v>-3.27E-2</v>
      </c>
      <c r="CZ170" s="228">
        <v>35.67</v>
      </c>
      <c r="DA170" s="228">
        <v>31.35</v>
      </c>
      <c r="DB170" s="228">
        <v>4.32</v>
      </c>
      <c r="DC170" s="228">
        <v>4.32</v>
      </c>
      <c r="DD170" s="228">
        <v>45.77</v>
      </c>
      <c r="DE170" s="228">
        <v>45.84</v>
      </c>
      <c r="DF170" s="228">
        <v>-10.1</v>
      </c>
      <c r="DG170" s="228">
        <v>-7.0000000000000007E-2</v>
      </c>
      <c r="DH170" s="228">
        <v>35.11</v>
      </c>
      <c r="DI170" s="228">
        <v>32.1</v>
      </c>
      <c r="DJ170" s="228">
        <v>3.01</v>
      </c>
      <c r="DK170" s="228">
        <v>3.01</v>
      </c>
      <c r="DL170" s="228">
        <v>36.409999999999997</v>
      </c>
      <c r="DM170" s="228">
        <v>30.56</v>
      </c>
      <c r="DN170" s="228">
        <v>5.85</v>
      </c>
      <c r="DO170" s="228">
        <v>5.85</v>
      </c>
      <c r="DP170" s="228">
        <v>0.71</v>
      </c>
      <c r="DQ170" s="228">
        <v>0.77</v>
      </c>
      <c r="DR170" s="228">
        <v>-0.06</v>
      </c>
      <c r="DS170" s="229">
        <v>-7.7899999999999997E-2</v>
      </c>
      <c r="DT170" s="231">
        <v>1400</v>
      </c>
      <c r="DU170" s="231">
        <v>1200</v>
      </c>
      <c r="DV170" s="228">
        <v>0.75</v>
      </c>
      <c r="DW170" s="228">
        <v>0.94</v>
      </c>
      <c r="DX170" s="228">
        <v>-0.19</v>
      </c>
      <c r="DY170" s="229">
        <v>-0.2021</v>
      </c>
      <c r="DZ170" s="229">
        <v>0</v>
      </c>
      <c r="EA170" s="228">
        <v>0</v>
      </c>
      <c r="EB170" s="229">
        <v>0</v>
      </c>
      <c r="EC170" s="229">
        <v>0</v>
      </c>
      <c r="ED170" s="228">
        <v>0</v>
      </c>
      <c r="EE170" s="229">
        <v>0</v>
      </c>
      <c r="EF170" s="230">
        <v>231100</v>
      </c>
      <c r="EG170" s="230">
        <v>101680</v>
      </c>
      <c r="EH170" s="229">
        <v>1.2727999999999999</v>
      </c>
      <c r="EI170" s="229">
        <v>0.53720000000000001</v>
      </c>
      <c r="EJ170" s="231">
        <v>37640.870000000003</v>
      </c>
      <c r="EK170" s="231">
        <v>26176.03</v>
      </c>
      <c r="EL170" s="231">
        <v>11600.97</v>
      </c>
      <c r="EM170" s="228">
        <v>0</v>
      </c>
      <c r="EN170" s="231">
        <v>75417.87</v>
      </c>
      <c r="EO170" s="231">
        <v>135352.07999999999</v>
      </c>
      <c r="EP170" s="231">
        <v>-59934.21</v>
      </c>
      <c r="EQ170" s="229">
        <v>-0.44280000000000003</v>
      </c>
      <c r="ER170" s="231">
        <v>55204</v>
      </c>
      <c r="ES170" s="231">
        <v>35927</v>
      </c>
      <c r="ET170" s="231">
        <v>72584</v>
      </c>
      <c r="EU170" s="231">
        <v>24011656</v>
      </c>
      <c r="EV170" s="231">
        <v>163715</v>
      </c>
      <c r="EW170" s="231">
        <v>170110</v>
      </c>
      <c r="EX170" s="231">
        <v>-6395</v>
      </c>
      <c r="EY170" s="229">
        <v>-3.7600000000000001E-2</v>
      </c>
      <c r="EZ170" s="229">
        <v>0.53210000000000002</v>
      </c>
      <c r="FA170" s="227" t="s">
        <v>568</v>
      </c>
      <c r="FB170" s="161">
        <f t="shared" si="4"/>
        <v>0</v>
      </c>
    </row>
    <row r="171" spans="1:158" ht="17.25" thickBot="1" x14ac:dyDescent="0.3">
      <c r="A171" s="226">
        <v>45860</v>
      </c>
      <c r="B171" s="227" t="s">
        <v>221</v>
      </c>
      <c r="C171" s="227" t="s">
        <v>529</v>
      </c>
      <c r="D171" s="228">
        <v>100</v>
      </c>
      <c r="E171" s="231">
        <v>5728.5</v>
      </c>
      <c r="F171" s="231">
        <v>5779</v>
      </c>
      <c r="G171" s="228">
        <v>-50.5</v>
      </c>
      <c r="H171" s="229">
        <v>-8.6999999999999994E-3</v>
      </c>
      <c r="I171" s="231">
        <v>5713.5</v>
      </c>
      <c r="J171" s="231">
        <v>5779</v>
      </c>
      <c r="K171" s="228">
        <v>-65.5</v>
      </c>
      <c r="L171" s="229">
        <v>-1.1299999999999999E-2</v>
      </c>
      <c r="M171" s="231">
        <v>5728.5</v>
      </c>
      <c r="N171" s="231">
        <v>5779</v>
      </c>
      <c r="O171" s="228">
        <v>-50.5</v>
      </c>
      <c r="P171" s="229">
        <v>-8.6999999999999994E-3</v>
      </c>
      <c r="Q171" s="231">
        <v>5755</v>
      </c>
      <c r="R171" s="231">
        <v>5799</v>
      </c>
      <c r="S171" s="228">
        <v>-44</v>
      </c>
      <c r="T171" s="229">
        <v>-7.6E-3</v>
      </c>
      <c r="U171" s="228">
        <v>0</v>
      </c>
      <c r="V171" s="228">
        <v>0</v>
      </c>
      <c r="W171" s="228">
        <v>0</v>
      </c>
      <c r="X171" s="229">
        <v>0</v>
      </c>
      <c r="Y171" s="228">
        <v>15</v>
      </c>
      <c r="Z171" s="228">
        <v>0</v>
      </c>
      <c r="AA171" s="228">
        <v>15</v>
      </c>
      <c r="AB171" s="229">
        <v>2.5999999999999999E-3</v>
      </c>
      <c r="AC171" s="228">
        <v>15</v>
      </c>
      <c r="AD171" s="228">
        <v>0</v>
      </c>
      <c r="AE171" s="228">
        <v>15</v>
      </c>
      <c r="AF171" s="229">
        <v>2.5999999999999999E-3</v>
      </c>
      <c r="AG171" s="228">
        <v>41.5</v>
      </c>
      <c r="AH171" s="228">
        <v>20</v>
      </c>
      <c r="AI171" s="228">
        <v>21.5</v>
      </c>
      <c r="AJ171" s="229">
        <v>7.3000000000000001E-3</v>
      </c>
      <c r="AK171" s="228">
        <v>0</v>
      </c>
      <c r="AL171" s="228">
        <v>0</v>
      </c>
      <c r="AM171" s="228">
        <v>0</v>
      </c>
      <c r="AN171" s="229">
        <v>0</v>
      </c>
      <c r="AO171" s="231">
        <v>5791.84</v>
      </c>
      <c r="AP171" s="231">
        <v>5813.28</v>
      </c>
      <c r="AQ171" s="228">
        <v>0</v>
      </c>
      <c r="AR171" s="230">
        <v>709000</v>
      </c>
      <c r="AS171" s="230">
        <v>1312900</v>
      </c>
      <c r="AT171" s="230">
        <v>-603900</v>
      </c>
      <c r="AU171" s="229">
        <v>-0.46</v>
      </c>
      <c r="AV171" s="230">
        <v>589800</v>
      </c>
      <c r="AW171" s="230">
        <v>1165200</v>
      </c>
      <c r="AX171" s="230">
        <v>-575400</v>
      </c>
      <c r="AY171" s="229">
        <v>-0.49380000000000002</v>
      </c>
      <c r="AZ171" s="230">
        <v>109000</v>
      </c>
      <c r="BA171" s="230">
        <v>135000</v>
      </c>
      <c r="BB171" s="230">
        <v>-26000</v>
      </c>
      <c r="BC171" s="229">
        <v>-0.19259999999999999</v>
      </c>
      <c r="BD171" s="228">
        <v>0</v>
      </c>
      <c r="BE171" s="228">
        <v>0</v>
      </c>
      <c r="BF171" s="228">
        <v>0</v>
      </c>
      <c r="BG171" s="229">
        <v>0</v>
      </c>
      <c r="BH171" s="230">
        <v>2261200</v>
      </c>
      <c r="BI171" s="230">
        <v>3691800</v>
      </c>
      <c r="BJ171" s="230">
        <v>-1430600</v>
      </c>
      <c r="BK171" s="229">
        <v>-0.38750000000000001</v>
      </c>
      <c r="BL171" s="230">
        <v>925200</v>
      </c>
      <c r="BM171" s="230">
        <v>1470500</v>
      </c>
      <c r="BN171" s="230">
        <v>-545300</v>
      </c>
      <c r="BO171" s="229">
        <v>-0.37080000000000002</v>
      </c>
      <c r="BP171" s="230">
        <v>3895400</v>
      </c>
      <c r="BQ171" s="230">
        <v>6475200</v>
      </c>
      <c r="BR171" s="230">
        <v>-2579800</v>
      </c>
      <c r="BS171" s="229">
        <v>-0.39839999999999998</v>
      </c>
      <c r="BT171" s="230">
        <v>384703</v>
      </c>
      <c r="BU171" s="230">
        <v>715362</v>
      </c>
      <c r="BV171" s="230">
        <v>-330659</v>
      </c>
      <c r="BW171" s="229">
        <v>-0.4622</v>
      </c>
      <c r="BX171" s="230">
        <v>3028500</v>
      </c>
      <c r="BY171" s="230">
        <v>3040300</v>
      </c>
      <c r="BZ171" s="230">
        <v>-11800</v>
      </c>
      <c r="CA171" s="229">
        <v>-3.8999999999999998E-3</v>
      </c>
      <c r="CB171" s="230">
        <v>2812000</v>
      </c>
      <c r="CC171" s="230">
        <v>2859600</v>
      </c>
      <c r="CD171" s="230">
        <v>-47600</v>
      </c>
      <c r="CE171" s="229">
        <v>-1.66E-2</v>
      </c>
      <c r="CF171" s="230">
        <v>194800</v>
      </c>
      <c r="CG171" s="230">
        <v>162700</v>
      </c>
      <c r="CH171" s="230">
        <v>32100</v>
      </c>
      <c r="CI171" s="229">
        <v>0.1973</v>
      </c>
      <c r="CJ171" s="228">
        <v>0</v>
      </c>
      <c r="CK171" s="228">
        <v>0</v>
      </c>
      <c r="CL171" s="228">
        <v>0</v>
      </c>
      <c r="CM171" s="229">
        <v>0</v>
      </c>
      <c r="CN171" s="230">
        <v>1282900</v>
      </c>
      <c r="CO171" s="230">
        <v>1256900</v>
      </c>
      <c r="CP171" s="230">
        <v>26000</v>
      </c>
      <c r="CQ171" s="229">
        <v>2.07E-2</v>
      </c>
      <c r="CR171" s="230">
        <v>761300</v>
      </c>
      <c r="CS171" s="230">
        <v>764100</v>
      </c>
      <c r="CT171" s="230">
        <v>-2800</v>
      </c>
      <c r="CU171" s="229">
        <v>-3.7000000000000002E-3</v>
      </c>
      <c r="CV171" s="230">
        <v>5072700</v>
      </c>
      <c r="CW171" s="230">
        <v>5061300</v>
      </c>
      <c r="CX171" s="230">
        <v>11400</v>
      </c>
      <c r="CY171" s="229">
        <v>2.3E-3</v>
      </c>
      <c r="CZ171" s="228">
        <v>46.21</v>
      </c>
      <c r="DA171" s="228">
        <v>44.39</v>
      </c>
      <c r="DB171" s="228">
        <v>1.82</v>
      </c>
      <c r="DC171" s="228">
        <v>1.82</v>
      </c>
      <c r="DD171" s="228">
        <v>42.51</v>
      </c>
      <c r="DE171" s="228">
        <v>42.59</v>
      </c>
      <c r="DF171" s="228">
        <v>3.7</v>
      </c>
      <c r="DG171" s="228">
        <v>-0.08</v>
      </c>
      <c r="DH171" s="228">
        <v>46.77</v>
      </c>
      <c r="DI171" s="228">
        <v>44.35</v>
      </c>
      <c r="DJ171" s="228">
        <v>2.42</v>
      </c>
      <c r="DK171" s="228">
        <v>2.42</v>
      </c>
      <c r="DL171" s="228">
        <v>44.82</v>
      </c>
      <c r="DM171" s="228">
        <v>44.5</v>
      </c>
      <c r="DN171" s="228">
        <v>0.32</v>
      </c>
      <c r="DO171" s="228">
        <v>0.32</v>
      </c>
      <c r="DP171" s="228">
        <v>0.59</v>
      </c>
      <c r="DQ171" s="228">
        <v>0.61</v>
      </c>
      <c r="DR171" s="228">
        <v>-0.02</v>
      </c>
      <c r="DS171" s="229">
        <v>-3.2800000000000003E-2</v>
      </c>
      <c r="DT171" s="231">
        <v>6000</v>
      </c>
      <c r="DU171" s="231">
        <v>5800</v>
      </c>
      <c r="DV171" s="228">
        <v>0.41</v>
      </c>
      <c r="DW171" s="228">
        <v>0.4</v>
      </c>
      <c r="DX171" s="228">
        <v>0.01</v>
      </c>
      <c r="DY171" s="229">
        <v>2.5000000000000001E-2</v>
      </c>
      <c r="DZ171" s="229">
        <v>6.4299999999999996E-2</v>
      </c>
      <c r="EA171" s="230">
        <v>162700</v>
      </c>
      <c r="EB171" s="229">
        <v>4.5999999999999999E-3</v>
      </c>
      <c r="EC171" s="229">
        <v>6.4299999999999996E-2</v>
      </c>
      <c r="ED171" s="228">
        <v>21.44</v>
      </c>
      <c r="EE171" s="229">
        <v>3.7000000000000002E-3</v>
      </c>
      <c r="EF171" s="230">
        <v>181068</v>
      </c>
      <c r="EG171" s="230">
        <v>319437</v>
      </c>
      <c r="EH171" s="229">
        <v>-0.43319999999999997</v>
      </c>
      <c r="EI171" s="229">
        <v>0.47070000000000001</v>
      </c>
      <c r="EJ171" s="231">
        <v>138417.79999999999</v>
      </c>
      <c r="EK171" s="231">
        <v>52459.45</v>
      </c>
      <c r="EL171" s="231">
        <v>41093.93</v>
      </c>
      <c r="EM171" s="228">
        <v>0</v>
      </c>
      <c r="EN171" s="231">
        <v>231971.18</v>
      </c>
      <c r="EO171" s="231">
        <v>378820.13</v>
      </c>
      <c r="EP171" s="231">
        <v>-146848.95000000001</v>
      </c>
      <c r="EQ171" s="229">
        <v>-0.3876</v>
      </c>
      <c r="ER171" s="231">
        <v>77602</v>
      </c>
      <c r="ES171" s="231">
        <v>42687</v>
      </c>
      <c r="ET171" s="231">
        <v>173552</v>
      </c>
      <c r="EU171" s="231">
        <v>21354101</v>
      </c>
      <c r="EV171" s="231">
        <v>293842</v>
      </c>
      <c r="EW171" s="231">
        <v>294495</v>
      </c>
      <c r="EX171" s="228">
        <v>-653</v>
      </c>
      <c r="EY171" s="229">
        <v>-2.2000000000000001E-3</v>
      </c>
      <c r="EZ171" s="229">
        <v>0.23760000000000001</v>
      </c>
      <c r="FA171" s="227" t="s">
        <v>568</v>
      </c>
      <c r="FB171" s="161">
        <f t="shared" si="4"/>
        <v>0</v>
      </c>
    </row>
    <row r="172" spans="1:158" ht="17.25" thickBot="1" x14ac:dyDescent="0.3">
      <c r="A172" s="226">
        <v>45860</v>
      </c>
      <c r="B172" s="227" t="s">
        <v>193</v>
      </c>
      <c r="C172" s="227" t="s">
        <v>272</v>
      </c>
      <c r="D172" s="228">
        <v>1800</v>
      </c>
      <c r="E172" s="228">
        <v>303.55</v>
      </c>
      <c r="F172" s="228">
        <v>304.35000000000002</v>
      </c>
      <c r="G172" s="228">
        <v>-0.8</v>
      </c>
      <c r="H172" s="229">
        <v>-2.5999999999999999E-3</v>
      </c>
      <c r="I172" s="228">
        <v>303.25</v>
      </c>
      <c r="J172" s="228">
        <v>304</v>
      </c>
      <c r="K172" s="228">
        <v>-0.75</v>
      </c>
      <c r="L172" s="229">
        <v>-2.5000000000000001E-3</v>
      </c>
      <c r="M172" s="228">
        <v>303.55</v>
      </c>
      <c r="N172" s="228">
        <v>304.35000000000002</v>
      </c>
      <c r="O172" s="228">
        <v>-0.8</v>
      </c>
      <c r="P172" s="229">
        <v>-2.5999999999999999E-3</v>
      </c>
      <c r="Q172" s="228">
        <v>305.14999999999998</v>
      </c>
      <c r="R172" s="228">
        <v>305.89999999999998</v>
      </c>
      <c r="S172" s="228">
        <v>-0.75</v>
      </c>
      <c r="T172" s="229">
        <v>-2.5000000000000001E-3</v>
      </c>
      <c r="U172" s="228">
        <v>0</v>
      </c>
      <c r="V172" s="228">
        <v>0</v>
      </c>
      <c r="W172" s="228">
        <v>0</v>
      </c>
      <c r="X172" s="229">
        <v>0</v>
      </c>
      <c r="Y172" s="228">
        <v>0.3</v>
      </c>
      <c r="Z172" s="228">
        <v>0.35</v>
      </c>
      <c r="AA172" s="228">
        <v>-0.05</v>
      </c>
      <c r="AB172" s="229">
        <v>1E-3</v>
      </c>
      <c r="AC172" s="228">
        <v>0.3</v>
      </c>
      <c r="AD172" s="228">
        <v>0.35</v>
      </c>
      <c r="AE172" s="228">
        <v>-0.05</v>
      </c>
      <c r="AF172" s="229">
        <v>1E-3</v>
      </c>
      <c r="AG172" s="228">
        <v>1.9</v>
      </c>
      <c r="AH172" s="228">
        <v>1.9</v>
      </c>
      <c r="AI172" s="228">
        <v>0</v>
      </c>
      <c r="AJ172" s="229">
        <v>6.3E-3</v>
      </c>
      <c r="AK172" s="228">
        <v>0</v>
      </c>
      <c r="AL172" s="228">
        <v>0</v>
      </c>
      <c r="AM172" s="228">
        <v>0</v>
      </c>
      <c r="AN172" s="229">
        <v>0</v>
      </c>
      <c r="AO172" s="228">
        <v>304.01</v>
      </c>
      <c r="AP172" s="228">
        <v>305.69</v>
      </c>
      <c r="AQ172" s="228">
        <v>0</v>
      </c>
      <c r="AR172" s="230">
        <v>3261600</v>
      </c>
      <c r="AS172" s="230">
        <v>7200000</v>
      </c>
      <c r="AT172" s="230">
        <v>-3938400</v>
      </c>
      <c r="AU172" s="229">
        <v>-0.54700000000000004</v>
      </c>
      <c r="AV172" s="230">
        <v>2521800</v>
      </c>
      <c r="AW172" s="230">
        <v>4509000</v>
      </c>
      <c r="AX172" s="230">
        <v>-1987200</v>
      </c>
      <c r="AY172" s="229">
        <v>-0.44069999999999998</v>
      </c>
      <c r="AZ172" s="230">
        <v>727200</v>
      </c>
      <c r="BA172" s="230">
        <v>2669400</v>
      </c>
      <c r="BB172" s="230">
        <v>-1942200</v>
      </c>
      <c r="BC172" s="229">
        <v>-0.72760000000000002</v>
      </c>
      <c r="BD172" s="228">
        <v>0</v>
      </c>
      <c r="BE172" s="228">
        <v>0</v>
      </c>
      <c r="BF172" s="228">
        <v>0</v>
      </c>
      <c r="BG172" s="229">
        <v>0</v>
      </c>
      <c r="BH172" s="230">
        <v>4854600</v>
      </c>
      <c r="BI172" s="230">
        <v>4024800</v>
      </c>
      <c r="BJ172" s="230">
        <v>829800</v>
      </c>
      <c r="BK172" s="229">
        <v>0.20619999999999999</v>
      </c>
      <c r="BL172" s="230">
        <v>1875600</v>
      </c>
      <c r="BM172" s="230">
        <v>2304000</v>
      </c>
      <c r="BN172" s="230">
        <v>-428400</v>
      </c>
      <c r="BO172" s="229">
        <v>-0.18590000000000001</v>
      </c>
      <c r="BP172" s="230">
        <v>9991800</v>
      </c>
      <c r="BQ172" s="230">
        <v>13528800</v>
      </c>
      <c r="BR172" s="230">
        <v>-3537000</v>
      </c>
      <c r="BS172" s="229">
        <v>-0.26140000000000002</v>
      </c>
      <c r="BT172" s="230">
        <v>1584227</v>
      </c>
      <c r="BU172" s="230">
        <v>1205156</v>
      </c>
      <c r="BV172" s="230">
        <v>379071</v>
      </c>
      <c r="BW172" s="229">
        <v>0.3145</v>
      </c>
      <c r="BX172" s="230">
        <v>39434400</v>
      </c>
      <c r="BY172" s="230">
        <v>39531600</v>
      </c>
      <c r="BZ172" s="230">
        <v>-97200</v>
      </c>
      <c r="CA172" s="229">
        <v>-2.5000000000000001E-3</v>
      </c>
      <c r="CB172" s="230">
        <v>34975800</v>
      </c>
      <c r="CC172" s="230">
        <v>35452800</v>
      </c>
      <c r="CD172" s="230">
        <v>-477000</v>
      </c>
      <c r="CE172" s="229">
        <v>-1.35E-2</v>
      </c>
      <c r="CF172" s="230">
        <v>4392000</v>
      </c>
      <c r="CG172" s="230">
        <v>4008600</v>
      </c>
      <c r="CH172" s="230">
        <v>383400</v>
      </c>
      <c r="CI172" s="229">
        <v>9.5600000000000004E-2</v>
      </c>
      <c r="CJ172" s="228">
        <v>0</v>
      </c>
      <c r="CK172" s="228">
        <v>0</v>
      </c>
      <c r="CL172" s="228">
        <v>0</v>
      </c>
      <c r="CM172" s="229">
        <v>0</v>
      </c>
      <c r="CN172" s="230">
        <v>14824800</v>
      </c>
      <c r="CO172" s="230">
        <v>15276600</v>
      </c>
      <c r="CP172" s="230">
        <v>-451800</v>
      </c>
      <c r="CQ172" s="229">
        <v>-2.9600000000000001E-2</v>
      </c>
      <c r="CR172" s="230">
        <v>9680400</v>
      </c>
      <c r="CS172" s="230">
        <v>9599400</v>
      </c>
      <c r="CT172" s="230">
        <v>81000</v>
      </c>
      <c r="CU172" s="229">
        <v>8.3999999999999995E-3</v>
      </c>
      <c r="CV172" s="230">
        <v>63939600</v>
      </c>
      <c r="CW172" s="230">
        <v>64407600</v>
      </c>
      <c r="CX172" s="230">
        <v>-468000</v>
      </c>
      <c r="CY172" s="229">
        <v>-7.3000000000000001E-3</v>
      </c>
      <c r="CZ172" s="228">
        <v>27.74</v>
      </c>
      <c r="DA172" s="228">
        <v>27.09</v>
      </c>
      <c r="DB172" s="228">
        <v>0.65</v>
      </c>
      <c r="DC172" s="228">
        <v>0.65</v>
      </c>
      <c r="DD172" s="228">
        <v>34.5</v>
      </c>
      <c r="DE172" s="228">
        <v>34.590000000000003</v>
      </c>
      <c r="DF172" s="228">
        <v>-6.76</v>
      </c>
      <c r="DG172" s="228">
        <v>-0.09</v>
      </c>
      <c r="DH172" s="228">
        <v>27.46</v>
      </c>
      <c r="DI172" s="228">
        <v>26.79</v>
      </c>
      <c r="DJ172" s="228">
        <v>0.67</v>
      </c>
      <c r="DK172" s="228">
        <v>0.67</v>
      </c>
      <c r="DL172" s="228">
        <v>28.45</v>
      </c>
      <c r="DM172" s="228">
        <v>27.63</v>
      </c>
      <c r="DN172" s="228">
        <v>0.82</v>
      </c>
      <c r="DO172" s="228">
        <v>0.82</v>
      </c>
      <c r="DP172" s="228">
        <v>0.65</v>
      </c>
      <c r="DQ172" s="228">
        <v>0.63</v>
      </c>
      <c r="DR172" s="228">
        <v>0.02</v>
      </c>
      <c r="DS172" s="229">
        <v>3.1699999999999999E-2</v>
      </c>
      <c r="DT172" s="228">
        <v>310</v>
      </c>
      <c r="DU172" s="228">
        <v>310</v>
      </c>
      <c r="DV172" s="228">
        <v>0.39</v>
      </c>
      <c r="DW172" s="228">
        <v>0.56999999999999995</v>
      </c>
      <c r="DX172" s="228">
        <v>-0.18</v>
      </c>
      <c r="DY172" s="229">
        <v>-0.31580000000000003</v>
      </c>
      <c r="DZ172" s="229">
        <v>0.1114</v>
      </c>
      <c r="EA172" s="230">
        <v>4008600</v>
      </c>
      <c r="EB172" s="229">
        <v>5.3E-3</v>
      </c>
      <c r="EC172" s="229">
        <v>0.1114</v>
      </c>
      <c r="ED172" s="228">
        <v>1.68</v>
      </c>
      <c r="EE172" s="229">
        <v>5.4999999999999997E-3</v>
      </c>
      <c r="EF172" s="230">
        <v>1008563</v>
      </c>
      <c r="EG172" s="230">
        <v>666748</v>
      </c>
      <c r="EH172" s="229">
        <v>0.51270000000000004</v>
      </c>
      <c r="EI172" s="229">
        <v>0.63660000000000005</v>
      </c>
      <c r="EJ172" s="231">
        <v>15330.85</v>
      </c>
      <c r="EK172" s="231">
        <v>5726.06</v>
      </c>
      <c r="EL172" s="231">
        <v>9928.33</v>
      </c>
      <c r="EM172" s="228">
        <v>0</v>
      </c>
      <c r="EN172" s="231">
        <v>30985.24</v>
      </c>
      <c r="EO172" s="231">
        <v>41732.800000000003</v>
      </c>
      <c r="EP172" s="231">
        <v>-10747.56</v>
      </c>
      <c r="EQ172" s="229">
        <v>-0.25750000000000001</v>
      </c>
      <c r="ER172" s="231">
        <v>46595</v>
      </c>
      <c r="ES172" s="231">
        <v>29256</v>
      </c>
      <c r="ET172" s="231">
        <v>119776</v>
      </c>
      <c r="EU172" s="231">
        <v>150000017</v>
      </c>
      <c r="EV172" s="231">
        <v>195627</v>
      </c>
      <c r="EW172" s="231">
        <v>197490</v>
      </c>
      <c r="EX172" s="231">
        <v>-1863</v>
      </c>
      <c r="EY172" s="229">
        <v>-9.4000000000000004E-3</v>
      </c>
      <c r="EZ172" s="229">
        <v>0.42630000000000001</v>
      </c>
      <c r="FA172" s="227" t="s">
        <v>568</v>
      </c>
      <c r="FB172" s="161">
        <f t="shared" si="4"/>
        <v>0</v>
      </c>
    </row>
    <row r="173" spans="1:158" ht="17.25" thickBot="1" x14ac:dyDescent="0.3">
      <c r="A173" s="226">
        <v>45860</v>
      </c>
      <c r="B173" s="227" t="s">
        <v>175</v>
      </c>
      <c r="C173" s="227" t="s">
        <v>273</v>
      </c>
      <c r="D173" s="228">
        <v>1300</v>
      </c>
      <c r="E173" s="228">
        <v>414.95</v>
      </c>
      <c r="F173" s="228">
        <v>420.35</v>
      </c>
      <c r="G173" s="228">
        <v>-5.4</v>
      </c>
      <c r="H173" s="229">
        <v>-1.2800000000000001E-2</v>
      </c>
      <c r="I173" s="228">
        <v>414.7</v>
      </c>
      <c r="J173" s="228">
        <v>419.8</v>
      </c>
      <c r="K173" s="228">
        <v>-5.0999999999999996</v>
      </c>
      <c r="L173" s="229">
        <v>-1.21E-2</v>
      </c>
      <c r="M173" s="228">
        <v>414.95</v>
      </c>
      <c r="N173" s="228">
        <v>420.35</v>
      </c>
      <c r="O173" s="228">
        <v>-5.4</v>
      </c>
      <c r="P173" s="229">
        <v>-1.2800000000000001E-2</v>
      </c>
      <c r="Q173" s="228">
        <v>416.3</v>
      </c>
      <c r="R173" s="228">
        <v>422</v>
      </c>
      <c r="S173" s="228">
        <v>-5.7</v>
      </c>
      <c r="T173" s="229">
        <v>-1.35E-2</v>
      </c>
      <c r="U173" s="228">
        <v>0</v>
      </c>
      <c r="V173" s="228">
        <v>0</v>
      </c>
      <c r="W173" s="228">
        <v>0</v>
      </c>
      <c r="X173" s="229">
        <v>0</v>
      </c>
      <c r="Y173" s="228">
        <v>0.25</v>
      </c>
      <c r="Z173" s="228">
        <v>0.55000000000000004</v>
      </c>
      <c r="AA173" s="228">
        <v>-0.3</v>
      </c>
      <c r="AB173" s="229">
        <v>5.9999999999999995E-4</v>
      </c>
      <c r="AC173" s="228">
        <v>0.25</v>
      </c>
      <c r="AD173" s="228">
        <v>0.55000000000000004</v>
      </c>
      <c r="AE173" s="228">
        <v>-0.3</v>
      </c>
      <c r="AF173" s="229">
        <v>5.9999999999999995E-4</v>
      </c>
      <c r="AG173" s="228">
        <v>1.6</v>
      </c>
      <c r="AH173" s="228">
        <v>2.2000000000000002</v>
      </c>
      <c r="AI173" s="228">
        <v>-0.6</v>
      </c>
      <c r="AJ173" s="229">
        <v>3.8999999999999998E-3</v>
      </c>
      <c r="AK173" s="228">
        <v>0</v>
      </c>
      <c r="AL173" s="228">
        <v>0</v>
      </c>
      <c r="AM173" s="228">
        <v>0</v>
      </c>
      <c r="AN173" s="229">
        <v>0</v>
      </c>
      <c r="AO173" s="228">
        <v>419.33</v>
      </c>
      <c r="AP173" s="228">
        <v>420.38</v>
      </c>
      <c r="AQ173" s="228">
        <v>0</v>
      </c>
      <c r="AR173" s="230">
        <v>7927400</v>
      </c>
      <c r="AS173" s="230">
        <v>6561100</v>
      </c>
      <c r="AT173" s="230">
        <v>1366300</v>
      </c>
      <c r="AU173" s="229">
        <v>0.2082</v>
      </c>
      <c r="AV173" s="230">
        <v>5896800</v>
      </c>
      <c r="AW173" s="230">
        <v>5262400</v>
      </c>
      <c r="AX173" s="230">
        <v>634400</v>
      </c>
      <c r="AY173" s="229">
        <v>0.1206</v>
      </c>
      <c r="AZ173" s="230">
        <v>1943500</v>
      </c>
      <c r="BA173" s="230">
        <v>1212900</v>
      </c>
      <c r="BB173" s="230">
        <v>730600</v>
      </c>
      <c r="BC173" s="229">
        <v>0.60240000000000005</v>
      </c>
      <c r="BD173" s="228">
        <v>0</v>
      </c>
      <c r="BE173" s="228">
        <v>0</v>
      </c>
      <c r="BF173" s="228">
        <v>0</v>
      </c>
      <c r="BG173" s="229">
        <v>0</v>
      </c>
      <c r="BH173" s="230">
        <v>20703800</v>
      </c>
      <c r="BI173" s="230">
        <v>15405000</v>
      </c>
      <c r="BJ173" s="230">
        <v>5298800</v>
      </c>
      <c r="BK173" s="229">
        <v>0.34399999999999997</v>
      </c>
      <c r="BL173" s="230">
        <v>12651600</v>
      </c>
      <c r="BM173" s="230">
        <v>7645300</v>
      </c>
      <c r="BN173" s="230">
        <v>5006300</v>
      </c>
      <c r="BO173" s="229">
        <v>0.65480000000000005</v>
      </c>
      <c r="BP173" s="230">
        <v>41282800</v>
      </c>
      <c r="BQ173" s="230">
        <v>29611400</v>
      </c>
      <c r="BR173" s="230">
        <v>11671400</v>
      </c>
      <c r="BS173" s="229">
        <v>0.39419999999999999</v>
      </c>
      <c r="BT173" s="230">
        <v>3618763</v>
      </c>
      <c r="BU173" s="230">
        <v>4174378</v>
      </c>
      <c r="BV173" s="230">
        <v>-555615</v>
      </c>
      <c r="BW173" s="229">
        <v>-0.1331</v>
      </c>
      <c r="BX173" s="230">
        <v>55075800</v>
      </c>
      <c r="BY173" s="230">
        <v>54805400</v>
      </c>
      <c r="BZ173" s="230">
        <v>270400</v>
      </c>
      <c r="CA173" s="229">
        <v>4.8999999999999998E-3</v>
      </c>
      <c r="CB173" s="230">
        <v>48701900</v>
      </c>
      <c r="CC173" s="230">
        <v>49513100</v>
      </c>
      <c r="CD173" s="230">
        <v>-811200</v>
      </c>
      <c r="CE173" s="229">
        <v>-1.6400000000000001E-2</v>
      </c>
      <c r="CF173" s="230">
        <v>5631600</v>
      </c>
      <c r="CG173" s="230">
        <v>4579900</v>
      </c>
      <c r="CH173" s="230">
        <v>1051700</v>
      </c>
      <c r="CI173" s="229">
        <v>0.2296</v>
      </c>
      <c r="CJ173" s="228">
        <v>0</v>
      </c>
      <c r="CK173" s="228">
        <v>0</v>
      </c>
      <c r="CL173" s="228">
        <v>0</v>
      </c>
      <c r="CM173" s="229">
        <v>0</v>
      </c>
      <c r="CN173" s="230">
        <v>24930100</v>
      </c>
      <c r="CO173" s="230">
        <v>25326600</v>
      </c>
      <c r="CP173" s="230">
        <v>-396500</v>
      </c>
      <c r="CQ173" s="229">
        <v>-1.5699999999999999E-2</v>
      </c>
      <c r="CR173" s="230">
        <v>16614000</v>
      </c>
      <c r="CS173" s="230">
        <v>17221100</v>
      </c>
      <c r="CT173" s="230">
        <v>-607100</v>
      </c>
      <c r="CU173" s="229">
        <v>-3.5299999999999998E-2</v>
      </c>
      <c r="CV173" s="230">
        <v>96619900</v>
      </c>
      <c r="CW173" s="230">
        <v>97353100</v>
      </c>
      <c r="CX173" s="230">
        <v>-733200</v>
      </c>
      <c r="CY173" s="229">
        <v>-7.4999999999999997E-3</v>
      </c>
      <c r="CZ173" s="228">
        <v>30.89</v>
      </c>
      <c r="DA173" s="228">
        <v>30.33</v>
      </c>
      <c r="DB173" s="228">
        <v>0.56000000000000005</v>
      </c>
      <c r="DC173" s="228">
        <v>0.56000000000000005</v>
      </c>
      <c r="DD173" s="228">
        <v>49.48</v>
      </c>
      <c r="DE173" s="228">
        <v>49.57</v>
      </c>
      <c r="DF173" s="228">
        <v>-18.59</v>
      </c>
      <c r="DG173" s="228">
        <v>-0.09</v>
      </c>
      <c r="DH173" s="228">
        <v>31.61</v>
      </c>
      <c r="DI173" s="228">
        <v>30.52</v>
      </c>
      <c r="DJ173" s="228">
        <v>1.0900000000000001</v>
      </c>
      <c r="DK173" s="228">
        <v>1.0900000000000001</v>
      </c>
      <c r="DL173" s="228">
        <v>29.72</v>
      </c>
      <c r="DM173" s="228">
        <v>29.94</v>
      </c>
      <c r="DN173" s="228">
        <v>-0.22</v>
      </c>
      <c r="DO173" s="228">
        <v>-0.22</v>
      </c>
      <c r="DP173" s="228">
        <v>0.67</v>
      </c>
      <c r="DQ173" s="228">
        <v>0.68</v>
      </c>
      <c r="DR173" s="228">
        <v>-0.01</v>
      </c>
      <c r="DS173" s="229">
        <v>-1.47E-2</v>
      </c>
      <c r="DT173" s="228">
        <v>430</v>
      </c>
      <c r="DU173" s="228">
        <v>420</v>
      </c>
      <c r="DV173" s="228">
        <v>0.61</v>
      </c>
      <c r="DW173" s="228">
        <v>0.5</v>
      </c>
      <c r="DX173" s="228">
        <v>0.11</v>
      </c>
      <c r="DY173" s="229">
        <v>0.22</v>
      </c>
      <c r="DZ173" s="229">
        <v>0.1023</v>
      </c>
      <c r="EA173" s="230">
        <v>4579900</v>
      </c>
      <c r="EB173" s="229">
        <v>3.3E-3</v>
      </c>
      <c r="EC173" s="229">
        <v>0.1023</v>
      </c>
      <c r="ED173" s="228">
        <v>1.05</v>
      </c>
      <c r="EE173" s="229">
        <v>2.5000000000000001E-3</v>
      </c>
      <c r="EF173" s="230">
        <v>2083994</v>
      </c>
      <c r="EG173" s="230">
        <v>2408802</v>
      </c>
      <c r="EH173" s="229">
        <v>-0.1348</v>
      </c>
      <c r="EI173" s="229">
        <v>0.57589999999999997</v>
      </c>
      <c r="EJ173" s="231">
        <v>90948.05</v>
      </c>
      <c r="EK173" s="231">
        <v>53224.83</v>
      </c>
      <c r="EL173" s="231">
        <v>33262.5</v>
      </c>
      <c r="EM173" s="228">
        <v>0</v>
      </c>
      <c r="EN173" s="231">
        <v>177435.38</v>
      </c>
      <c r="EO173" s="231">
        <v>127460.12</v>
      </c>
      <c r="EP173" s="231">
        <v>49975.26</v>
      </c>
      <c r="EQ173" s="229">
        <v>0.3921</v>
      </c>
      <c r="ER173" s="231">
        <v>109613</v>
      </c>
      <c r="ES173" s="231">
        <v>68392</v>
      </c>
      <c r="ET173" s="231">
        <v>228621</v>
      </c>
      <c r="EU173" s="231">
        <v>290447407</v>
      </c>
      <c r="EV173" s="231">
        <v>406626</v>
      </c>
      <c r="EW173" s="231">
        <v>412898</v>
      </c>
      <c r="EX173" s="231">
        <v>-6272</v>
      </c>
      <c r="EY173" s="229">
        <v>-1.52E-2</v>
      </c>
      <c r="EZ173" s="229">
        <v>0.3327</v>
      </c>
      <c r="FA173" s="227" t="s">
        <v>567</v>
      </c>
      <c r="FB173" s="161">
        <f t="shared" si="4"/>
        <v>0</v>
      </c>
    </row>
    <row r="174" spans="1:158" ht="17.25" thickBot="1" x14ac:dyDescent="0.3">
      <c r="A174" s="226">
        <v>45860</v>
      </c>
      <c r="B174" s="227" t="s">
        <v>184</v>
      </c>
      <c r="C174" s="227" t="s">
        <v>682</v>
      </c>
      <c r="D174" s="228">
        <v>700</v>
      </c>
      <c r="E174" s="228">
        <v>789.5</v>
      </c>
      <c r="F174" s="228">
        <v>810.15</v>
      </c>
      <c r="G174" s="228">
        <v>-20.65</v>
      </c>
      <c r="H174" s="229">
        <v>-2.5499999999999998E-2</v>
      </c>
      <c r="I174" s="228">
        <v>788.9</v>
      </c>
      <c r="J174" s="228">
        <v>806.95</v>
      </c>
      <c r="K174" s="228">
        <v>-18.05</v>
      </c>
      <c r="L174" s="229">
        <v>-2.24E-2</v>
      </c>
      <c r="M174" s="228">
        <v>789.5</v>
      </c>
      <c r="N174" s="228">
        <v>810.15</v>
      </c>
      <c r="O174" s="228">
        <v>-20.65</v>
      </c>
      <c r="P174" s="229">
        <v>-2.5499999999999998E-2</v>
      </c>
      <c r="Q174" s="228">
        <v>794.1</v>
      </c>
      <c r="R174" s="228">
        <v>813.75</v>
      </c>
      <c r="S174" s="228">
        <v>-19.649999999999999</v>
      </c>
      <c r="T174" s="229">
        <v>-2.41E-2</v>
      </c>
      <c r="U174" s="228">
        <v>0</v>
      </c>
      <c r="V174" s="228">
        <v>0</v>
      </c>
      <c r="W174" s="228">
        <v>0</v>
      </c>
      <c r="X174" s="229">
        <v>0</v>
      </c>
      <c r="Y174" s="228">
        <v>0.6</v>
      </c>
      <c r="Z174" s="228">
        <v>3.2</v>
      </c>
      <c r="AA174" s="228">
        <v>-2.6</v>
      </c>
      <c r="AB174" s="229">
        <v>8.0000000000000004E-4</v>
      </c>
      <c r="AC174" s="228">
        <v>0.6</v>
      </c>
      <c r="AD174" s="228">
        <v>3.2</v>
      </c>
      <c r="AE174" s="228">
        <v>-2.6</v>
      </c>
      <c r="AF174" s="229">
        <v>8.0000000000000004E-4</v>
      </c>
      <c r="AG174" s="228">
        <v>5.2</v>
      </c>
      <c r="AH174" s="228">
        <v>6.8</v>
      </c>
      <c r="AI174" s="228">
        <v>-1.6</v>
      </c>
      <c r="AJ174" s="229">
        <v>6.6E-3</v>
      </c>
      <c r="AK174" s="228">
        <v>0</v>
      </c>
      <c r="AL174" s="228">
        <v>0</v>
      </c>
      <c r="AM174" s="228">
        <v>0</v>
      </c>
      <c r="AN174" s="229">
        <v>0</v>
      </c>
      <c r="AO174" s="228">
        <v>799.46</v>
      </c>
      <c r="AP174" s="228">
        <v>803.53</v>
      </c>
      <c r="AQ174" s="228">
        <v>0</v>
      </c>
      <c r="AR174" s="230">
        <v>1285900</v>
      </c>
      <c r="AS174" s="230">
        <v>1520400</v>
      </c>
      <c r="AT174" s="230">
        <v>-234500</v>
      </c>
      <c r="AU174" s="229">
        <v>-0.1542</v>
      </c>
      <c r="AV174" s="230">
        <v>1004500</v>
      </c>
      <c r="AW174" s="230">
        <v>1128400</v>
      </c>
      <c r="AX174" s="230">
        <v>-123900</v>
      </c>
      <c r="AY174" s="229">
        <v>-0.10979999999999999</v>
      </c>
      <c r="AZ174" s="230">
        <v>278600</v>
      </c>
      <c r="BA174" s="230">
        <v>387100</v>
      </c>
      <c r="BB174" s="230">
        <v>-108500</v>
      </c>
      <c r="BC174" s="229">
        <v>-0.28029999999999999</v>
      </c>
      <c r="BD174" s="228">
        <v>0</v>
      </c>
      <c r="BE174" s="228">
        <v>0</v>
      </c>
      <c r="BF174" s="228">
        <v>0</v>
      </c>
      <c r="BG174" s="229">
        <v>0</v>
      </c>
      <c r="BH174" s="230">
        <v>1905400</v>
      </c>
      <c r="BI174" s="230">
        <v>1710800</v>
      </c>
      <c r="BJ174" s="230">
        <v>194600</v>
      </c>
      <c r="BK174" s="229">
        <v>0.1137</v>
      </c>
      <c r="BL174" s="230">
        <v>737800</v>
      </c>
      <c r="BM174" s="230">
        <v>619500</v>
      </c>
      <c r="BN174" s="230">
        <v>118300</v>
      </c>
      <c r="BO174" s="229">
        <v>0.191</v>
      </c>
      <c r="BP174" s="230">
        <v>3929100</v>
      </c>
      <c r="BQ174" s="230">
        <v>3850700</v>
      </c>
      <c r="BR174" s="230">
        <v>78400</v>
      </c>
      <c r="BS174" s="229">
        <v>2.0400000000000001E-2</v>
      </c>
      <c r="BT174" s="230">
        <v>1083011</v>
      </c>
      <c r="BU174" s="230">
        <v>1039864</v>
      </c>
      <c r="BV174" s="230">
        <v>43147</v>
      </c>
      <c r="BW174" s="229">
        <v>4.1500000000000002E-2</v>
      </c>
      <c r="BX174" s="230">
        <v>6298600</v>
      </c>
      <c r="BY174" s="230">
        <v>6064800</v>
      </c>
      <c r="BZ174" s="230">
        <v>233800</v>
      </c>
      <c r="CA174" s="229">
        <v>3.8600000000000002E-2</v>
      </c>
      <c r="CB174" s="230">
        <v>5601400</v>
      </c>
      <c r="CC174" s="230">
        <v>5471900</v>
      </c>
      <c r="CD174" s="230">
        <v>129500</v>
      </c>
      <c r="CE174" s="229">
        <v>2.3699999999999999E-2</v>
      </c>
      <c r="CF174" s="230">
        <v>672000</v>
      </c>
      <c r="CG174" s="230">
        <v>565600</v>
      </c>
      <c r="CH174" s="230">
        <v>106400</v>
      </c>
      <c r="CI174" s="229">
        <v>0.18809999999999999</v>
      </c>
      <c r="CJ174" s="228">
        <v>0</v>
      </c>
      <c r="CK174" s="228">
        <v>0</v>
      </c>
      <c r="CL174" s="228">
        <v>0</v>
      </c>
      <c r="CM174" s="229">
        <v>0</v>
      </c>
      <c r="CN174" s="230">
        <v>1948800</v>
      </c>
      <c r="CO174" s="230">
        <v>1892800</v>
      </c>
      <c r="CP174" s="230">
        <v>56000</v>
      </c>
      <c r="CQ174" s="229">
        <v>2.9600000000000001E-2</v>
      </c>
      <c r="CR174" s="230">
        <v>945000</v>
      </c>
      <c r="CS174" s="230">
        <v>1048600</v>
      </c>
      <c r="CT174" s="230">
        <v>-103600</v>
      </c>
      <c r="CU174" s="229">
        <v>-9.8799999999999999E-2</v>
      </c>
      <c r="CV174" s="230">
        <v>9192400</v>
      </c>
      <c r="CW174" s="230">
        <v>9006200</v>
      </c>
      <c r="CX174" s="230">
        <v>186200</v>
      </c>
      <c r="CY174" s="229">
        <v>2.07E-2</v>
      </c>
      <c r="CZ174" s="228">
        <v>38.31</v>
      </c>
      <c r="DA174" s="228">
        <v>39.56</v>
      </c>
      <c r="DB174" s="228">
        <v>-1.25</v>
      </c>
      <c r="DC174" s="228">
        <v>-1.25</v>
      </c>
      <c r="DD174" s="228">
        <v>65.58</v>
      </c>
      <c r="DE174" s="228">
        <v>65.67</v>
      </c>
      <c r="DF174" s="228">
        <v>-27.27</v>
      </c>
      <c r="DG174" s="228">
        <v>-0.09</v>
      </c>
      <c r="DH174" s="228">
        <v>38.880000000000003</v>
      </c>
      <c r="DI174" s="228">
        <v>39.479999999999997</v>
      </c>
      <c r="DJ174" s="228">
        <v>-0.6</v>
      </c>
      <c r="DK174" s="228">
        <v>-0.6</v>
      </c>
      <c r="DL174" s="228">
        <v>36.86</v>
      </c>
      <c r="DM174" s="228">
        <v>39.79</v>
      </c>
      <c r="DN174" s="228">
        <v>-2.93</v>
      </c>
      <c r="DO174" s="228">
        <v>-2.93</v>
      </c>
      <c r="DP174" s="228">
        <v>0.48</v>
      </c>
      <c r="DQ174" s="228">
        <v>0.55000000000000004</v>
      </c>
      <c r="DR174" s="228">
        <v>-7.0000000000000007E-2</v>
      </c>
      <c r="DS174" s="229">
        <v>-0.1273</v>
      </c>
      <c r="DT174" s="228">
        <v>840</v>
      </c>
      <c r="DU174" s="228">
        <v>780</v>
      </c>
      <c r="DV174" s="228">
        <v>0.39</v>
      </c>
      <c r="DW174" s="228">
        <v>0.36</v>
      </c>
      <c r="DX174" s="228">
        <v>0.03</v>
      </c>
      <c r="DY174" s="229">
        <v>8.3299999999999999E-2</v>
      </c>
      <c r="DZ174" s="229">
        <v>0.1067</v>
      </c>
      <c r="EA174" s="230">
        <v>565600</v>
      </c>
      <c r="EB174" s="229">
        <v>5.7999999999999996E-3</v>
      </c>
      <c r="EC174" s="229">
        <v>0.1067</v>
      </c>
      <c r="ED174" s="228">
        <v>4.07</v>
      </c>
      <c r="EE174" s="229">
        <v>5.1000000000000004E-3</v>
      </c>
      <c r="EF174" s="230">
        <v>492146</v>
      </c>
      <c r="EG174" s="230">
        <v>436897</v>
      </c>
      <c r="EH174" s="229">
        <v>0.1265</v>
      </c>
      <c r="EI174" s="229">
        <v>0.45440000000000003</v>
      </c>
      <c r="EJ174" s="231">
        <v>16014.38</v>
      </c>
      <c r="EK174" s="231">
        <v>5707.67</v>
      </c>
      <c r="EL174" s="231">
        <v>10291.77</v>
      </c>
      <c r="EM174" s="228">
        <v>0</v>
      </c>
      <c r="EN174" s="231">
        <v>32013.82</v>
      </c>
      <c r="EO174" s="231">
        <v>31755.9</v>
      </c>
      <c r="EP174" s="228">
        <v>257.92</v>
      </c>
      <c r="EQ174" s="229">
        <v>8.0999999999999996E-3</v>
      </c>
      <c r="ER174" s="231">
        <v>16042</v>
      </c>
      <c r="ES174" s="231">
        <v>7177</v>
      </c>
      <c r="ET174" s="231">
        <v>49760</v>
      </c>
      <c r="EU174" s="231">
        <v>28664814</v>
      </c>
      <c r="EV174" s="231">
        <v>72979</v>
      </c>
      <c r="EW174" s="231">
        <v>72661</v>
      </c>
      <c r="EX174" s="228">
        <v>318</v>
      </c>
      <c r="EY174" s="229">
        <v>4.4000000000000003E-3</v>
      </c>
      <c r="EZ174" s="229">
        <v>0.32069999999999999</v>
      </c>
      <c r="FA174" s="227" t="s">
        <v>567</v>
      </c>
      <c r="FB174" s="161">
        <f t="shared" si="4"/>
        <v>0</v>
      </c>
    </row>
    <row r="175" spans="1:158" ht="17.25" thickBot="1" x14ac:dyDescent="0.3">
      <c r="A175" s="226">
        <v>45860</v>
      </c>
      <c r="B175" s="227" t="s">
        <v>206</v>
      </c>
      <c r="C175" s="227" t="s">
        <v>646</v>
      </c>
      <c r="D175" s="228">
        <v>350</v>
      </c>
      <c r="E175" s="231">
        <v>1476.1</v>
      </c>
      <c r="F175" s="231">
        <v>1498.5</v>
      </c>
      <c r="G175" s="228">
        <v>-22.4</v>
      </c>
      <c r="H175" s="229">
        <v>-1.49E-2</v>
      </c>
      <c r="I175" s="231">
        <v>1473.6</v>
      </c>
      <c r="J175" s="231">
        <v>1493.7</v>
      </c>
      <c r="K175" s="228">
        <v>-20.100000000000001</v>
      </c>
      <c r="L175" s="229">
        <v>-1.35E-2</v>
      </c>
      <c r="M175" s="231">
        <v>1476.1</v>
      </c>
      <c r="N175" s="231">
        <v>1498.5</v>
      </c>
      <c r="O175" s="228">
        <v>-22.4</v>
      </c>
      <c r="P175" s="229">
        <v>-1.49E-2</v>
      </c>
      <c r="Q175" s="231">
        <v>1483.2</v>
      </c>
      <c r="R175" s="231">
        <v>1504.3</v>
      </c>
      <c r="S175" s="228">
        <v>-21.1</v>
      </c>
      <c r="T175" s="229">
        <v>-1.4E-2</v>
      </c>
      <c r="U175" s="228">
        <v>0</v>
      </c>
      <c r="V175" s="228">
        <v>0</v>
      </c>
      <c r="W175" s="228">
        <v>0</v>
      </c>
      <c r="X175" s="229">
        <v>0</v>
      </c>
      <c r="Y175" s="228">
        <v>2.5</v>
      </c>
      <c r="Z175" s="228">
        <v>4.8</v>
      </c>
      <c r="AA175" s="228">
        <v>-2.2999999999999998</v>
      </c>
      <c r="AB175" s="229">
        <v>1.6999999999999999E-3</v>
      </c>
      <c r="AC175" s="228">
        <v>2.5</v>
      </c>
      <c r="AD175" s="228">
        <v>4.8</v>
      </c>
      <c r="AE175" s="228">
        <v>-2.2999999999999998</v>
      </c>
      <c r="AF175" s="229">
        <v>1.6999999999999999E-3</v>
      </c>
      <c r="AG175" s="228">
        <v>9.6</v>
      </c>
      <c r="AH175" s="228">
        <v>10.6</v>
      </c>
      <c r="AI175" s="228">
        <v>-1</v>
      </c>
      <c r="AJ175" s="229">
        <v>6.4999999999999997E-3</v>
      </c>
      <c r="AK175" s="228">
        <v>0</v>
      </c>
      <c r="AL175" s="228">
        <v>0</v>
      </c>
      <c r="AM175" s="228">
        <v>0</v>
      </c>
      <c r="AN175" s="229">
        <v>0</v>
      </c>
      <c r="AO175" s="231">
        <v>1476.47</v>
      </c>
      <c r="AP175" s="231">
        <v>1482.12</v>
      </c>
      <c r="AQ175" s="228">
        <v>0</v>
      </c>
      <c r="AR175" s="230">
        <v>386050</v>
      </c>
      <c r="AS175" s="230">
        <v>440300</v>
      </c>
      <c r="AT175" s="230">
        <v>-54250</v>
      </c>
      <c r="AU175" s="229">
        <v>-0.1232</v>
      </c>
      <c r="AV175" s="230">
        <v>323400</v>
      </c>
      <c r="AW175" s="230">
        <v>421050</v>
      </c>
      <c r="AX175" s="230">
        <v>-97650</v>
      </c>
      <c r="AY175" s="229">
        <v>-0.2319</v>
      </c>
      <c r="AZ175" s="230">
        <v>62300</v>
      </c>
      <c r="BA175" s="230">
        <v>19250</v>
      </c>
      <c r="BB175" s="230">
        <v>43050</v>
      </c>
      <c r="BC175" s="229">
        <v>2.2364000000000002</v>
      </c>
      <c r="BD175" s="228">
        <v>0</v>
      </c>
      <c r="BE175" s="228">
        <v>0</v>
      </c>
      <c r="BF175" s="228">
        <v>0</v>
      </c>
      <c r="BG175" s="229">
        <v>0</v>
      </c>
      <c r="BH175" s="230">
        <v>563500</v>
      </c>
      <c r="BI175" s="230">
        <v>676550</v>
      </c>
      <c r="BJ175" s="230">
        <v>-113050</v>
      </c>
      <c r="BK175" s="229">
        <v>-0.1671</v>
      </c>
      <c r="BL175" s="230">
        <v>268450</v>
      </c>
      <c r="BM175" s="230">
        <v>170800</v>
      </c>
      <c r="BN175" s="230">
        <v>97650</v>
      </c>
      <c r="BO175" s="229">
        <v>0.57169999999999999</v>
      </c>
      <c r="BP175" s="230">
        <v>1218000</v>
      </c>
      <c r="BQ175" s="230">
        <v>1287650</v>
      </c>
      <c r="BR175" s="230">
        <v>-69650</v>
      </c>
      <c r="BS175" s="229">
        <v>-5.4100000000000002E-2</v>
      </c>
      <c r="BT175" s="230">
        <v>1007307</v>
      </c>
      <c r="BU175" s="230">
        <v>474314</v>
      </c>
      <c r="BV175" s="230">
        <v>532993</v>
      </c>
      <c r="BW175" s="229">
        <v>1.1236999999999999</v>
      </c>
      <c r="BX175" s="230">
        <v>4566450</v>
      </c>
      <c r="BY175" s="230">
        <v>4497150</v>
      </c>
      <c r="BZ175" s="230">
        <v>69300</v>
      </c>
      <c r="CA175" s="229">
        <v>1.54E-2</v>
      </c>
      <c r="CB175" s="230">
        <v>4372200</v>
      </c>
      <c r="CC175" s="230">
        <v>4318650</v>
      </c>
      <c r="CD175" s="230">
        <v>53550</v>
      </c>
      <c r="CE175" s="229">
        <v>1.24E-2</v>
      </c>
      <c r="CF175" s="230">
        <v>186200</v>
      </c>
      <c r="CG175" s="230">
        <v>170800</v>
      </c>
      <c r="CH175" s="230">
        <v>15400</v>
      </c>
      <c r="CI175" s="229">
        <v>9.0200000000000002E-2</v>
      </c>
      <c r="CJ175" s="228">
        <v>0</v>
      </c>
      <c r="CK175" s="228">
        <v>0</v>
      </c>
      <c r="CL175" s="228">
        <v>0</v>
      </c>
      <c r="CM175" s="229">
        <v>0</v>
      </c>
      <c r="CN175" s="230">
        <v>1279950</v>
      </c>
      <c r="CO175" s="230">
        <v>1332450</v>
      </c>
      <c r="CP175" s="230">
        <v>-52500</v>
      </c>
      <c r="CQ175" s="229">
        <v>-3.9399999999999998E-2</v>
      </c>
      <c r="CR175" s="230">
        <v>777000</v>
      </c>
      <c r="CS175" s="230">
        <v>785050</v>
      </c>
      <c r="CT175" s="230">
        <v>-8050</v>
      </c>
      <c r="CU175" s="229">
        <v>-1.03E-2</v>
      </c>
      <c r="CV175" s="230">
        <v>6623400</v>
      </c>
      <c r="CW175" s="230">
        <v>6614650</v>
      </c>
      <c r="CX175" s="230">
        <v>8750</v>
      </c>
      <c r="CY175" s="229">
        <v>1.2999999999999999E-3</v>
      </c>
      <c r="CZ175" s="228">
        <v>43.05</v>
      </c>
      <c r="DA175" s="228">
        <v>40.229999999999997</v>
      </c>
      <c r="DB175" s="228">
        <v>2.82</v>
      </c>
      <c r="DC175" s="228">
        <v>2.82</v>
      </c>
      <c r="DD175" s="228">
        <v>47.97</v>
      </c>
      <c r="DE175" s="228">
        <v>48.05</v>
      </c>
      <c r="DF175" s="228">
        <v>-4.92</v>
      </c>
      <c r="DG175" s="228">
        <v>-0.08</v>
      </c>
      <c r="DH175" s="228">
        <v>43.12</v>
      </c>
      <c r="DI175" s="228">
        <v>40.67</v>
      </c>
      <c r="DJ175" s="228">
        <v>2.4500000000000002</v>
      </c>
      <c r="DK175" s="228">
        <v>2.4500000000000002</v>
      </c>
      <c r="DL175" s="228">
        <v>42.92</v>
      </c>
      <c r="DM175" s="228">
        <v>38.51</v>
      </c>
      <c r="DN175" s="228">
        <v>4.41</v>
      </c>
      <c r="DO175" s="228">
        <v>4.41</v>
      </c>
      <c r="DP175" s="228">
        <v>0.61</v>
      </c>
      <c r="DQ175" s="228">
        <v>0.59</v>
      </c>
      <c r="DR175" s="228">
        <v>0.02</v>
      </c>
      <c r="DS175" s="229">
        <v>3.39E-2</v>
      </c>
      <c r="DT175" s="231">
        <v>1600</v>
      </c>
      <c r="DU175" s="231">
        <v>1500</v>
      </c>
      <c r="DV175" s="228">
        <v>0.48</v>
      </c>
      <c r="DW175" s="228">
        <v>0.25</v>
      </c>
      <c r="DX175" s="228">
        <v>0.23</v>
      </c>
      <c r="DY175" s="229">
        <v>0.92</v>
      </c>
      <c r="DZ175" s="229">
        <v>4.0800000000000003E-2</v>
      </c>
      <c r="EA175" s="230">
        <v>170800</v>
      </c>
      <c r="EB175" s="229">
        <v>4.7999999999999996E-3</v>
      </c>
      <c r="EC175" s="229">
        <v>4.0800000000000003E-2</v>
      </c>
      <c r="ED175" s="228">
        <v>5.65</v>
      </c>
      <c r="EE175" s="229">
        <v>3.8E-3</v>
      </c>
      <c r="EF175" s="230">
        <v>782662</v>
      </c>
      <c r="EG175" s="230">
        <v>338813</v>
      </c>
      <c r="EH175" s="229">
        <v>1.31</v>
      </c>
      <c r="EI175" s="229">
        <v>0.77700000000000002</v>
      </c>
      <c r="EJ175" s="231">
        <v>8954.69</v>
      </c>
      <c r="EK175" s="231">
        <v>3833.21</v>
      </c>
      <c r="EL175" s="231">
        <v>5703.48</v>
      </c>
      <c r="EM175" s="228">
        <v>0</v>
      </c>
      <c r="EN175" s="231">
        <v>18491.38</v>
      </c>
      <c r="EO175" s="231">
        <v>19786.740000000002</v>
      </c>
      <c r="EP175" s="231">
        <v>-1295.3599999999999</v>
      </c>
      <c r="EQ175" s="229">
        <v>-6.5500000000000003E-2</v>
      </c>
      <c r="ER175" s="231">
        <v>20676</v>
      </c>
      <c r="ES175" s="231">
        <v>11431</v>
      </c>
      <c r="ET175" s="231">
        <v>67420</v>
      </c>
      <c r="EU175" s="231">
        <v>37710874</v>
      </c>
      <c r="EV175" s="231">
        <v>99527</v>
      </c>
      <c r="EW175" s="231">
        <v>100480</v>
      </c>
      <c r="EX175" s="228">
        <v>-953</v>
      </c>
      <c r="EY175" s="229">
        <v>-9.4999999999999998E-3</v>
      </c>
      <c r="EZ175" s="229">
        <v>0.17560000000000001</v>
      </c>
      <c r="FA175" s="227" t="s">
        <v>567</v>
      </c>
      <c r="FB175" s="161">
        <f t="shared" si="4"/>
        <v>0</v>
      </c>
    </row>
    <row r="176" spans="1:158" ht="17.25" thickBot="1" x14ac:dyDescent="0.3">
      <c r="A176" s="226">
        <v>45860</v>
      </c>
      <c r="B176" s="227" t="s">
        <v>168</v>
      </c>
      <c r="C176" s="227" t="s">
        <v>274</v>
      </c>
      <c r="D176" s="228">
        <v>250</v>
      </c>
      <c r="E176" s="231">
        <v>2920.9</v>
      </c>
      <c r="F176" s="231">
        <v>2952.7</v>
      </c>
      <c r="G176" s="228">
        <v>-31.8</v>
      </c>
      <c r="H176" s="229">
        <v>-1.0800000000000001E-2</v>
      </c>
      <c r="I176" s="231">
        <v>2934.3</v>
      </c>
      <c r="J176" s="231">
        <v>2965.1</v>
      </c>
      <c r="K176" s="228">
        <v>-30.8</v>
      </c>
      <c r="L176" s="229">
        <v>-1.04E-2</v>
      </c>
      <c r="M176" s="231">
        <v>2920.9</v>
      </c>
      <c r="N176" s="231">
        <v>2952.7</v>
      </c>
      <c r="O176" s="228">
        <v>-31.8</v>
      </c>
      <c r="P176" s="229">
        <v>-1.0800000000000001E-2</v>
      </c>
      <c r="Q176" s="231">
        <v>2936.4</v>
      </c>
      <c r="R176" s="231">
        <v>2968.1</v>
      </c>
      <c r="S176" s="228">
        <v>-31.7</v>
      </c>
      <c r="T176" s="229">
        <v>-1.0699999999999999E-2</v>
      </c>
      <c r="U176" s="228">
        <v>0</v>
      </c>
      <c r="V176" s="228">
        <v>0</v>
      </c>
      <c r="W176" s="228">
        <v>0</v>
      </c>
      <c r="X176" s="229">
        <v>0</v>
      </c>
      <c r="Y176" s="228">
        <v>-13.4</v>
      </c>
      <c r="Z176" s="228">
        <v>-12.4</v>
      </c>
      <c r="AA176" s="228">
        <v>-1</v>
      </c>
      <c r="AB176" s="229">
        <v>-4.5999999999999999E-3</v>
      </c>
      <c r="AC176" s="228">
        <v>-13.4</v>
      </c>
      <c r="AD176" s="228">
        <v>-12.4</v>
      </c>
      <c r="AE176" s="228">
        <v>-1</v>
      </c>
      <c r="AF176" s="229">
        <v>-4.5999999999999999E-3</v>
      </c>
      <c r="AG176" s="228">
        <v>2.1</v>
      </c>
      <c r="AH176" s="228">
        <v>3</v>
      </c>
      <c r="AI176" s="228">
        <v>-0.9</v>
      </c>
      <c r="AJ176" s="229">
        <v>6.9999999999999999E-4</v>
      </c>
      <c r="AK176" s="228">
        <v>0</v>
      </c>
      <c r="AL176" s="228">
        <v>0</v>
      </c>
      <c r="AM176" s="228">
        <v>0</v>
      </c>
      <c r="AN176" s="229">
        <v>0</v>
      </c>
      <c r="AO176" s="231">
        <v>2930.11</v>
      </c>
      <c r="AP176" s="231">
        <v>2945.57</v>
      </c>
      <c r="AQ176" s="228">
        <v>0</v>
      </c>
      <c r="AR176" s="230">
        <v>248000</v>
      </c>
      <c r="AS176" s="230">
        <v>229000</v>
      </c>
      <c r="AT176" s="230">
        <v>19000</v>
      </c>
      <c r="AU176" s="229">
        <v>8.3000000000000004E-2</v>
      </c>
      <c r="AV176" s="230">
        <v>191500</v>
      </c>
      <c r="AW176" s="230">
        <v>194250</v>
      </c>
      <c r="AX176" s="230">
        <v>-2750</v>
      </c>
      <c r="AY176" s="229">
        <v>-1.4200000000000001E-2</v>
      </c>
      <c r="AZ176" s="230">
        <v>51750</v>
      </c>
      <c r="BA176" s="230">
        <v>34750</v>
      </c>
      <c r="BB176" s="230">
        <v>17000</v>
      </c>
      <c r="BC176" s="229">
        <v>0.48920000000000002</v>
      </c>
      <c r="BD176" s="228">
        <v>0</v>
      </c>
      <c r="BE176" s="228">
        <v>0</v>
      </c>
      <c r="BF176" s="228">
        <v>0</v>
      </c>
      <c r="BG176" s="229">
        <v>0</v>
      </c>
      <c r="BH176" s="230">
        <v>616000</v>
      </c>
      <c r="BI176" s="230">
        <v>390250</v>
      </c>
      <c r="BJ176" s="230">
        <v>225750</v>
      </c>
      <c r="BK176" s="229">
        <v>0.57850000000000001</v>
      </c>
      <c r="BL176" s="230">
        <v>218500</v>
      </c>
      <c r="BM176" s="230">
        <v>103000</v>
      </c>
      <c r="BN176" s="230">
        <v>115500</v>
      </c>
      <c r="BO176" s="229">
        <v>1.1214</v>
      </c>
      <c r="BP176" s="230">
        <v>1082500</v>
      </c>
      <c r="BQ176" s="230">
        <v>722250</v>
      </c>
      <c r="BR176" s="230">
        <v>360250</v>
      </c>
      <c r="BS176" s="229">
        <v>0.49880000000000002</v>
      </c>
      <c r="BT176" s="230">
        <v>178889</v>
      </c>
      <c r="BU176" s="230">
        <v>216328</v>
      </c>
      <c r="BV176" s="230">
        <v>-37439</v>
      </c>
      <c r="BW176" s="229">
        <v>-0.1731</v>
      </c>
      <c r="BX176" s="230">
        <v>3441000</v>
      </c>
      <c r="BY176" s="230">
        <v>3377500</v>
      </c>
      <c r="BZ176" s="230">
        <v>63500</v>
      </c>
      <c r="CA176" s="229">
        <v>1.8800000000000001E-2</v>
      </c>
      <c r="CB176" s="230">
        <v>3293250</v>
      </c>
      <c r="CC176" s="230">
        <v>3267500</v>
      </c>
      <c r="CD176" s="230">
        <v>25750</v>
      </c>
      <c r="CE176" s="229">
        <v>7.9000000000000008E-3</v>
      </c>
      <c r="CF176" s="230">
        <v>139750</v>
      </c>
      <c r="CG176" s="230">
        <v>104250</v>
      </c>
      <c r="CH176" s="230">
        <v>35500</v>
      </c>
      <c r="CI176" s="229">
        <v>0.34050000000000002</v>
      </c>
      <c r="CJ176" s="228">
        <v>0</v>
      </c>
      <c r="CK176" s="228">
        <v>0</v>
      </c>
      <c r="CL176" s="228">
        <v>0</v>
      </c>
      <c r="CM176" s="229">
        <v>0</v>
      </c>
      <c r="CN176" s="230">
        <v>1153000</v>
      </c>
      <c r="CO176" s="230">
        <v>1013500</v>
      </c>
      <c r="CP176" s="230">
        <v>139500</v>
      </c>
      <c r="CQ176" s="229">
        <v>0.1376</v>
      </c>
      <c r="CR176" s="230">
        <v>555500</v>
      </c>
      <c r="CS176" s="230">
        <v>536500</v>
      </c>
      <c r="CT176" s="230">
        <v>19000</v>
      </c>
      <c r="CU176" s="229">
        <v>3.5400000000000001E-2</v>
      </c>
      <c r="CV176" s="230">
        <v>5149500</v>
      </c>
      <c r="CW176" s="230">
        <v>4927500</v>
      </c>
      <c r="CX176" s="230">
        <v>222000</v>
      </c>
      <c r="CY176" s="229">
        <v>4.5100000000000001E-2</v>
      </c>
      <c r="CZ176" s="228">
        <v>22.79</v>
      </c>
      <c r="DA176" s="228">
        <v>21.06</v>
      </c>
      <c r="DB176" s="228">
        <v>1.73</v>
      </c>
      <c r="DC176" s="228">
        <v>1.73</v>
      </c>
      <c r="DD176" s="228">
        <v>23.31</v>
      </c>
      <c r="DE176" s="228">
        <v>23.32</v>
      </c>
      <c r="DF176" s="228">
        <v>-0.52</v>
      </c>
      <c r="DG176" s="228">
        <v>-0.01</v>
      </c>
      <c r="DH176" s="228">
        <v>23.7</v>
      </c>
      <c r="DI176" s="228">
        <v>21.44</v>
      </c>
      <c r="DJ176" s="228">
        <v>2.2599999999999998</v>
      </c>
      <c r="DK176" s="228">
        <v>2.2599999999999998</v>
      </c>
      <c r="DL176" s="228">
        <v>20.23</v>
      </c>
      <c r="DM176" s="228">
        <v>19.63</v>
      </c>
      <c r="DN176" s="228">
        <v>0.6</v>
      </c>
      <c r="DO176" s="228">
        <v>0.6</v>
      </c>
      <c r="DP176" s="228">
        <v>0.48</v>
      </c>
      <c r="DQ176" s="228">
        <v>0.53</v>
      </c>
      <c r="DR176" s="228">
        <v>-0.05</v>
      </c>
      <c r="DS176" s="229">
        <v>-9.4299999999999995E-2</v>
      </c>
      <c r="DT176" s="231">
        <v>3100</v>
      </c>
      <c r="DU176" s="231">
        <v>3000</v>
      </c>
      <c r="DV176" s="228">
        <v>0.35</v>
      </c>
      <c r="DW176" s="228">
        <v>0.26</v>
      </c>
      <c r="DX176" s="228">
        <v>0.09</v>
      </c>
      <c r="DY176" s="229">
        <v>0.34620000000000001</v>
      </c>
      <c r="DZ176" s="229">
        <v>4.0599999999999997E-2</v>
      </c>
      <c r="EA176" s="230">
        <v>104250</v>
      </c>
      <c r="EB176" s="229">
        <v>5.3E-3</v>
      </c>
      <c r="EC176" s="229">
        <v>4.0599999999999997E-2</v>
      </c>
      <c r="ED176" s="228">
        <v>15.46</v>
      </c>
      <c r="EE176" s="229">
        <v>5.3E-3</v>
      </c>
      <c r="EF176" s="230">
        <v>103380</v>
      </c>
      <c r="EG176" s="230">
        <v>149102</v>
      </c>
      <c r="EH176" s="229">
        <v>-0.30659999999999998</v>
      </c>
      <c r="EI176" s="229">
        <v>0.57789999999999997</v>
      </c>
      <c r="EJ176" s="231">
        <v>18820.54</v>
      </c>
      <c r="EK176" s="231">
        <v>6376.37</v>
      </c>
      <c r="EL176" s="231">
        <v>7275.9</v>
      </c>
      <c r="EM176" s="228">
        <v>0</v>
      </c>
      <c r="EN176" s="231">
        <v>32472.81</v>
      </c>
      <c r="EO176" s="231">
        <v>21756.76</v>
      </c>
      <c r="EP176" s="231">
        <v>10716.05</v>
      </c>
      <c r="EQ176" s="229">
        <v>0.49249999999999999</v>
      </c>
      <c r="ER176" s="231">
        <v>35784</v>
      </c>
      <c r="ES176" s="231">
        <v>16324</v>
      </c>
      <c r="ET176" s="231">
        <v>100532</v>
      </c>
      <c r="EU176" s="231">
        <v>31030515</v>
      </c>
      <c r="EV176" s="231">
        <v>152640</v>
      </c>
      <c r="EW176" s="231">
        <v>147141</v>
      </c>
      <c r="EX176" s="231">
        <v>5499</v>
      </c>
      <c r="EY176" s="229">
        <v>3.7400000000000003E-2</v>
      </c>
      <c r="EZ176" s="229">
        <v>0.16589999999999999</v>
      </c>
      <c r="FA176" s="227" t="s">
        <v>567</v>
      </c>
      <c r="FB176" s="161">
        <f t="shared" si="4"/>
        <v>0</v>
      </c>
    </row>
    <row r="177" spans="1:158" ht="17.25" thickBot="1" x14ac:dyDescent="0.3">
      <c r="A177" s="226">
        <v>45860</v>
      </c>
      <c r="B177" s="227" t="s">
        <v>498</v>
      </c>
      <c r="C177" s="227" t="s">
        <v>483</v>
      </c>
      <c r="D177" s="228">
        <v>175</v>
      </c>
      <c r="E177" s="231">
        <v>4080</v>
      </c>
      <c r="F177" s="231">
        <v>4179.8999999999996</v>
      </c>
      <c r="G177" s="228">
        <v>-99.9</v>
      </c>
      <c r="H177" s="229">
        <v>-2.3900000000000001E-2</v>
      </c>
      <c r="I177" s="231">
        <v>4080</v>
      </c>
      <c r="J177" s="231">
        <v>4173.1000000000004</v>
      </c>
      <c r="K177" s="228">
        <v>-93.1</v>
      </c>
      <c r="L177" s="229">
        <v>-2.23E-2</v>
      </c>
      <c r="M177" s="231">
        <v>4080</v>
      </c>
      <c r="N177" s="231">
        <v>4179.8999999999996</v>
      </c>
      <c r="O177" s="228">
        <v>-99.9</v>
      </c>
      <c r="P177" s="229">
        <v>-2.3900000000000001E-2</v>
      </c>
      <c r="Q177" s="231">
        <v>4090.5</v>
      </c>
      <c r="R177" s="231">
        <v>4190.1000000000004</v>
      </c>
      <c r="S177" s="228">
        <v>-99.6</v>
      </c>
      <c r="T177" s="229">
        <v>-2.3800000000000002E-2</v>
      </c>
      <c r="U177" s="228">
        <v>0</v>
      </c>
      <c r="V177" s="228">
        <v>0</v>
      </c>
      <c r="W177" s="228">
        <v>0</v>
      </c>
      <c r="X177" s="229">
        <v>0</v>
      </c>
      <c r="Y177" s="228">
        <v>0</v>
      </c>
      <c r="Z177" s="228">
        <v>6.8</v>
      </c>
      <c r="AA177" s="228">
        <v>-6.8</v>
      </c>
      <c r="AB177" s="229">
        <v>0</v>
      </c>
      <c r="AC177" s="228">
        <v>0</v>
      </c>
      <c r="AD177" s="228">
        <v>6.8</v>
      </c>
      <c r="AE177" s="228">
        <v>-6.8</v>
      </c>
      <c r="AF177" s="229">
        <v>0</v>
      </c>
      <c r="AG177" s="228">
        <v>10.5</v>
      </c>
      <c r="AH177" s="228">
        <v>17</v>
      </c>
      <c r="AI177" s="228">
        <v>-6.5</v>
      </c>
      <c r="AJ177" s="229">
        <v>2.5999999999999999E-3</v>
      </c>
      <c r="AK177" s="228">
        <v>0</v>
      </c>
      <c r="AL177" s="228">
        <v>0</v>
      </c>
      <c r="AM177" s="228">
        <v>0</v>
      </c>
      <c r="AN177" s="229">
        <v>0</v>
      </c>
      <c r="AO177" s="231">
        <v>4103.37</v>
      </c>
      <c r="AP177" s="231">
        <v>4113.87</v>
      </c>
      <c r="AQ177" s="228">
        <v>0</v>
      </c>
      <c r="AR177" s="230">
        <v>203000</v>
      </c>
      <c r="AS177" s="230">
        <v>139650</v>
      </c>
      <c r="AT177" s="230">
        <v>63350</v>
      </c>
      <c r="AU177" s="229">
        <v>0.4536</v>
      </c>
      <c r="AV177" s="230">
        <v>168525</v>
      </c>
      <c r="AW177" s="230">
        <v>121100</v>
      </c>
      <c r="AX177" s="230">
        <v>47425</v>
      </c>
      <c r="AY177" s="229">
        <v>0.3916</v>
      </c>
      <c r="AZ177" s="230">
        <v>33950</v>
      </c>
      <c r="BA177" s="230">
        <v>17850</v>
      </c>
      <c r="BB177" s="230">
        <v>16100</v>
      </c>
      <c r="BC177" s="229">
        <v>0.90200000000000002</v>
      </c>
      <c r="BD177" s="228">
        <v>0</v>
      </c>
      <c r="BE177" s="228">
        <v>0</v>
      </c>
      <c r="BF177" s="228">
        <v>0</v>
      </c>
      <c r="BG177" s="229">
        <v>0</v>
      </c>
      <c r="BH177" s="230">
        <v>663950</v>
      </c>
      <c r="BI177" s="230">
        <v>502775</v>
      </c>
      <c r="BJ177" s="230">
        <v>161175</v>
      </c>
      <c r="BK177" s="229">
        <v>0.3206</v>
      </c>
      <c r="BL177" s="230">
        <v>221725</v>
      </c>
      <c r="BM177" s="230">
        <v>118825</v>
      </c>
      <c r="BN177" s="230">
        <v>102900</v>
      </c>
      <c r="BO177" s="229">
        <v>0.86599999999999999</v>
      </c>
      <c r="BP177" s="230">
        <v>1088675</v>
      </c>
      <c r="BQ177" s="230">
        <v>761250</v>
      </c>
      <c r="BR177" s="230">
        <v>327425</v>
      </c>
      <c r="BS177" s="229">
        <v>0.43009999999999998</v>
      </c>
      <c r="BT177" s="230">
        <v>159596</v>
      </c>
      <c r="BU177" s="230">
        <v>64462</v>
      </c>
      <c r="BV177" s="230">
        <v>95134</v>
      </c>
      <c r="BW177" s="229">
        <v>1.4758</v>
      </c>
      <c r="BX177" s="230">
        <v>1501675</v>
      </c>
      <c r="BY177" s="230">
        <v>1484000</v>
      </c>
      <c r="BZ177" s="230">
        <v>17675</v>
      </c>
      <c r="CA177" s="229">
        <v>1.1900000000000001E-2</v>
      </c>
      <c r="CB177" s="230">
        <v>1452150</v>
      </c>
      <c r="CC177" s="230">
        <v>1447950</v>
      </c>
      <c r="CD177" s="230">
        <v>4200</v>
      </c>
      <c r="CE177" s="229">
        <v>2.8999999999999998E-3</v>
      </c>
      <c r="CF177" s="230">
        <v>47425</v>
      </c>
      <c r="CG177" s="230">
        <v>34300</v>
      </c>
      <c r="CH177" s="230">
        <v>13125</v>
      </c>
      <c r="CI177" s="229">
        <v>0.38269999999999998</v>
      </c>
      <c r="CJ177" s="228">
        <v>0</v>
      </c>
      <c r="CK177" s="228">
        <v>0</v>
      </c>
      <c r="CL177" s="228">
        <v>0</v>
      </c>
      <c r="CM177" s="229">
        <v>0</v>
      </c>
      <c r="CN177" s="230">
        <v>550725</v>
      </c>
      <c r="CO177" s="230">
        <v>527275</v>
      </c>
      <c r="CP177" s="230">
        <v>23450</v>
      </c>
      <c r="CQ177" s="229">
        <v>4.4499999999999998E-2</v>
      </c>
      <c r="CR177" s="230">
        <v>291725</v>
      </c>
      <c r="CS177" s="230">
        <v>291900</v>
      </c>
      <c r="CT177" s="228">
        <v>-175</v>
      </c>
      <c r="CU177" s="229">
        <v>-5.9999999999999995E-4</v>
      </c>
      <c r="CV177" s="230">
        <v>2344125</v>
      </c>
      <c r="CW177" s="230">
        <v>2303175</v>
      </c>
      <c r="CX177" s="230">
        <v>40950</v>
      </c>
      <c r="CY177" s="229">
        <v>1.78E-2</v>
      </c>
      <c r="CZ177" s="228">
        <v>27.6</v>
      </c>
      <c r="DA177" s="228">
        <v>26.1</v>
      </c>
      <c r="DB177" s="228">
        <v>1.5</v>
      </c>
      <c r="DC177" s="228">
        <v>1.5</v>
      </c>
      <c r="DD177" s="228">
        <v>31.63</v>
      </c>
      <c r="DE177" s="228">
        <v>31.56</v>
      </c>
      <c r="DF177" s="228">
        <v>-4.03</v>
      </c>
      <c r="DG177" s="228">
        <v>7.0000000000000007E-2</v>
      </c>
      <c r="DH177" s="228">
        <v>27.79</v>
      </c>
      <c r="DI177" s="228">
        <v>25.88</v>
      </c>
      <c r="DJ177" s="228">
        <v>1.91</v>
      </c>
      <c r="DK177" s="228">
        <v>1.91</v>
      </c>
      <c r="DL177" s="228">
        <v>27.04</v>
      </c>
      <c r="DM177" s="228">
        <v>27.04</v>
      </c>
      <c r="DN177" s="228">
        <v>0</v>
      </c>
      <c r="DO177" s="228">
        <v>0</v>
      </c>
      <c r="DP177" s="228">
        <v>0.53</v>
      </c>
      <c r="DQ177" s="228">
        <v>0.55000000000000004</v>
      </c>
      <c r="DR177" s="228">
        <v>-0.02</v>
      </c>
      <c r="DS177" s="229">
        <v>-3.6400000000000002E-2</v>
      </c>
      <c r="DT177" s="231">
        <v>4500</v>
      </c>
      <c r="DU177" s="231">
        <v>4100</v>
      </c>
      <c r="DV177" s="228">
        <v>0.33</v>
      </c>
      <c r="DW177" s="228">
        <v>0.24</v>
      </c>
      <c r="DX177" s="228">
        <v>0.09</v>
      </c>
      <c r="DY177" s="229">
        <v>0.375</v>
      </c>
      <c r="DZ177" s="229">
        <v>3.1600000000000003E-2</v>
      </c>
      <c r="EA177" s="230">
        <v>34300</v>
      </c>
      <c r="EB177" s="229">
        <v>2.5999999999999999E-3</v>
      </c>
      <c r="EC177" s="229">
        <v>3.1600000000000003E-2</v>
      </c>
      <c r="ED177" s="228">
        <v>10.5</v>
      </c>
      <c r="EE177" s="229">
        <v>2.5999999999999999E-3</v>
      </c>
      <c r="EF177" s="230">
        <v>88681</v>
      </c>
      <c r="EG177" s="230">
        <v>35935</v>
      </c>
      <c r="EH177" s="229">
        <v>1.4678</v>
      </c>
      <c r="EI177" s="229">
        <v>0.55569999999999997</v>
      </c>
      <c r="EJ177" s="231">
        <v>28531.49</v>
      </c>
      <c r="EK177" s="231">
        <v>9028.2999999999993</v>
      </c>
      <c r="EL177" s="231">
        <v>8333.6</v>
      </c>
      <c r="EM177" s="228">
        <v>0</v>
      </c>
      <c r="EN177" s="231">
        <v>45893.39</v>
      </c>
      <c r="EO177" s="231">
        <v>32259.99</v>
      </c>
      <c r="EP177" s="231">
        <v>13633.4</v>
      </c>
      <c r="EQ177" s="229">
        <v>0.42259999999999998</v>
      </c>
      <c r="ER177" s="231">
        <v>23929</v>
      </c>
      <c r="ES177" s="231">
        <v>11573</v>
      </c>
      <c r="ET177" s="231">
        <v>61274</v>
      </c>
      <c r="EU177" s="231">
        <v>16356551</v>
      </c>
      <c r="EV177" s="231">
        <v>96775</v>
      </c>
      <c r="EW177" s="231">
        <v>96662</v>
      </c>
      <c r="EX177" s="228">
        <v>113</v>
      </c>
      <c r="EY177" s="229">
        <v>1.1999999999999999E-3</v>
      </c>
      <c r="EZ177" s="229">
        <v>0.14330000000000001</v>
      </c>
      <c r="FA177" s="227" t="s">
        <v>567</v>
      </c>
      <c r="FB177" s="161">
        <f t="shared" si="4"/>
        <v>0</v>
      </c>
    </row>
    <row r="178" spans="1:158" ht="17.25" thickBot="1" x14ac:dyDescent="0.3">
      <c r="A178" s="226">
        <v>45860</v>
      </c>
      <c r="B178" s="227" t="s">
        <v>172</v>
      </c>
      <c r="C178" s="227" t="s">
        <v>275</v>
      </c>
      <c r="D178" s="228">
        <v>8000</v>
      </c>
      <c r="E178" s="228">
        <v>109.47</v>
      </c>
      <c r="F178" s="228">
        <v>112.73</v>
      </c>
      <c r="G178" s="228">
        <v>-3.26</v>
      </c>
      <c r="H178" s="229">
        <v>-2.8899999999999999E-2</v>
      </c>
      <c r="I178" s="228">
        <v>109.33</v>
      </c>
      <c r="J178" s="228">
        <v>112.6</v>
      </c>
      <c r="K178" s="228">
        <v>-3.27</v>
      </c>
      <c r="L178" s="229">
        <v>-2.9000000000000001E-2</v>
      </c>
      <c r="M178" s="228">
        <v>109.47</v>
      </c>
      <c r="N178" s="228">
        <v>112.73</v>
      </c>
      <c r="O178" s="228">
        <v>-3.26</v>
      </c>
      <c r="P178" s="229">
        <v>-2.8899999999999999E-2</v>
      </c>
      <c r="Q178" s="228">
        <v>110.01</v>
      </c>
      <c r="R178" s="228">
        <v>113.35</v>
      </c>
      <c r="S178" s="228">
        <v>-3.34</v>
      </c>
      <c r="T178" s="229">
        <v>-2.9499999999999998E-2</v>
      </c>
      <c r="U178" s="228">
        <v>0</v>
      </c>
      <c r="V178" s="228">
        <v>0</v>
      </c>
      <c r="W178" s="228">
        <v>0</v>
      </c>
      <c r="X178" s="229">
        <v>0</v>
      </c>
      <c r="Y178" s="228">
        <v>0.14000000000000001</v>
      </c>
      <c r="Z178" s="228">
        <v>0.13</v>
      </c>
      <c r="AA178" s="228">
        <v>0.01</v>
      </c>
      <c r="AB178" s="229">
        <v>1.2999999999999999E-3</v>
      </c>
      <c r="AC178" s="228">
        <v>0.14000000000000001</v>
      </c>
      <c r="AD178" s="228">
        <v>0.13</v>
      </c>
      <c r="AE178" s="228">
        <v>0.01</v>
      </c>
      <c r="AF178" s="229">
        <v>1.2999999999999999E-3</v>
      </c>
      <c r="AG178" s="228">
        <v>0.68</v>
      </c>
      <c r="AH178" s="228">
        <v>0.75</v>
      </c>
      <c r="AI178" s="228">
        <v>-7.0000000000000007E-2</v>
      </c>
      <c r="AJ178" s="229">
        <v>6.1999999999999998E-3</v>
      </c>
      <c r="AK178" s="228">
        <v>0</v>
      </c>
      <c r="AL178" s="228">
        <v>0</v>
      </c>
      <c r="AM178" s="228">
        <v>0</v>
      </c>
      <c r="AN178" s="229">
        <v>0</v>
      </c>
      <c r="AO178" s="228">
        <v>110.71</v>
      </c>
      <c r="AP178" s="228">
        <v>111.29</v>
      </c>
      <c r="AQ178" s="228">
        <v>0</v>
      </c>
      <c r="AR178" s="230">
        <v>61360000</v>
      </c>
      <c r="AS178" s="230">
        <v>42840000</v>
      </c>
      <c r="AT178" s="230">
        <v>18520000</v>
      </c>
      <c r="AU178" s="229">
        <v>0.43230000000000002</v>
      </c>
      <c r="AV178" s="230">
        <v>43888000</v>
      </c>
      <c r="AW178" s="230">
        <v>34240000</v>
      </c>
      <c r="AX178" s="230">
        <v>9648000</v>
      </c>
      <c r="AY178" s="229">
        <v>0.28179999999999999</v>
      </c>
      <c r="AZ178" s="230">
        <v>15696000</v>
      </c>
      <c r="BA178" s="230">
        <v>7520000</v>
      </c>
      <c r="BB178" s="230">
        <v>8176000</v>
      </c>
      <c r="BC178" s="229">
        <v>1.0871999999999999</v>
      </c>
      <c r="BD178" s="228">
        <v>0</v>
      </c>
      <c r="BE178" s="228">
        <v>0</v>
      </c>
      <c r="BF178" s="228">
        <v>0</v>
      </c>
      <c r="BG178" s="229">
        <v>0</v>
      </c>
      <c r="BH178" s="230">
        <v>135192000</v>
      </c>
      <c r="BI178" s="230">
        <v>109104000</v>
      </c>
      <c r="BJ178" s="230">
        <v>26088000</v>
      </c>
      <c r="BK178" s="229">
        <v>0.23910000000000001</v>
      </c>
      <c r="BL178" s="230">
        <v>73080000</v>
      </c>
      <c r="BM178" s="230">
        <v>56472000</v>
      </c>
      <c r="BN178" s="230">
        <v>16608000</v>
      </c>
      <c r="BO178" s="229">
        <v>0.29409999999999997</v>
      </c>
      <c r="BP178" s="230">
        <v>269632000</v>
      </c>
      <c r="BQ178" s="230">
        <v>208416000</v>
      </c>
      <c r="BR178" s="230">
        <v>61216000</v>
      </c>
      <c r="BS178" s="229">
        <v>0.29370000000000002</v>
      </c>
      <c r="BT178" s="230">
        <v>18470395</v>
      </c>
      <c r="BU178" s="230">
        <v>11906395</v>
      </c>
      <c r="BV178" s="230">
        <v>6564000</v>
      </c>
      <c r="BW178" s="229">
        <v>0.55130000000000001</v>
      </c>
      <c r="BX178" s="230">
        <v>238192000</v>
      </c>
      <c r="BY178" s="230">
        <v>230768000</v>
      </c>
      <c r="BZ178" s="230">
        <v>7424000</v>
      </c>
      <c r="CA178" s="229">
        <v>3.2199999999999999E-2</v>
      </c>
      <c r="CB178" s="230">
        <v>193784000</v>
      </c>
      <c r="CC178" s="230">
        <v>196984000</v>
      </c>
      <c r="CD178" s="230">
        <v>-3200000</v>
      </c>
      <c r="CE178" s="229">
        <v>-1.6199999999999999E-2</v>
      </c>
      <c r="CF178" s="230">
        <v>40632000</v>
      </c>
      <c r="CG178" s="230">
        <v>31088000</v>
      </c>
      <c r="CH178" s="230">
        <v>9544000</v>
      </c>
      <c r="CI178" s="229">
        <v>0.307</v>
      </c>
      <c r="CJ178" s="228">
        <v>0</v>
      </c>
      <c r="CK178" s="228">
        <v>0</v>
      </c>
      <c r="CL178" s="228">
        <v>0</v>
      </c>
      <c r="CM178" s="229">
        <v>0</v>
      </c>
      <c r="CN178" s="230">
        <v>133936000</v>
      </c>
      <c r="CO178" s="230">
        <v>118304000</v>
      </c>
      <c r="CP178" s="230">
        <v>15632000</v>
      </c>
      <c r="CQ178" s="229">
        <v>0.1321</v>
      </c>
      <c r="CR178" s="230">
        <v>98456000</v>
      </c>
      <c r="CS178" s="230">
        <v>93904000</v>
      </c>
      <c r="CT178" s="230">
        <v>4552000</v>
      </c>
      <c r="CU178" s="229">
        <v>4.8500000000000001E-2</v>
      </c>
      <c r="CV178" s="230">
        <v>470584000</v>
      </c>
      <c r="CW178" s="230">
        <v>442976000</v>
      </c>
      <c r="CX178" s="230">
        <v>27608000</v>
      </c>
      <c r="CY178" s="229">
        <v>6.2300000000000001E-2</v>
      </c>
      <c r="CZ178" s="228">
        <v>33.21</v>
      </c>
      <c r="DA178" s="228">
        <v>31.35</v>
      </c>
      <c r="DB178" s="228">
        <v>1.86</v>
      </c>
      <c r="DC178" s="228">
        <v>1.86</v>
      </c>
      <c r="DD178" s="228">
        <v>39.97</v>
      </c>
      <c r="DE178" s="228">
        <v>39.869999999999997</v>
      </c>
      <c r="DF178" s="228">
        <v>-6.76</v>
      </c>
      <c r="DG178" s="228">
        <v>0.1</v>
      </c>
      <c r="DH178" s="228">
        <v>34</v>
      </c>
      <c r="DI178" s="228">
        <v>31.13</v>
      </c>
      <c r="DJ178" s="228">
        <v>2.87</v>
      </c>
      <c r="DK178" s="228">
        <v>2.87</v>
      </c>
      <c r="DL178" s="228">
        <v>31.75</v>
      </c>
      <c r="DM178" s="228">
        <v>31.78</v>
      </c>
      <c r="DN178" s="228">
        <v>-0.03</v>
      </c>
      <c r="DO178" s="228">
        <v>-0.03</v>
      </c>
      <c r="DP178" s="228">
        <v>0.74</v>
      </c>
      <c r="DQ178" s="228">
        <v>0.79</v>
      </c>
      <c r="DR178" s="228">
        <v>-0.05</v>
      </c>
      <c r="DS178" s="229">
        <v>-6.3299999999999995E-2</v>
      </c>
      <c r="DT178" s="228">
        <v>115</v>
      </c>
      <c r="DU178" s="228">
        <v>110</v>
      </c>
      <c r="DV178" s="228">
        <v>0.54</v>
      </c>
      <c r="DW178" s="228">
        <v>0.52</v>
      </c>
      <c r="DX178" s="228">
        <v>0.02</v>
      </c>
      <c r="DY178" s="229">
        <v>3.85E-2</v>
      </c>
      <c r="DZ178" s="229">
        <v>0.1706</v>
      </c>
      <c r="EA178" s="230">
        <v>31088000</v>
      </c>
      <c r="EB178" s="229">
        <v>4.8999999999999998E-3</v>
      </c>
      <c r="EC178" s="229">
        <v>0.1706</v>
      </c>
      <c r="ED178" s="228">
        <v>0.57999999999999996</v>
      </c>
      <c r="EE178" s="229">
        <v>5.1999999999999998E-3</v>
      </c>
      <c r="EF178" s="230">
        <v>7673201</v>
      </c>
      <c r="EG178" s="230">
        <v>4008228</v>
      </c>
      <c r="EH178" s="229">
        <v>0.91439999999999999</v>
      </c>
      <c r="EI178" s="229">
        <v>0.41539999999999999</v>
      </c>
      <c r="EJ178" s="231">
        <v>156603.81</v>
      </c>
      <c r="EK178" s="231">
        <v>81815.59</v>
      </c>
      <c r="EL178" s="231">
        <v>68042.429999999993</v>
      </c>
      <c r="EM178" s="228">
        <v>0</v>
      </c>
      <c r="EN178" s="231">
        <v>306461.83</v>
      </c>
      <c r="EO178" s="231">
        <v>239858.93</v>
      </c>
      <c r="EP178" s="231">
        <v>66602.899999999994</v>
      </c>
      <c r="EQ178" s="229">
        <v>0.2777</v>
      </c>
      <c r="ER178" s="231">
        <v>153152</v>
      </c>
      <c r="ES178" s="231">
        <v>105595</v>
      </c>
      <c r="ET178" s="231">
        <v>261012</v>
      </c>
      <c r="EU178" s="231">
        <v>687763516</v>
      </c>
      <c r="EV178" s="231">
        <v>519758</v>
      </c>
      <c r="EW178" s="231">
        <v>496988</v>
      </c>
      <c r="EX178" s="231">
        <v>22770</v>
      </c>
      <c r="EY178" s="229">
        <v>4.58E-2</v>
      </c>
      <c r="EZ178" s="229">
        <v>0.68420000000000003</v>
      </c>
      <c r="FA178" s="227" t="s">
        <v>567</v>
      </c>
      <c r="FB178" s="161">
        <f t="shared" si="4"/>
        <v>0</v>
      </c>
    </row>
    <row r="179" spans="1:158" ht="17.25" thickBot="1" x14ac:dyDescent="0.3">
      <c r="A179" s="226">
        <v>45860</v>
      </c>
      <c r="B179" s="227" t="s">
        <v>175</v>
      </c>
      <c r="C179" s="227" t="s">
        <v>672</v>
      </c>
      <c r="D179" s="228">
        <v>650</v>
      </c>
      <c r="E179" s="231">
        <v>1087.8</v>
      </c>
      <c r="F179" s="231">
        <v>1089.5</v>
      </c>
      <c r="G179" s="228">
        <v>-1.7</v>
      </c>
      <c r="H179" s="229">
        <v>-1.6000000000000001E-3</v>
      </c>
      <c r="I179" s="231">
        <v>1086.5999999999999</v>
      </c>
      <c r="J179" s="231">
        <v>1084.2</v>
      </c>
      <c r="K179" s="228">
        <v>2.4</v>
      </c>
      <c r="L179" s="229">
        <v>2.2000000000000001E-3</v>
      </c>
      <c r="M179" s="231">
        <v>1087.8</v>
      </c>
      <c r="N179" s="231">
        <v>1089.5</v>
      </c>
      <c r="O179" s="228">
        <v>-1.7</v>
      </c>
      <c r="P179" s="229">
        <v>-1.6000000000000001E-3</v>
      </c>
      <c r="Q179" s="231">
        <v>1088.2</v>
      </c>
      <c r="R179" s="231">
        <v>1087.9000000000001</v>
      </c>
      <c r="S179" s="228">
        <v>0.3</v>
      </c>
      <c r="T179" s="229">
        <v>2.9999999999999997E-4</v>
      </c>
      <c r="U179" s="228">
        <v>0</v>
      </c>
      <c r="V179" s="228">
        <v>0</v>
      </c>
      <c r="W179" s="228">
        <v>0</v>
      </c>
      <c r="X179" s="229">
        <v>0</v>
      </c>
      <c r="Y179" s="228">
        <v>1.2</v>
      </c>
      <c r="Z179" s="228">
        <v>5.3</v>
      </c>
      <c r="AA179" s="228">
        <v>-4.0999999999999996</v>
      </c>
      <c r="AB179" s="229">
        <v>1.1000000000000001E-3</v>
      </c>
      <c r="AC179" s="228">
        <v>1.2</v>
      </c>
      <c r="AD179" s="228">
        <v>5.3</v>
      </c>
      <c r="AE179" s="228">
        <v>-4.0999999999999996</v>
      </c>
      <c r="AF179" s="229">
        <v>1.1000000000000001E-3</v>
      </c>
      <c r="AG179" s="228">
        <v>1.6</v>
      </c>
      <c r="AH179" s="228">
        <v>3.7</v>
      </c>
      <c r="AI179" s="228">
        <v>-2.1</v>
      </c>
      <c r="AJ179" s="229">
        <v>1.5E-3</v>
      </c>
      <c r="AK179" s="228">
        <v>0</v>
      </c>
      <c r="AL179" s="228">
        <v>0</v>
      </c>
      <c r="AM179" s="228">
        <v>0</v>
      </c>
      <c r="AN179" s="229">
        <v>0</v>
      </c>
      <c r="AO179" s="231">
        <v>1100.99</v>
      </c>
      <c r="AP179" s="231">
        <v>1101.4000000000001</v>
      </c>
      <c r="AQ179" s="228">
        <v>0</v>
      </c>
      <c r="AR179" s="230">
        <v>5193500</v>
      </c>
      <c r="AS179" s="230">
        <v>2943850</v>
      </c>
      <c r="AT179" s="230">
        <v>2249650</v>
      </c>
      <c r="AU179" s="229">
        <v>0.76419999999999999</v>
      </c>
      <c r="AV179" s="230">
        <v>4521400</v>
      </c>
      <c r="AW179" s="230">
        <v>2634450</v>
      </c>
      <c r="AX179" s="230">
        <v>1886950</v>
      </c>
      <c r="AY179" s="229">
        <v>0.71630000000000005</v>
      </c>
      <c r="AZ179" s="230">
        <v>648700</v>
      </c>
      <c r="BA179" s="230">
        <v>300950</v>
      </c>
      <c r="BB179" s="230">
        <v>347750</v>
      </c>
      <c r="BC179" s="229">
        <v>1.1555</v>
      </c>
      <c r="BD179" s="228">
        <v>0</v>
      </c>
      <c r="BE179" s="228">
        <v>0</v>
      </c>
      <c r="BF179" s="228">
        <v>0</v>
      </c>
      <c r="BG179" s="229">
        <v>0</v>
      </c>
      <c r="BH179" s="230">
        <v>14894750</v>
      </c>
      <c r="BI179" s="230">
        <v>4923750</v>
      </c>
      <c r="BJ179" s="230">
        <v>9971000</v>
      </c>
      <c r="BK179" s="229">
        <v>2.0251000000000001</v>
      </c>
      <c r="BL179" s="230">
        <v>5320900</v>
      </c>
      <c r="BM179" s="230">
        <v>3279250</v>
      </c>
      <c r="BN179" s="230">
        <v>2041650</v>
      </c>
      <c r="BO179" s="229">
        <v>0.62260000000000004</v>
      </c>
      <c r="BP179" s="230">
        <v>25409150</v>
      </c>
      <c r="BQ179" s="230">
        <v>11146850</v>
      </c>
      <c r="BR179" s="230">
        <v>14262300</v>
      </c>
      <c r="BS179" s="229">
        <v>1.2795000000000001</v>
      </c>
      <c r="BT179" s="230">
        <v>3837415</v>
      </c>
      <c r="BU179" s="230">
        <v>1277963</v>
      </c>
      <c r="BV179" s="230">
        <v>2559452</v>
      </c>
      <c r="BW179" s="229">
        <v>2.0028000000000001</v>
      </c>
      <c r="BX179" s="230">
        <v>9972300</v>
      </c>
      <c r="BY179" s="230">
        <v>10273250</v>
      </c>
      <c r="BZ179" s="230">
        <v>-300950</v>
      </c>
      <c r="CA179" s="229">
        <v>-2.93E-2</v>
      </c>
      <c r="CB179" s="230">
        <v>9399650</v>
      </c>
      <c r="CC179" s="230">
        <v>9950200</v>
      </c>
      <c r="CD179" s="230">
        <v>-550550</v>
      </c>
      <c r="CE179" s="229">
        <v>-5.5300000000000002E-2</v>
      </c>
      <c r="CF179" s="230">
        <v>542100</v>
      </c>
      <c r="CG179" s="230">
        <v>308750</v>
      </c>
      <c r="CH179" s="230">
        <v>233350</v>
      </c>
      <c r="CI179" s="229">
        <v>0.75580000000000003</v>
      </c>
      <c r="CJ179" s="228">
        <v>0</v>
      </c>
      <c r="CK179" s="228">
        <v>0</v>
      </c>
      <c r="CL179" s="228">
        <v>0</v>
      </c>
      <c r="CM179" s="229">
        <v>0</v>
      </c>
      <c r="CN179" s="230">
        <v>3379350</v>
      </c>
      <c r="CO179" s="230">
        <v>2599350</v>
      </c>
      <c r="CP179" s="230">
        <v>780000</v>
      </c>
      <c r="CQ179" s="229">
        <v>0.30009999999999998</v>
      </c>
      <c r="CR179" s="230">
        <v>1834300</v>
      </c>
      <c r="CS179" s="230">
        <v>1818050</v>
      </c>
      <c r="CT179" s="230">
        <v>16250</v>
      </c>
      <c r="CU179" s="229">
        <v>8.8999999999999999E-3</v>
      </c>
      <c r="CV179" s="230">
        <v>15185950</v>
      </c>
      <c r="CW179" s="230">
        <v>14690650</v>
      </c>
      <c r="CX179" s="230">
        <v>495300</v>
      </c>
      <c r="CY179" s="229">
        <v>3.3700000000000001E-2</v>
      </c>
      <c r="CZ179" s="228">
        <v>34.270000000000003</v>
      </c>
      <c r="DA179" s="228">
        <v>41.72</v>
      </c>
      <c r="DB179" s="228">
        <v>-7.45</v>
      </c>
      <c r="DC179" s="228">
        <v>-7.45</v>
      </c>
      <c r="DD179" s="228">
        <v>46.3</v>
      </c>
      <c r="DE179" s="228">
        <v>46.41</v>
      </c>
      <c r="DF179" s="228">
        <v>-12.03</v>
      </c>
      <c r="DG179" s="228">
        <v>-0.11</v>
      </c>
      <c r="DH179" s="228">
        <v>34.119999999999997</v>
      </c>
      <c r="DI179" s="228">
        <v>40.81</v>
      </c>
      <c r="DJ179" s="228">
        <v>-6.69</v>
      </c>
      <c r="DK179" s="228">
        <v>-6.69</v>
      </c>
      <c r="DL179" s="228">
        <v>34.68</v>
      </c>
      <c r="DM179" s="228">
        <v>43.09</v>
      </c>
      <c r="DN179" s="228">
        <v>-8.41</v>
      </c>
      <c r="DO179" s="228">
        <v>-8.41</v>
      </c>
      <c r="DP179" s="228">
        <v>0.54</v>
      </c>
      <c r="DQ179" s="228">
        <v>0.7</v>
      </c>
      <c r="DR179" s="228">
        <v>-0.16</v>
      </c>
      <c r="DS179" s="229">
        <v>-0.2286</v>
      </c>
      <c r="DT179" s="231">
        <v>1100</v>
      </c>
      <c r="DU179" s="231">
        <v>1000</v>
      </c>
      <c r="DV179" s="228">
        <v>0.36</v>
      </c>
      <c r="DW179" s="228">
        <v>0.67</v>
      </c>
      <c r="DX179" s="228">
        <v>-0.31</v>
      </c>
      <c r="DY179" s="229">
        <v>-0.4627</v>
      </c>
      <c r="DZ179" s="229">
        <v>5.4399999999999997E-2</v>
      </c>
      <c r="EA179" s="230">
        <v>308750</v>
      </c>
      <c r="EB179" s="229">
        <v>4.0000000000000002E-4</v>
      </c>
      <c r="EC179" s="229">
        <v>5.4399999999999997E-2</v>
      </c>
      <c r="ED179" s="228">
        <v>0.41</v>
      </c>
      <c r="EE179" s="229">
        <v>4.0000000000000002E-4</v>
      </c>
      <c r="EF179" s="230">
        <v>1539737</v>
      </c>
      <c r="EG179" s="230">
        <v>444950</v>
      </c>
      <c r="EH179" s="229">
        <v>2.4605000000000001</v>
      </c>
      <c r="EI179" s="229">
        <v>0.4012</v>
      </c>
      <c r="EJ179" s="231">
        <v>170363.66</v>
      </c>
      <c r="EK179" s="231">
        <v>57521.72</v>
      </c>
      <c r="EL179" s="231">
        <v>57183.199999999997</v>
      </c>
      <c r="EM179" s="228">
        <v>0</v>
      </c>
      <c r="EN179" s="231">
        <v>285068.58</v>
      </c>
      <c r="EO179" s="231">
        <v>122675.96</v>
      </c>
      <c r="EP179" s="231">
        <v>162392.62</v>
      </c>
      <c r="EQ179" s="229">
        <v>1.3238000000000001</v>
      </c>
      <c r="ER179" s="231">
        <v>38684</v>
      </c>
      <c r="ES179" s="231">
        <v>19271</v>
      </c>
      <c r="ET179" s="231">
        <v>108481</v>
      </c>
      <c r="EU179" s="231">
        <v>37374767</v>
      </c>
      <c r="EV179" s="231">
        <v>166436</v>
      </c>
      <c r="EW179" s="231">
        <v>160768</v>
      </c>
      <c r="EX179" s="231">
        <v>5668</v>
      </c>
      <c r="EY179" s="229">
        <v>3.5299999999999998E-2</v>
      </c>
      <c r="EZ179" s="229">
        <v>0.40629999999999999</v>
      </c>
      <c r="FA179" s="227" t="s">
        <v>568</v>
      </c>
      <c r="FB179" s="161">
        <f t="shared" si="4"/>
        <v>0</v>
      </c>
    </row>
    <row r="180" spans="1:158" ht="17.25" thickBot="1" x14ac:dyDescent="0.3">
      <c r="A180" s="226">
        <v>45860</v>
      </c>
      <c r="B180" s="227" t="s">
        <v>616</v>
      </c>
      <c r="C180" s="227" t="s">
        <v>574</v>
      </c>
      <c r="D180" s="228">
        <v>350</v>
      </c>
      <c r="E180" s="231">
        <v>1826.6</v>
      </c>
      <c r="F180" s="231">
        <v>1808.8</v>
      </c>
      <c r="G180" s="228">
        <v>17.8</v>
      </c>
      <c r="H180" s="229">
        <v>9.7999999999999997E-3</v>
      </c>
      <c r="I180" s="231">
        <v>1820.8</v>
      </c>
      <c r="J180" s="231">
        <v>1801.9</v>
      </c>
      <c r="K180" s="228">
        <v>18.899999999999999</v>
      </c>
      <c r="L180" s="229">
        <v>1.0500000000000001E-2</v>
      </c>
      <c r="M180" s="231">
        <v>1826.6</v>
      </c>
      <c r="N180" s="231">
        <v>1808.8</v>
      </c>
      <c r="O180" s="228">
        <v>17.8</v>
      </c>
      <c r="P180" s="229">
        <v>9.7999999999999997E-3</v>
      </c>
      <c r="Q180" s="231">
        <v>1835.5</v>
      </c>
      <c r="R180" s="231">
        <v>1816.8</v>
      </c>
      <c r="S180" s="228">
        <v>18.7</v>
      </c>
      <c r="T180" s="229">
        <v>1.03E-2</v>
      </c>
      <c r="U180" s="228">
        <v>0</v>
      </c>
      <c r="V180" s="228">
        <v>0</v>
      </c>
      <c r="W180" s="228">
        <v>0</v>
      </c>
      <c r="X180" s="229">
        <v>0</v>
      </c>
      <c r="Y180" s="228">
        <v>5.8</v>
      </c>
      <c r="Z180" s="228">
        <v>6.9</v>
      </c>
      <c r="AA180" s="228">
        <v>-1.1000000000000001</v>
      </c>
      <c r="AB180" s="229">
        <v>3.2000000000000002E-3</v>
      </c>
      <c r="AC180" s="228">
        <v>5.8</v>
      </c>
      <c r="AD180" s="228">
        <v>6.9</v>
      </c>
      <c r="AE180" s="228">
        <v>-1.1000000000000001</v>
      </c>
      <c r="AF180" s="229">
        <v>3.2000000000000002E-3</v>
      </c>
      <c r="AG180" s="228">
        <v>14.7</v>
      </c>
      <c r="AH180" s="228">
        <v>14.9</v>
      </c>
      <c r="AI180" s="228">
        <v>-0.2</v>
      </c>
      <c r="AJ180" s="229">
        <v>8.0999999999999996E-3</v>
      </c>
      <c r="AK180" s="228">
        <v>0</v>
      </c>
      <c r="AL180" s="228">
        <v>0</v>
      </c>
      <c r="AM180" s="228">
        <v>0</v>
      </c>
      <c r="AN180" s="229">
        <v>0</v>
      </c>
      <c r="AO180" s="231">
        <v>1821.89</v>
      </c>
      <c r="AP180" s="231">
        <v>1832.13</v>
      </c>
      <c r="AQ180" s="228">
        <v>0</v>
      </c>
      <c r="AR180" s="230">
        <v>1043350</v>
      </c>
      <c r="AS180" s="230">
        <v>1341900</v>
      </c>
      <c r="AT180" s="230">
        <v>-298550</v>
      </c>
      <c r="AU180" s="229">
        <v>-0.2225</v>
      </c>
      <c r="AV180" s="230">
        <v>876400</v>
      </c>
      <c r="AW180" s="230">
        <v>1179150</v>
      </c>
      <c r="AX180" s="230">
        <v>-302750</v>
      </c>
      <c r="AY180" s="229">
        <v>-0.25679999999999997</v>
      </c>
      <c r="AZ180" s="230">
        <v>161700</v>
      </c>
      <c r="BA180" s="230">
        <v>159250</v>
      </c>
      <c r="BB180" s="230">
        <v>2450</v>
      </c>
      <c r="BC180" s="229">
        <v>1.54E-2</v>
      </c>
      <c r="BD180" s="228">
        <v>0</v>
      </c>
      <c r="BE180" s="228">
        <v>0</v>
      </c>
      <c r="BF180" s="228">
        <v>0</v>
      </c>
      <c r="BG180" s="229">
        <v>0</v>
      </c>
      <c r="BH180" s="230">
        <v>2385250</v>
      </c>
      <c r="BI180" s="230">
        <v>2081450</v>
      </c>
      <c r="BJ180" s="230">
        <v>303800</v>
      </c>
      <c r="BK180" s="229">
        <v>0.14599999999999999</v>
      </c>
      <c r="BL180" s="230">
        <v>918050</v>
      </c>
      <c r="BM180" s="230">
        <v>906850</v>
      </c>
      <c r="BN180" s="230">
        <v>11200</v>
      </c>
      <c r="BO180" s="229">
        <v>1.24E-2</v>
      </c>
      <c r="BP180" s="230">
        <v>4346650</v>
      </c>
      <c r="BQ180" s="230">
        <v>4330200</v>
      </c>
      <c r="BR180" s="230">
        <v>16450</v>
      </c>
      <c r="BS180" s="229">
        <v>3.8E-3</v>
      </c>
      <c r="BT180" s="230">
        <v>1006709</v>
      </c>
      <c r="BU180" s="230">
        <v>2413133</v>
      </c>
      <c r="BV180" s="230">
        <v>-1406424</v>
      </c>
      <c r="BW180" s="229">
        <v>-0.58279999999999998</v>
      </c>
      <c r="BX180" s="230">
        <v>7836500</v>
      </c>
      <c r="BY180" s="230">
        <v>7797650</v>
      </c>
      <c r="BZ180" s="230">
        <v>38850</v>
      </c>
      <c r="CA180" s="229">
        <v>5.0000000000000001E-3</v>
      </c>
      <c r="CB180" s="230">
        <v>7611100</v>
      </c>
      <c r="CC180" s="230">
        <v>7610750</v>
      </c>
      <c r="CD180" s="228">
        <v>350</v>
      </c>
      <c r="CE180" s="229">
        <v>0</v>
      </c>
      <c r="CF180" s="230">
        <v>216300</v>
      </c>
      <c r="CG180" s="230">
        <v>179200</v>
      </c>
      <c r="CH180" s="230">
        <v>37100</v>
      </c>
      <c r="CI180" s="229">
        <v>0.20699999999999999</v>
      </c>
      <c r="CJ180" s="228">
        <v>0</v>
      </c>
      <c r="CK180" s="228">
        <v>0</v>
      </c>
      <c r="CL180" s="228">
        <v>0</v>
      </c>
      <c r="CM180" s="229">
        <v>0</v>
      </c>
      <c r="CN180" s="230">
        <v>1712900</v>
      </c>
      <c r="CO180" s="230">
        <v>1778350</v>
      </c>
      <c r="CP180" s="230">
        <v>-65450</v>
      </c>
      <c r="CQ180" s="229">
        <v>-3.6799999999999999E-2</v>
      </c>
      <c r="CR180" s="230">
        <v>1130850</v>
      </c>
      <c r="CS180" s="230">
        <v>1167250</v>
      </c>
      <c r="CT180" s="230">
        <v>-36400</v>
      </c>
      <c r="CU180" s="229">
        <v>-3.1199999999999999E-2</v>
      </c>
      <c r="CV180" s="230">
        <v>10680250</v>
      </c>
      <c r="CW180" s="230">
        <v>10743250</v>
      </c>
      <c r="CX180" s="230">
        <v>-63000</v>
      </c>
      <c r="CY180" s="229">
        <v>-5.8999999999999999E-3</v>
      </c>
      <c r="CZ180" s="228">
        <v>35.28</v>
      </c>
      <c r="DA180" s="228">
        <v>35.21</v>
      </c>
      <c r="DB180" s="228">
        <v>7.0000000000000007E-2</v>
      </c>
      <c r="DC180" s="228">
        <v>7.0000000000000007E-2</v>
      </c>
      <c r="DD180" s="228">
        <v>51.82</v>
      </c>
      <c r="DE180" s="228">
        <v>51.93</v>
      </c>
      <c r="DF180" s="228">
        <v>-16.54</v>
      </c>
      <c r="DG180" s="228">
        <v>-0.11</v>
      </c>
      <c r="DH180" s="228">
        <v>35.32</v>
      </c>
      <c r="DI180" s="228">
        <v>35.270000000000003</v>
      </c>
      <c r="DJ180" s="228">
        <v>0.05</v>
      </c>
      <c r="DK180" s="228">
        <v>0.05</v>
      </c>
      <c r="DL180" s="228">
        <v>35.200000000000003</v>
      </c>
      <c r="DM180" s="228">
        <v>35.07</v>
      </c>
      <c r="DN180" s="228">
        <v>0.13</v>
      </c>
      <c r="DO180" s="228">
        <v>0.13</v>
      </c>
      <c r="DP180" s="228">
        <v>0.66</v>
      </c>
      <c r="DQ180" s="228">
        <v>0.66</v>
      </c>
      <c r="DR180" s="228">
        <v>0</v>
      </c>
      <c r="DS180" s="229">
        <v>0</v>
      </c>
      <c r="DT180" s="231">
        <v>1900</v>
      </c>
      <c r="DU180" s="231">
        <v>1700</v>
      </c>
      <c r="DV180" s="228">
        <v>0.38</v>
      </c>
      <c r="DW180" s="228">
        <v>0.44</v>
      </c>
      <c r="DX180" s="228">
        <v>-0.06</v>
      </c>
      <c r="DY180" s="229">
        <v>-0.13639999999999999</v>
      </c>
      <c r="DZ180" s="229">
        <v>2.76E-2</v>
      </c>
      <c r="EA180" s="230">
        <v>179200</v>
      </c>
      <c r="EB180" s="229">
        <v>4.8999999999999998E-3</v>
      </c>
      <c r="EC180" s="229">
        <v>2.76E-2</v>
      </c>
      <c r="ED180" s="228">
        <v>10.24</v>
      </c>
      <c r="EE180" s="229">
        <v>5.5999999999999999E-3</v>
      </c>
      <c r="EF180" s="230">
        <v>617394</v>
      </c>
      <c r="EG180" s="230">
        <v>1660994</v>
      </c>
      <c r="EH180" s="229">
        <v>-0.62829999999999997</v>
      </c>
      <c r="EI180" s="229">
        <v>0.61329999999999996</v>
      </c>
      <c r="EJ180" s="231">
        <v>44991.33</v>
      </c>
      <c r="EK180" s="231">
        <v>16315.67</v>
      </c>
      <c r="EL180" s="231">
        <v>19026.43</v>
      </c>
      <c r="EM180" s="228">
        <v>0</v>
      </c>
      <c r="EN180" s="231">
        <v>80333.429999999993</v>
      </c>
      <c r="EO180" s="231">
        <v>78625.3</v>
      </c>
      <c r="EP180" s="231">
        <v>1708.13</v>
      </c>
      <c r="EQ180" s="229">
        <v>2.1700000000000001E-2</v>
      </c>
      <c r="ER180" s="231">
        <v>32660</v>
      </c>
      <c r="ES180" s="231">
        <v>20156</v>
      </c>
      <c r="ET180" s="231">
        <v>143162</v>
      </c>
      <c r="EU180" s="231">
        <v>91593795</v>
      </c>
      <c r="EV180" s="231">
        <v>195979</v>
      </c>
      <c r="EW180" s="231">
        <v>195618</v>
      </c>
      <c r="EX180" s="228">
        <v>361</v>
      </c>
      <c r="EY180" s="229">
        <v>1.8E-3</v>
      </c>
      <c r="EZ180" s="229">
        <v>0.1166</v>
      </c>
      <c r="FA180" s="227" t="s">
        <v>555</v>
      </c>
      <c r="FB180" s="161">
        <f t="shared" si="4"/>
        <v>0</v>
      </c>
    </row>
    <row r="181" spans="1:158" ht="17.25" thickBot="1" x14ac:dyDescent="0.3">
      <c r="A181" s="226">
        <v>45860</v>
      </c>
      <c r="B181" s="227" t="s">
        <v>184</v>
      </c>
      <c r="C181" s="227" t="s">
        <v>519</v>
      </c>
      <c r="D181" s="228">
        <v>125</v>
      </c>
      <c r="E181" s="231">
        <v>6968.5</v>
      </c>
      <c r="F181" s="231">
        <v>7056.5</v>
      </c>
      <c r="G181" s="228">
        <v>-88</v>
      </c>
      <c r="H181" s="229">
        <v>-1.2500000000000001E-2</v>
      </c>
      <c r="I181" s="231">
        <v>6960.5</v>
      </c>
      <c r="J181" s="231">
        <v>7042</v>
      </c>
      <c r="K181" s="228">
        <v>-81.5</v>
      </c>
      <c r="L181" s="229">
        <v>-1.1599999999999999E-2</v>
      </c>
      <c r="M181" s="231">
        <v>6968.5</v>
      </c>
      <c r="N181" s="231">
        <v>7056.5</v>
      </c>
      <c r="O181" s="228">
        <v>-88</v>
      </c>
      <c r="P181" s="229">
        <v>-1.2500000000000001E-2</v>
      </c>
      <c r="Q181" s="231">
        <v>7004.5</v>
      </c>
      <c r="R181" s="231">
        <v>7091.5</v>
      </c>
      <c r="S181" s="228">
        <v>-87</v>
      </c>
      <c r="T181" s="229">
        <v>-1.23E-2</v>
      </c>
      <c r="U181" s="228">
        <v>0</v>
      </c>
      <c r="V181" s="228">
        <v>0</v>
      </c>
      <c r="W181" s="228">
        <v>0</v>
      </c>
      <c r="X181" s="229">
        <v>0</v>
      </c>
      <c r="Y181" s="228">
        <v>8</v>
      </c>
      <c r="Z181" s="228">
        <v>14.5</v>
      </c>
      <c r="AA181" s="228">
        <v>-6.5</v>
      </c>
      <c r="AB181" s="229">
        <v>1.1000000000000001E-3</v>
      </c>
      <c r="AC181" s="228">
        <v>8</v>
      </c>
      <c r="AD181" s="228">
        <v>14.5</v>
      </c>
      <c r="AE181" s="228">
        <v>-6.5</v>
      </c>
      <c r="AF181" s="229">
        <v>1.1000000000000001E-3</v>
      </c>
      <c r="AG181" s="228">
        <v>44</v>
      </c>
      <c r="AH181" s="228">
        <v>49.5</v>
      </c>
      <c r="AI181" s="228">
        <v>-5.5</v>
      </c>
      <c r="AJ181" s="229">
        <v>6.3E-3</v>
      </c>
      <c r="AK181" s="228">
        <v>0</v>
      </c>
      <c r="AL181" s="228">
        <v>0</v>
      </c>
      <c r="AM181" s="228">
        <v>0</v>
      </c>
      <c r="AN181" s="229">
        <v>0</v>
      </c>
      <c r="AO181" s="231">
        <v>6998.79</v>
      </c>
      <c r="AP181" s="231">
        <v>7030.39</v>
      </c>
      <c r="AQ181" s="228">
        <v>0</v>
      </c>
      <c r="AR181" s="230">
        <v>429375</v>
      </c>
      <c r="AS181" s="230">
        <v>1008750</v>
      </c>
      <c r="AT181" s="230">
        <v>-579375</v>
      </c>
      <c r="AU181" s="229">
        <v>-0.57430000000000003</v>
      </c>
      <c r="AV181" s="230">
        <v>377000</v>
      </c>
      <c r="AW181" s="230">
        <v>899000</v>
      </c>
      <c r="AX181" s="230">
        <v>-522000</v>
      </c>
      <c r="AY181" s="229">
        <v>-0.5806</v>
      </c>
      <c r="AZ181" s="230">
        <v>48500</v>
      </c>
      <c r="BA181" s="230">
        <v>94125</v>
      </c>
      <c r="BB181" s="230">
        <v>-45625</v>
      </c>
      <c r="BC181" s="229">
        <v>-0.48470000000000002</v>
      </c>
      <c r="BD181" s="228">
        <v>0</v>
      </c>
      <c r="BE181" s="228">
        <v>0</v>
      </c>
      <c r="BF181" s="228">
        <v>0</v>
      </c>
      <c r="BG181" s="229">
        <v>0</v>
      </c>
      <c r="BH181" s="230">
        <v>2472750</v>
      </c>
      <c r="BI181" s="230">
        <v>5959125</v>
      </c>
      <c r="BJ181" s="230">
        <v>-3486375</v>
      </c>
      <c r="BK181" s="229">
        <v>-0.58499999999999996</v>
      </c>
      <c r="BL181" s="230">
        <v>1426250</v>
      </c>
      <c r="BM181" s="230">
        <v>3207875</v>
      </c>
      <c r="BN181" s="230">
        <v>-1781625</v>
      </c>
      <c r="BO181" s="229">
        <v>-0.5554</v>
      </c>
      <c r="BP181" s="230">
        <v>4328375</v>
      </c>
      <c r="BQ181" s="230">
        <v>10175750</v>
      </c>
      <c r="BR181" s="230">
        <v>-5847375</v>
      </c>
      <c r="BS181" s="229">
        <v>-0.5746</v>
      </c>
      <c r="BT181" s="230">
        <v>275467</v>
      </c>
      <c r="BU181" s="230">
        <v>387061</v>
      </c>
      <c r="BV181" s="230">
        <v>-111594</v>
      </c>
      <c r="BW181" s="229">
        <v>-0.2883</v>
      </c>
      <c r="BX181" s="230">
        <v>2384750</v>
      </c>
      <c r="BY181" s="230">
        <v>2421625</v>
      </c>
      <c r="BZ181" s="230">
        <v>-36875</v>
      </c>
      <c r="CA181" s="229">
        <v>-1.52E-2</v>
      </c>
      <c r="CB181" s="230">
        <v>2116375</v>
      </c>
      <c r="CC181" s="230">
        <v>2168625</v>
      </c>
      <c r="CD181" s="230">
        <v>-52250</v>
      </c>
      <c r="CE181" s="229">
        <v>-2.41E-2</v>
      </c>
      <c r="CF181" s="230">
        <v>241000</v>
      </c>
      <c r="CG181" s="230">
        <v>225875</v>
      </c>
      <c r="CH181" s="230">
        <v>15125</v>
      </c>
      <c r="CI181" s="229">
        <v>6.7000000000000004E-2</v>
      </c>
      <c r="CJ181" s="228">
        <v>0</v>
      </c>
      <c r="CK181" s="228">
        <v>0</v>
      </c>
      <c r="CL181" s="228">
        <v>0</v>
      </c>
      <c r="CM181" s="229">
        <v>0</v>
      </c>
      <c r="CN181" s="230">
        <v>1942000</v>
      </c>
      <c r="CO181" s="230">
        <v>2053000</v>
      </c>
      <c r="CP181" s="230">
        <v>-111000</v>
      </c>
      <c r="CQ181" s="229">
        <v>-5.4100000000000002E-2</v>
      </c>
      <c r="CR181" s="230">
        <v>1138375</v>
      </c>
      <c r="CS181" s="230">
        <v>1261750</v>
      </c>
      <c r="CT181" s="230">
        <v>-123375</v>
      </c>
      <c r="CU181" s="229">
        <v>-9.7799999999999998E-2</v>
      </c>
      <c r="CV181" s="230">
        <v>5465125</v>
      </c>
      <c r="CW181" s="230">
        <v>5736375</v>
      </c>
      <c r="CX181" s="230">
        <v>-271250</v>
      </c>
      <c r="CY181" s="229">
        <v>-4.7300000000000002E-2</v>
      </c>
      <c r="CZ181" s="228">
        <v>29.51</v>
      </c>
      <c r="DA181" s="228">
        <v>30.13</v>
      </c>
      <c r="DB181" s="228">
        <v>-0.62</v>
      </c>
      <c r="DC181" s="228">
        <v>-0.62</v>
      </c>
      <c r="DD181" s="228">
        <v>45.46</v>
      </c>
      <c r="DE181" s="228">
        <v>45.55</v>
      </c>
      <c r="DF181" s="228">
        <v>-15.95</v>
      </c>
      <c r="DG181" s="228">
        <v>-0.09</v>
      </c>
      <c r="DH181" s="228">
        <v>29.46</v>
      </c>
      <c r="DI181" s="228">
        <v>29.61</v>
      </c>
      <c r="DJ181" s="228">
        <v>-0.15</v>
      </c>
      <c r="DK181" s="228">
        <v>-0.15</v>
      </c>
      <c r="DL181" s="228">
        <v>29.6</v>
      </c>
      <c r="DM181" s="228">
        <v>31.08</v>
      </c>
      <c r="DN181" s="228">
        <v>-1.48</v>
      </c>
      <c r="DO181" s="228">
        <v>-1.48</v>
      </c>
      <c r="DP181" s="228">
        <v>0.59</v>
      </c>
      <c r="DQ181" s="228">
        <v>0.61</v>
      </c>
      <c r="DR181" s="228">
        <v>-0.02</v>
      </c>
      <c r="DS181" s="229">
        <v>-3.2800000000000003E-2</v>
      </c>
      <c r="DT181" s="231">
        <v>7000</v>
      </c>
      <c r="DU181" s="231">
        <v>6500</v>
      </c>
      <c r="DV181" s="228">
        <v>0.57999999999999996</v>
      </c>
      <c r="DW181" s="228">
        <v>0.54</v>
      </c>
      <c r="DX181" s="228">
        <v>0.04</v>
      </c>
      <c r="DY181" s="229">
        <v>7.4099999999999999E-2</v>
      </c>
      <c r="DZ181" s="229">
        <v>0.1011</v>
      </c>
      <c r="EA181" s="230">
        <v>225875</v>
      </c>
      <c r="EB181" s="229">
        <v>5.1999999999999998E-3</v>
      </c>
      <c r="EC181" s="229">
        <v>0.1011</v>
      </c>
      <c r="ED181" s="228">
        <v>31.6</v>
      </c>
      <c r="EE181" s="229">
        <v>4.4999999999999997E-3</v>
      </c>
      <c r="EF181" s="230">
        <v>140277</v>
      </c>
      <c r="EG181" s="230">
        <v>108710</v>
      </c>
      <c r="EH181" s="229">
        <v>0.29039999999999999</v>
      </c>
      <c r="EI181" s="229">
        <v>0.50919999999999999</v>
      </c>
      <c r="EJ181" s="231">
        <v>180396.26</v>
      </c>
      <c r="EK181" s="231">
        <v>97699.22</v>
      </c>
      <c r="EL181" s="231">
        <v>30068.15</v>
      </c>
      <c r="EM181" s="228">
        <v>0</v>
      </c>
      <c r="EN181" s="231">
        <v>308163.63</v>
      </c>
      <c r="EO181" s="231">
        <v>723839.85</v>
      </c>
      <c r="EP181" s="231">
        <v>-415676.22</v>
      </c>
      <c r="EQ181" s="229">
        <v>-0.57430000000000003</v>
      </c>
      <c r="ER181" s="231">
        <v>137244</v>
      </c>
      <c r="ES181" s="231">
        <v>74702</v>
      </c>
      <c r="ET181" s="231">
        <v>166284</v>
      </c>
      <c r="EU181" s="231">
        <v>11118199</v>
      </c>
      <c r="EV181" s="231">
        <v>378231</v>
      </c>
      <c r="EW181" s="231">
        <v>399338</v>
      </c>
      <c r="EX181" s="231">
        <v>-21107</v>
      </c>
      <c r="EY181" s="229">
        <v>-5.2900000000000003E-2</v>
      </c>
      <c r="EZ181" s="229">
        <v>0.49149999999999999</v>
      </c>
      <c r="FA181" s="227" t="s">
        <v>568</v>
      </c>
      <c r="FB181" s="161">
        <f t="shared" si="4"/>
        <v>0</v>
      </c>
    </row>
    <row r="182" spans="1:158" ht="17.25" thickBot="1" x14ac:dyDescent="0.3">
      <c r="A182" s="226">
        <v>45860</v>
      </c>
      <c r="B182" s="227" t="s">
        <v>175</v>
      </c>
      <c r="C182" s="227" t="s">
        <v>597</v>
      </c>
      <c r="D182" s="228">
        <v>1700</v>
      </c>
      <c r="E182" s="228">
        <v>453.05</v>
      </c>
      <c r="F182" s="228">
        <v>461</v>
      </c>
      <c r="G182" s="228">
        <v>-7.95</v>
      </c>
      <c r="H182" s="229">
        <v>-1.72E-2</v>
      </c>
      <c r="I182" s="228">
        <v>452.4</v>
      </c>
      <c r="J182" s="228">
        <v>458.85</v>
      </c>
      <c r="K182" s="228">
        <v>-6.45</v>
      </c>
      <c r="L182" s="229">
        <v>-1.41E-2</v>
      </c>
      <c r="M182" s="228">
        <v>453.05</v>
      </c>
      <c r="N182" s="228">
        <v>461</v>
      </c>
      <c r="O182" s="228">
        <v>-7.95</v>
      </c>
      <c r="P182" s="229">
        <v>-1.72E-2</v>
      </c>
      <c r="Q182" s="228">
        <v>453.3</v>
      </c>
      <c r="R182" s="228">
        <v>461.65</v>
      </c>
      <c r="S182" s="228">
        <v>-8.35</v>
      </c>
      <c r="T182" s="229">
        <v>-1.8100000000000002E-2</v>
      </c>
      <c r="U182" s="228">
        <v>0</v>
      </c>
      <c r="V182" s="228">
        <v>0</v>
      </c>
      <c r="W182" s="228">
        <v>0</v>
      </c>
      <c r="X182" s="229">
        <v>0</v>
      </c>
      <c r="Y182" s="228">
        <v>0.65</v>
      </c>
      <c r="Z182" s="228">
        <v>2.15</v>
      </c>
      <c r="AA182" s="228">
        <v>-1.5</v>
      </c>
      <c r="AB182" s="229">
        <v>1.4E-3</v>
      </c>
      <c r="AC182" s="228">
        <v>0.65</v>
      </c>
      <c r="AD182" s="228">
        <v>2.15</v>
      </c>
      <c r="AE182" s="228">
        <v>-1.5</v>
      </c>
      <c r="AF182" s="229">
        <v>1.4E-3</v>
      </c>
      <c r="AG182" s="228">
        <v>0.9</v>
      </c>
      <c r="AH182" s="228">
        <v>2.8</v>
      </c>
      <c r="AI182" s="228">
        <v>-1.9</v>
      </c>
      <c r="AJ182" s="229">
        <v>2E-3</v>
      </c>
      <c r="AK182" s="228">
        <v>0</v>
      </c>
      <c r="AL182" s="228">
        <v>0</v>
      </c>
      <c r="AM182" s="228">
        <v>0</v>
      </c>
      <c r="AN182" s="229">
        <v>0</v>
      </c>
      <c r="AO182" s="228">
        <v>457.23</v>
      </c>
      <c r="AP182" s="228">
        <v>459.01</v>
      </c>
      <c r="AQ182" s="228">
        <v>0</v>
      </c>
      <c r="AR182" s="230">
        <v>2237200</v>
      </c>
      <c r="AS182" s="230">
        <v>4462500</v>
      </c>
      <c r="AT182" s="230">
        <v>-2225300</v>
      </c>
      <c r="AU182" s="229">
        <v>-0.49869999999999998</v>
      </c>
      <c r="AV182" s="230">
        <v>1910800</v>
      </c>
      <c r="AW182" s="230">
        <v>4012000</v>
      </c>
      <c r="AX182" s="230">
        <v>-2101200</v>
      </c>
      <c r="AY182" s="229">
        <v>-0.52370000000000005</v>
      </c>
      <c r="AZ182" s="230">
        <v>326400</v>
      </c>
      <c r="BA182" s="230">
        <v>450500</v>
      </c>
      <c r="BB182" s="230">
        <v>-124100</v>
      </c>
      <c r="BC182" s="229">
        <v>-0.27550000000000002</v>
      </c>
      <c r="BD182" s="228">
        <v>0</v>
      </c>
      <c r="BE182" s="228">
        <v>0</v>
      </c>
      <c r="BF182" s="228">
        <v>0</v>
      </c>
      <c r="BG182" s="229">
        <v>0</v>
      </c>
      <c r="BH182" s="230">
        <v>3440800</v>
      </c>
      <c r="BI182" s="230">
        <v>11646700</v>
      </c>
      <c r="BJ182" s="230">
        <v>-8205900</v>
      </c>
      <c r="BK182" s="229">
        <v>-0.7046</v>
      </c>
      <c r="BL182" s="230">
        <v>1133900</v>
      </c>
      <c r="BM182" s="230">
        <v>2704700</v>
      </c>
      <c r="BN182" s="230">
        <v>-1570800</v>
      </c>
      <c r="BO182" s="229">
        <v>-0.58079999999999998</v>
      </c>
      <c r="BP182" s="230">
        <v>6811900</v>
      </c>
      <c r="BQ182" s="230">
        <v>18813900</v>
      </c>
      <c r="BR182" s="230">
        <v>-12002000</v>
      </c>
      <c r="BS182" s="229">
        <v>-0.63790000000000002</v>
      </c>
      <c r="BT182" s="230">
        <v>879348</v>
      </c>
      <c r="BU182" s="230">
        <v>2791558</v>
      </c>
      <c r="BV182" s="230">
        <v>-1912210</v>
      </c>
      <c r="BW182" s="229">
        <v>-0.68500000000000005</v>
      </c>
      <c r="BX182" s="230">
        <v>14524800</v>
      </c>
      <c r="BY182" s="230">
        <v>14660800</v>
      </c>
      <c r="BZ182" s="230">
        <v>-136000</v>
      </c>
      <c r="CA182" s="229">
        <v>-9.2999999999999992E-3</v>
      </c>
      <c r="CB182" s="230">
        <v>13390900</v>
      </c>
      <c r="CC182" s="230">
        <v>13661200</v>
      </c>
      <c r="CD182" s="230">
        <v>-270300</v>
      </c>
      <c r="CE182" s="229">
        <v>-1.9800000000000002E-2</v>
      </c>
      <c r="CF182" s="230">
        <v>1133900</v>
      </c>
      <c r="CG182" s="230">
        <v>999600</v>
      </c>
      <c r="CH182" s="230">
        <v>134300</v>
      </c>
      <c r="CI182" s="229">
        <v>0.13439999999999999</v>
      </c>
      <c r="CJ182" s="228">
        <v>0</v>
      </c>
      <c r="CK182" s="228">
        <v>0</v>
      </c>
      <c r="CL182" s="228">
        <v>0</v>
      </c>
      <c r="CM182" s="229">
        <v>0</v>
      </c>
      <c r="CN182" s="230">
        <v>5861600</v>
      </c>
      <c r="CO182" s="230">
        <v>6009500</v>
      </c>
      <c r="CP182" s="230">
        <v>-147900</v>
      </c>
      <c r="CQ182" s="229">
        <v>-2.46E-2</v>
      </c>
      <c r="CR182" s="230">
        <v>3461200</v>
      </c>
      <c r="CS182" s="230">
        <v>3410200</v>
      </c>
      <c r="CT182" s="230">
        <v>51000</v>
      </c>
      <c r="CU182" s="229">
        <v>1.4999999999999999E-2</v>
      </c>
      <c r="CV182" s="230">
        <v>23847600</v>
      </c>
      <c r="CW182" s="230">
        <v>24080500</v>
      </c>
      <c r="CX182" s="230">
        <v>-232900</v>
      </c>
      <c r="CY182" s="229">
        <v>-9.7000000000000003E-3</v>
      </c>
      <c r="CZ182" s="228">
        <v>43.4</v>
      </c>
      <c r="DA182" s="228">
        <v>42.65</v>
      </c>
      <c r="DB182" s="228">
        <v>0.75</v>
      </c>
      <c r="DC182" s="228">
        <v>0.75</v>
      </c>
      <c r="DD182" s="228">
        <v>44.83</v>
      </c>
      <c r="DE182" s="228">
        <v>44.88</v>
      </c>
      <c r="DF182" s="228">
        <v>-1.43</v>
      </c>
      <c r="DG182" s="228">
        <v>-0.05</v>
      </c>
      <c r="DH182" s="228">
        <v>43.95</v>
      </c>
      <c r="DI182" s="228">
        <v>42.71</v>
      </c>
      <c r="DJ182" s="228">
        <v>1.24</v>
      </c>
      <c r="DK182" s="228">
        <v>1.24</v>
      </c>
      <c r="DL182" s="228">
        <v>41.73</v>
      </c>
      <c r="DM182" s="228">
        <v>42.36</v>
      </c>
      <c r="DN182" s="228">
        <v>-0.63</v>
      </c>
      <c r="DO182" s="228">
        <v>-0.63</v>
      </c>
      <c r="DP182" s="228">
        <v>0.59</v>
      </c>
      <c r="DQ182" s="228">
        <v>0.56999999999999995</v>
      </c>
      <c r="DR182" s="228">
        <v>0.02</v>
      </c>
      <c r="DS182" s="229">
        <v>3.5099999999999999E-2</v>
      </c>
      <c r="DT182" s="228">
        <v>460</v>
      </c>
      <c r="DU182" s="228">
        <v>440</v>
      </c>
      <c r="DV182" s="228">
        <v>0.33</v>
      </c>
      <c r="DW182" s="228">
        <v>0.23</v>
      </c>
      <c r="DX182" s="228">
        <v>0.1</v>
      </c>
      <c r="DY182" s="229">
        <v>0.43480000000000002</v>
      </c>
      <c r="DZ182" s="229">
        <v>7.8100000000000003E-2</v>
      </c>
      <c r="EA182" s="230">
        <v>999600</v>
      </c>
      <c r="EB182" s="229">
        <v>5.9999999999999995E-4</v>
      </c>
      <c r="EC182" s="229">
        <v>7.8100000000000003E-2</v>
      </c>
      <c r="ED182" s="228">
        <v>1.78</v>
      </c>
      <c r="EE182" s="229">
        <v>3.8999999999999998E-3</v>
      </c>
      <c r="EF182" s="230">
        <v>319254</v>
      </c>
      <c r="EG182" s="230">
        <v>911199</v>
      </c>
      <c r="EH182" s="229">
        <v>-0.64959999999999996</v>
      </c>
      <c r="EI182" s="229">
        <v>0.36309999999999998</v>
      </c>
      <c r="EJ182" s="231">
        <v>16564.849999999999</v>
      </c>
      <c r="EK182" s="231">
        <v>5160.1400000000003</v>
      </c>
      <c r="EL182" s="231">
        <v>10234.98</v>
      </c>
      <c r="EM182" s="228">
        <v>0</v>
      </c>
      <c r="EN182" s="231">
        <v>31959.97</v>
      </c>
      <c r="EO182" s="231">
        <v>88912.79</v>
      </c>
      <c r="EP182" s="231">
        <v>-56952.82</v>
      </c>
      <c r="EQ182" s="229">
        <v>-0.64049999999999996</v>
      </c>
      <c r="ER182" s="231">
        <v>27315</v>
      </c>
      <c r="ES182" s="231">
        <v>14900</v>
      </c>
      <c r="ET182" s="231">
        <v>65807</v>
      </c>
      <c r="EU182" s="231">
        <v>57287573</v>
      </c>
      <c r="EV182" s="231">
        <v>108022</v>
      </c>
      <c r="EW182" s="231">
        <v>110310</v>
      </c>
      <c r="EX182" s="231">
        <v>-2288</v>
      </c>
      <c r="EY182" s="229">
        <v>-2.07E-2</v>
      </c>
      <c r="EZ182" s="229">
        <v>0.4163</v>
      </c>
      <c r="FA182" s="227" t="s">
        <v>568</v>
      </c>
      <c r="FB182" s="161">
        <f t="shared" si="4"/>
        <v>0</v>
      </c>
    </row>
    <row r="183" spans="1:158" ht="17.25" thickBot="1" x14ac:dyDescent="0.3">
      <c r="A183" s="226">
        <v>45860</v>
      </c>
      <c r="B183" s="227" t="s">
        <v>161</v>
      </c>
      <c r="C183" s="227" t="s">
        <v>276</v>
      </c>
      <c r="D183" s="228">
        <v>1900</v>
      </c>
      <c r="E183" s="228">
        <v>297.8</v>
      </c>
      <c r="F183" s="228">
        <v>297.14999999999998</v>
      </c>
      <c r="G183" s="228">
        <v>0.65</v>
      </c>
      <c r="H183" s="229">
        <v>2.2000000000000001E-3</v>
      </c>
      <c r="I183" s="228">
        <v>297.8</v>
      </c>
      <c r="J183" s="228">
        <v>297</v>
      </c>
      <c r="K183" s="228">
        <v>0.8</v>
      </c>
      <c r="L183" s="229">
        <v>2.7000000000000001E-3</v>
      </c>
      <c r="M183" s="228">
        <v>297.8</v>
      </c>
      <c r="N183" s="228">
        <v>297.14999999999998</v>
      </c>
      <c r="O183" s="228">
        <v>0.65</v>
      </c>
      <c r="P183" s="229">
        <v>2.2000000000000001E-3</v>
      </c>
      <c r="Q183" s="228">
        <v>298</v>
      </c>
      <c r="R183" s="228">
        <v>296.95</v>
      </c>
      <c r="S183" s="228">
        <v>1.05</v>
      </c>
      <c r="T183" s="229">
        <v>3.5000000000000001E-3</v>
      </c>
      <c r="U183" s="228">
        <v>0</v>
      </c>
      <c r="V183" s="228">
        <v>0</v>
      </c>
      <c r="W183" s="228">
        <v>0</v>
      </c>
      <c r="X183" s="229">
        <v>0</v>
      </c>
      <c r="Y183" s="228">
        <v>0</v>
      </c>
      <c r="Z183" s="228">
        <v>0.15</v>
      </c>
      <c r="AA183" s="228">
        <v>-0.15</v>
      </c>
      <c r="AB183" s="229">
        <v>0</v>
      </c>
      <c r="AC183" s="228">
        <v>0</v>
      </c>
      <c r="AD183" s="228">
        <v>0.15</v>
      </c>
      <c r="AE183" s="228">
        <v>-0.15</v>
      </c>
      <c r="AF183" s="229">
        <v>0</v>
      </c>
      <c r="AG183" s="228">
        <v>0.2</v>
      </c>
      <c r="AH183" s="228">
        <v>-0.05</v>
      </c>
      <c r="AI183" s="228">
        <v>0.25</v>
      </c>
      <c r="AJ183" s="229">
        <v>6.9999999999999999E-4</v>
      </c>
      <c r="AK183" s="228">
        <v>0</v>
      </c>
      <c r="AL183" s="228">
        <v>0</v>
      </c>
      <c r="AM183" s="228">
        <v>0</v>
      </c>
      <c r="AN183" s="229">
        <v>0</v>
      </c>
      <c r="AO183" s="228">
        <v>297.07</v>
      </c>
      <c r="AP183" s="228">
        <v>297.06</v>
      </c>
      <c r="AQ183" s="228">
        <v>0</v>
      </c>
      <c r="AR183" s="230">
        <v>6642400</v>
      </c>
      <c r="AS183" s="230">
        <v>7060400</v>
      </c>
      <c r="AT183" s="230">
        <v>-418000</v>
      </c>
      <c r="AU183" s="229">
        <v>-5.9200000000000003E-2</v>
      </c>
      <c r="AV183" s="230">
        <v>5806400</v>
      </c>
      <c r="AW183" s="230">
        <v>5686700</v>
      </c>
      <c r="AX183" s="230">
        <v>119700</v>
      </c>
      <c r="AY183" s="229">
        <v>2.1000000000000001E-2</v>
      </c>
      <c r="AZ183" s="230">
        <v>796100</v>
      </c>
      <c r="BA183" s="230">
        <v>1316700</v>
      </c>
      <c r="BB183" s="230">
        <v>-520600</v>
      </c>
      <c r="BC183" s="229">
        <v>-0.39539999999999997</v>
      </c>
      <c r="BD183" s="228">
        <v>0</v>
      </c>
      <c r="BE183" s="228">
        <v>0</v>
      </c>
      <c r="BF183" s="228">
        <v>0</v>
      </c>
      <c r="BG183" s="229">
        <v>0</v>
      </c>
      <c r="BH183" s="230">
        <v>13611600</v>
      </c>
      <c r="BI183" s="230">
        <v>15638900</v>
      </c>
      <c r="BJ183" s="230">
        <v>-2027300</v>
      </c>
      <c r="BK183" s="229">
        <v>-0.12959999999999999</v>
      </c>
      <c r="BL183" s="230">
        <v>9260600</v>
      </c>
      <c r="BM183" s="230">
        <v>6954000</v>
      </c>
      <c r="BN183" s="230">
        <v>2306600</v>
      </c>
      <c r="BO183" s="229">
        <v>0.33169999999999999</v>
      </c>
      <c r="BP183" s="230">
        <v>29514600</v>
      </c>
      <c r="BQ183" s="230">
        <v>29653300</v>
      </c>
      <c r="BR183" s="230">
        <v>-138700</v>
      </c>
      <c r="BS183" s="229">
        <v>-4.7000000000000002E-3</v>
      </c>
      <c r="BT183" s="230">
        <v>9047909</v>
      </c>
      <c r="BU183" s="230">
        <v>5377404</v>
      </c>
      <c r="BV183" s="230">
        <v>3670505</v>
      </c>
      <c r="BW183" s="229">
        <v>0.68259999999999998</v>
      </c>
      <c r="BX183" s="230">
        <v>80197100</v>
      </c>
      <c r="BY183" s="230">
        <v>82032500</v>
      </c>
      <c r="BZ183" s="230">
        <v>-1835400</v>
      </c>
      <c r="CA183" s="229">
        <v>-2.24E-2</v>
      </c>
      <c r="CB183" s="230">
        <v>50813600</v>
      </c>
      <c r="CC183" s="230">
        <v>52683200</v>
      </c>
      <c r="CD183" s="230">
        <v>-1869600</v>
      </c>
      <c r="CE183" s="229">
        <v>-3.5499999999999997E-2</v>
      </c>
      <c r="CF183" s="230">
        <v>29147900</v>
      </c>
      <c r="CG183" s="230">
        <v>29121300</v>
      </c>
      <c r="CH183" s="230">
        <v>26600</v>
      </c>
      <c r="CI183" s="229">
        <v>8.9999999999999998E-4</v>
      </c>
      <c r="CJ183" s="228">
        <v>0</v>
      </c>
      <c r="CK183" s="228">
        <v>0</v>
      </c>
      <c r="CL183" s="228">
        <v>0</v>
      </c>
      <c r="CM183" s="229">
        <v>0</v>
      </c>
      <c r="CN183" s="230">
        <v>26776700</v>
      </c>
      <c r="CO183" s="230">
        <v>28249200</v>
      </c>
      <c r="CP183" s="230">
        <v>-1472500</v>
      </c>
      <c r="CQ183" s="229">
        <v>-5.21E-2</v>
      </c>
      <c r="CR183" s="230">
        <v>15207600</v>
      </c>
      <c r="CS183" s="230">
        <v>15078400</v>
      </c>
      <c r="CT183" s="230">
        <v>129200</v>
      </c>
      <c r="CU183" s="229">
        <v>8.6E-3</v>
      </c>
      <c r="CV183" s="230">
        <v>122181400</v>
      </c>
      <c r="CW183" s="230">
        <v>125360100</v>
      </c>
      <c r="CX183" s="230">
        <v>-3178700</v>
      </c>
      <c r="CY183" s="229">
        <v>-2.5399999999999999E-2</v>
      </c>
      <c r="CZ183" s="228">
        <v>23.4</v>
      </c>
      <c r="DA183" s="228">
        <v>24.34</v>
      </c>
      <c r="DB183" s="228">
        <v>-0.94</v>
      </c>
      <c r="DC183" s="228">
        <v>-0.94</v>
      </c>
      <c r="DD183" s="228">
        <v>31.76</v>
      </c>
      <c r="DE183" s="228">
        <v>31.84</v>
      </c>
      <c r="DF183" s="228">
        <v>-8.36</v>
      </c>
      <c r="DG183" s="228">
        <v>-0.08</v>
      </c>
      <c r="DH183" s="228">
        <v>23.2</v>
      </c>
      <c r="DI183" s="228">
        <v>24.21</v>
      </c>
      <c r="DJ183" s="228">
        <v>-1.01</v>
      </c>
      <c r="DK183" s="228">
        <v>-1.01</v>
      </c>
      <c r="DL183" s="228">
        <v>23.71</v>
      </c>
      <c r="DM183" s="228">
        <v>24.64</v>
      </c>
      <c r="DN183" s="228">
        <v>-0.93</v>
      </c>
      <c r="DO183" s="228">
        <v>-0.93</v>
      </c>
      <c r="DP183" s="228">
        <v>0.56999999999999995</v>
      </c>
      <c r="DQ183" s="228">
        <v>0.53</v>
      </c>
      <c r="DR183" s="228">
        <v>0.04</v>
      </c>
      <c r="DS183" s="229">
        <v>7.5499999999999998E-2</v>
      </c>
      <c r="DT183" s="228">
        <v>300</v>
      </c>
      <c r="DU183" s="228">
        <v>300</v>
      </c>
      <c r="DV183" s="228">
        <v>0.68</v>
      </c>
      <c r="DW183" s="228">
        <v>0.44</v>
      </c>
      <c r="DX183" s="228">
        <v>0.24</v>
      </c>
      <c r="DY183" s="229">
        <v>0.54549999999999998</v>
      </c>
      <c r="DZ183" s="229">
        <v>0.36349999999999999</v>
      </c>
      <c r="EA183" s="230">
        <v>29121300</v>
      </c>
      <c r="EB183" s="229">
        <v>6.9999999999999999E-4</v>
      </c>
      <c r="EC183" s="229">
        <v>0.36349999999999999</v>
      </c>
      <c r="ED183" s="228">
        <v>-0.01</v>
      </c>
      <c r="EE183" s="229">
        <v>0</v>
      </c>
      <c r="EF183" s="230">
        <v>6440027</v>
      </c>
      <c r="EG183" s="230">
        <v>3608399</v>
      </c>
      <c r="EH183" s="229">
        <v>0.78469999999999995</v>
      </c>
      <c r="EI183" s="229">
        <v>0.71179999999999999</v>
      </c>
      <c r="EJ183" s="231">
        <v>41643.800000000003</v>
      </c>
      <c r="EK183" s="231">
        <v>27636.82</v>
      </c>
      <c r="EL183" s="231">
        <v>19732.88</v>
      </c>
      <c r="EM183" s="228">
        <v>0</v>
      </c>
      <c r="EN183" s="231">
        <v>89013.5</v>
      </c>
      <c r="EO183" s="231">
        <v>89137.43</v>
      </c>
      <c r="EP183" s="228">
        <v>-123.93</v>
      </c>
      <c r="EQ183" s="229">
        <v>-1.4E-3</v>
      </c>
      <c r="ER183" s="231">
        <v>82280</v>
      </c>
      <c r="ES183" s="231">
        <v>44448</v>
      </c>
      <c r="ET183" s="231">
        <v>238889</v>
      </c>
      <c r="EU183" s="231">
        <v>905143907</v>
      </c>
      <c r="EV183" s="231">
        <v>365617</v>
      </c>
      <c r="EW183" s="231">
        <v>374515</v>
      </c>
      <c r="EX183" s="231">
        <v>-8898</v>
      </c>
      <c r="EY183" s="229">
        <v>-2.3800000000000002E-2</v>
      </c>
      <c r="EZ183" s="229">
        <v>0.13500000000000001</v>
      </c>
      <c r="FA183" s="227" t="s">
        <v>556</v>
      </c>
      <c r="FB183" s="161">
        <f t="shared" si="4"/>
        <v>0</v>
      </c>
    </row>
    <row r="184" spans="1:158" ht="17.25" thickBot="1" x14ac:dyDescent="0.3">
      <c r="A184" s="226">
        <v>45860</v>
      </c>
      <c r="B184" s="227" t="s">
        <v>170</v>
      </c>
      <c r="C184" s="227" t="s">
        <v>680</v>
      </c>
      <c r="D184" s="228">
        <v>2500</v>
      </c>
      <c r="E184" s="228">
        <v>205.39</v>
      </c>
      <c r="F184" s="228">
        <v>211.84</v>
      </c>
      <c r="G184" s="228">
        <v>-6.45</v>
      </c>
      <c r="H184" s="229">
        <v>-3.04E-2</v>
      </c>
      <c r="I184" s="228">
        <v>205.3</v>
      </c>
      <c r="J184" s="228">
        <v>211.7</v>
      </c>
      <c r="K184" s="228">
        <v>-6.4</v>
      </c>
      <c r="L184" s="229">
        <v>-3.0200000000000001E-2</v>
      </c>
      <c r="M184" s="228">
        <v>205.39</v>
      </c>
      <c r="N184" s="228">
        <v>211.84</v>
      </c>
      <c r="O184" s="228">
        <v>-6.45</v>
      </c>
      <c r="P184" s="229">
        <v>-3.04E-2</v>
      </c>
      <c r="Q184" s="228">
        <v>206.58</v>
      </c>
      <c r="R184" s="228">
        <v>212.93</v>
      </c>
      <c r="S184" s="228">
        <v>-6.35</v>
      </c>
      <c r="T184" s="229">
        <v>-2.98E-2</v>
      </c>
      <c r="U184" s="228">
        <v>0</v>
      </c>
      <c r="V184" s="228">
        <v>0</v>
      </c>
      <c r="W184" s="228">
        <v>0</v>
      </c>
      <c r="X184" s="229">
        <v>0</v>
      </c>
      <c r="Y184" s="228">
        <v>0.09</v>
      </c>
      <c r="Z184" s="228">
        <v>0.14000000000000001</v>
      </c>
      <c r="AA184" s="228">
        <v>-0.05</v>
      </c>
      <c r="AB184" s="229">
        <v>4.0000000000000002E-4</v>
      </c>
      <c r="AC184" s="228">
        <v>0.09</v>
      </c>
      <c r="AD184" s="228">
        <v>0.14000000000000001</v>
      </c>
      <c r="AE184" s="228">
        <v>-0.05</v>
      </c>
      <c r="AF184" s="229">
        <v>4.0000000000000002E-4</v>
      </c>
      <c r="AG184" s="228">
        <v>1.28</v>
      </c>
      <c r="AH184" s="228">
        <v>1.23</v>
      </c>
      <c r="AI184" s="228">
        <v>0.05</v>
      </c>
      <c r="AJ184" s="229">
        <v>6.1999999999999998E-3</v>
      </c>
      <c r="AK184" s="228">
        <v>0</v>
      </c>
      <c r="AL184" s="228">
        <v>0</v>
      </c>
      <c r="AM184" s="228">
        <v>0</v>
      </c>
      <c r="AN184" s="229">
        <v>0</v>
      </c>
      <c r="AO184" s="228">
        <v>206.93</v>
      </c>
      <c r="AP184" s="228">
        <v>208.06</v>
      </c>
      <c r="AQ184" s="228">
        <v>0</v>
      </c>
      <c r="AR184" s="230">
        <v>6300000</v>
      </c>
      <c r="AS184" s="230">
        <v>8392500</v>
      </c>
      <c r="AT184" s="230">
        <v>-2092500</v>
      </c>
      <c r="AU184" s="229">
        <v>-0.24929999999999999</v>
      </c>
      <c r="AV184" s="230">
        <v>5092500</v>
      </c>
      <c r="AW184" s="230">
        <v>7395000</v>
      </c>
      <c r="AX184" s="230">
        <v>-2302500</v>
      </c>
      <c r="AY184" s="229">
        <v>-0.31140000000000001</v>
      </c>
      <c r="AZ184" s="230">
        <v>1172500</v>
      </c>
      <c r="BA184" s="230">
        <v>862500</v>
      </c>
      <c r="BB184" s="230">
        <v>310000</v>
      </c>
      <c r="BC184" s="229">
        <v>0.3594</v>
      </c>
      <c r="BD184" s="228">
        <v>0</v>
      </c>
      <c r="BE184" s="228">
        <v>0</v>
      </c>
      <c r="BF184" s="228">
        <v>0</v>
      </c>
      <c r="BG184" s="229">
        <v>0</v>
      </c>
      <c r="BH184" s="230">
        <v>7397500</v>
      </c>
      <c r="BI184" s="230">
        <v>9902500</v>
      </c>
      <c r="BJ184" s="230">
        <v>-2505000</v>
      </c>
      <c r="BK184" s="229">
        <v>-0.253</v>
      </c>
      <c r="BL184" s="230">
        <v>4907500</v>
      </c>
      <c r="BM184" s="230">
        <v>3812500</v>
      </c>
      <c r="BN184" s="230">
        <v>1095000</v>
      </c>
      <c r="BO184" s="229">
        <v>0.28720000000000001</v>
      </c>
      <c r="BP184" s="230">
        <v>18605000</v>
      </c>
      <c r="BQ184" s="230">
        <v>22107500</v>
      </c>
      <c r="BR184" s="230">
        <v>-3502500</v>
      </c>
      <c r="BS184" s="229">
        <v>-0.15840000000000001</v>
      </c>
      <c r="BT184" s="230">
        <v>5012963</v>
      </c>
      <c r="BU184" s="230">
        <v>7668981</v>
      </c>
      <c r="BV184" s="230">
        <v>-2656018</v>
      </c>
      <c r="BW184" s="229">
        <v>-0.3463</v>
      </c>
      <c r="BX184" s="230">
        <v>17837500</v>
      </c>
      <c r="BY184" s="230">
        <v>17927500</v>
      </c>
      <c r="BZ184" s="230">
        <v>-90000</v>
      </c>
      <c r="CA184" s="229">
        <v>-5.0000000000000001E-3</v>
      </c>
      <c r="CB184" s="230">
        <v>15355000</v>
      </c>
      <c r="CC184" s="230">
        <v>16020000</v>
      </c>
      <c r="CD184" s="230">
        <v>-665000</v>
      </c>
      <c r="CE184" s="229">
        <v>-4.1500000000000002E-2</v>
      </c>
      <c r="CF184" s="230">
        <v>2155000</v>
      </c>
      <c r="CG184" s="230">
        <v>1607500</v>
      </c>
      <c r="CH184" s="230">
        <v>547500</v>
      </c>
      <c r="CI184" s="229">
        <v>0.34060000000000001</v>
      </c>
      <c r="CJ184" s="228">
        <v>0</v>
      </c>
      <c r="CK184" s="228">
        <v>0</v>
      </c>
      <c r="CL184" s="228">
        <v>0</v>
      </c>
      <c r="CM184" s="229">
        <v>0</v>
      </c>
      <c r="CN184" s="230">
        <v>8402500</v>
      </c>
      <c r="CO184" s="230">
        <v>8207500</v>
      </c>
      <c r="CP184" s="230">
        <v>195000</v>
      </c>
      <c r="CQ184" s="229">
        <v>2.3800000000000002E-2</v>
      </c>
      <c r="CR184" s="230">
        <v>4737500</v>
      </c>
      <c r="CS184" s="230">
        <v>4000000</v>
      </c>
      <c r="CT184" s="230">
        <v>737500</v>
      </c>
      <c r="CU184" s="229">
        <v>0.18440000000000001</v>
      </c>
      <c r="CV184" s="230">
        <v>30977500</v>
      </c>
      <c r="CW184" s="230">
        <v>30135000</v>
      </c>
      <c r="CX184" s="230">
        <v>842500</v>
      </c>
      <c r="CY184" s="229">
        <v>2.8000000000000001E-2</v>
      </c>
      <c r="CZ184" s="228">
        <v>38</v>
      </c>
      <c r="DA184" s="228">
        <v>36.74</v>
      </c>
      <c r="DB184" s="228">
        <v>1.26</v>
      </c>
      <c r="DC184" s="228">
        <v>1.26</v>
      </c>
      <c r="DD184" s="228">
        <v>49.82</v>
      </c>
      <c r="DE184" s="228">
        <v>49.77</v>
      </c>
      <c r="DF184" s="228">
        <v>-11.82</v>
      </c>
      <c r="DG184" s="228">
        <v>0.05</v>
      </c>
      <c r="DH184" s="228">
        <v>37.450000000000003</v>
      </c>
      <c r="DI184" s="228">
        <v>36.700000000000003</v>
      </c>
      <c r="DJ184" s="228">
        <v>0.75</v>
      </c>
      <c r="DK184" s="228">
        <v>0.75</v>
      </c>
      <c r="DL184" s="228">
        <v>38.840000000000003</v>
      </c>
      <c r="DM184" s="228">
        <v>36.840000000000003</v>
      </c>
      <c r="DN184" s="228">
        <v>2</v>
      </c>
      <c r="DO184" s="228">
        <v>2</v>
      </c>
      <c r="DP184" s="228">
        <v>0.56000000000000005</v>
      </c>
      <c r="DQ184" s="228">
        <v>0.49</v>
      </c>
      <c r="DR184" s="228">
        <v>7.0000000000000007E-2</v>
      </c>
      <c r="DS184" s="229">
        <v>0.1429</v>
      </c>
      <c r="DT184" s="228">
        <v>210</v>
      </c>
      <c r="DU184" s="228">
        <v>195</v>
      </c>
      <c r="DV184" s="228">
        <v>0.66</v>
      </c>
      <c r="DW184" s="228">
        <v>0.39</v>
      </c>
      <c r="DX184" s="228">
        <v>0.27</v>
      </c>
      <c r="DY184" s="229">
        <v>0.69230000000000003</v>
      </c>
      <c r="DZ184" s="229">
        <v>0.1208</v>
      </c>
      <c r="EA184" s="230">
        <v>1607500</v>
      </c>
      <c r="EB184" s="229">
        <v>5.7999999999999996E-3</v>
      </c>
      <c r="EC184" s="229">
        <v>0.1208</v>
      </c>
      <c r="ED184" s="228">
        <v>1.1299999999999999</v>
      </c>
      <c r="EE184" s="229">
        <v>5.4999999999999997E-3</v>
      </c>
      <c r="EF184" s="230">
        <v>2333346</v>
      </c>
      <c r="EG184" s="230">
        <v>4302502</v>
      </c>
      <c r="EH184" s="229">
        <v>-0.4577</v>
      </c>
      <c r="EI184" s="229">
        <v>0.46550000000000002</v>
      </c>
      <c r="EJ184" s="231">
        <v>16147.77</v>
      </c>
      <c r="EK184" s="231">
        <v>10120.56</v>
      </c>
      <c r="EL184" s="231">
        <v>13050.81</v>
      </c>
      <c r="EM184" s="228">
        <v>0</v>
      </c>
      <c r="EN184" s="231">
        <v>39319.14</v>
      </c>
      <c r="EO184" s="231">
        <v>48004.04</v>
      </c>
      <c r="EP184" s="231">
        <v>-8684.9</v>
      </c>
      <c r="EQ184" s="229">
        <v>-0.18090000000000001</v>
      </c>
      <c r="ER184" s="231">
        <v>18387</v>
      </c>
      <c r="ES184" s="231">
        <v>9544</v>
      </c>
      <c r="ET184" s="231">
        <v>36668</v>
      </c>
      <c r="EU184" s="231">
        <v>171573821</v>
      </c>
      <c r="EV184" s="231">
        <v>64600</v>
      </c>
      <c r="EW184" s="231">
        <v>64191</v>
      </c>
      <c r="EX184" s="228">
        <v>409</v>
      </c>
      <c r="EY184" s="229">
        <v>6.4000000000000003E-3</v>
      </c>
      <c r="EZ184" s="229">
        <v>0.18049999999999999</v>
      </c>
      <c r="FA184" s="227" t="s">
        <v>568</v>
      </c>
      <c r="FB184" s="161">
        <f t="shared" si="4"/>
        <v>0</v>
      </c>
    </row>
    <row r="185" spans="1:158" ht="17.25" thickBot="1" x14ac:dyDescent="0.3">
      <c r="A185" s="226">
        <v>45860</v>
      </c>
      <c r="B185" s="227" t="s">
        <v>206</v>
      </c>
      <c r="C185" s="227" t="s">
        <v>606</v>
      </c>
      <c r="D185" s="228">
        <v>450</v>
      </c>
      <c r="E185" s="231">
        <v>1793.8</v>
      </c>
      <c r="F185" s="231">
        <v>1808.6</v>
      </c>
      <c r="G185" s="228">
        <v>-14.8</v>
      </c>
      <c r="H185" s="229">
        <v>-8.2000000000000007E-3</v>
      </c>
      <c r="I185" s="231">
        <v>1793.1</v>
      </c>
      <c r="J185" s="231">
        <v>1806.1</v>
      </c>
      <c r="K185" s="228">
        <v>-13</v>
      </c>
      <c r="L185" s="229">
        <v>-7.1999999999999998E-3</v>
      </c>
      <c r="M185" s="231">
        <v>1793.8</v>
      </c>
      <c r="N185" s="231">
        <v>1808.6</v>
      </c>
      <c r="O185" s="228">
        <v>-14.8</v>
      </c>
      <c r="P185" s="229">
        <v>-8.2000000000000007E-3</v>
      </c>
      <c r="Q185" s="231">
        <v>1802.8</v>
      </c>
      <c r="R185" s="231">
        <v>1817.6</v>
      </c>
      <c r="S185" s="228">
        <v>-14.8</v>
      </c>
      <c r="T185" s="229">
        <v>-8.0999999999999996E-3</v>
      </c>
      <c r="U185" s="228">
        <v>0</v>
      </c>
      <c r="V185" s="228">
        <v>0</v>
      </c>
      <c r="W185" s="228">
        <v>0</v>
      </c>
      <c r="X185" s="229">
        <v>0</v>
      </c>
      <c r="Y185" s="228">
        <v>0.7</v>
      </c>
      <c r="Z185" s="228">
        <v>2.5</v>
      </c>
      <c r="AA185" s="228">
        <v>-1.8</v>
      </c>
      <c r="AB185" s="229">
        <v>4.0000000000000002E-4</v>
      </c>
      <c r="AC185" s="228">
        <v>0.7</v>
      </c>
      <c r="AD185" s="228">
        <v>2.5</v>
      </c>
      <c r="AE185" s="228">
        <v>-1.8</v>
      </c>
      <c r="AF185" s="229">
        <v>4.0000000000000002E-4</v>
      </c>
      <c r="AG185" s="228">
        <v>9.6999999999999993</v>
      </c>
      <c r="AH185" s="228">
        <v>11.5</v>
      </c>
      <c r="AI185" s="228">
        <v>-1.8</v>
      </c>
      <c r="AJ185" s="229">
        <v>5.4000000000000003E-3</v>
      </c>
      <c r="AK185" s="228">
        <v>0</v>
      </c>
      <c r="AL185" s="228">
        <v>0</v>
      </c>
      <c r="AM185" s="228">
        <v>0</v>
      </c>
      <c r="AN185" s="229">
        <v>0</v>
      </c>
      <c r="AO185" s="231">
        <v>1796.94</v>
      </c>
      <c r="AP185" s="231">
        <v>1807.18</v>
      </c>
      <c r="AQ185" s="228">
        <v>0</v>
      </c>
      <c r="AR185" s="230">
        <v>952200</v>
      </c>
      <c r="AS185" s="230">
        <v>1209150</v>
      </c>
      <c r="AT185" s="230">
        <v>-256950</v>
      </c>
      <c r="AU185" s="229">
        <v>-0.21249999999999999</v>
      </c>
      <c r="AV185" s="230">
        <v>788400</v>
      </c>
      <c r="AW185" s="230">
        <v>1051650</v>
      </c>
      <c r="AX185" s="230">
        <v>-263250</v>
      </c>
      <c r="AY185" s="229">
        <v>-0.25030000000000002</v>
      </c>
      <c r="AZ185" s="230">
        <v>161550</v>
      </c>
      <c r="BA185" s="230">
        <v>156600</v>
      </c>
      <c r="BB185" s="230">
        <v>4950</v>
      </c>
      <c r="BC185" s="229">
        <v>3.1600000000000003E-2</v>
      </c>
      <c r="BD185" s="228">
        <v>0</v>
      </c>
      <c r="BE185" s="228">
        <v>0</v>
      </c>
      <c r="BF185" s="228">
        <v>0</v>
      </c>
      <c r="BG185" s="229">
        <v>0</v>
      </c>
      <c r="BH185" s="230">
        <v>1224000</v>
      </c>
      <c r="BI185" s="230">
        <v>3100050</v>
      </c>
      <c r="BJ185" s="230">
        <v>-1876050</v>
      </c>
      <c r="BK185" s="229">
        <v>-0.60519999999999996</v>
      </c>
      <c r="BL185" s="230">
        <v>535950</v>
      </c>
      <c r="BM185" s="230">
        <v>1297350</v>
      </c>
      <c r="BN185" s="230">
        <v>-761400</v>
      </c>
      <c r="BO185" s="229">
        <v>-0.58689999999999998</v>
      </c>
      <c r="BP185" s="230">
        <v>2712150</v>
      </c>
      <c r="BQ185" s="230">
        <v>5606550</v>
      </c>
      <c r="BR185" s="230">
        <v>-2894400</v>
      </c>
      <c r="BS185" s="229">
        <v>-0.51629999999999998</v>
      </c>
      <c r="BT185" s="230">
        <v>564264</v>
      </c>
      <c r="BU185" s="230">
        <v>635422</v>
      </c>
      <c r="BV185" s="230">
        <v>-71158</v>
      </c>
      <c r="BW185" s="229">
        <v>-0.112</v>
      </c>
      <c r="BX185" s="230">
        <v>5549850</v>
      </c>
      <c r="BY185" s="230">
        <v>5525550</v>
      </c>
      <c r="BZ185" s="230">
        <v>24300</v>
      </c>
      <c r="CA185" s="229">
        <v>4.4000000000000003E-3</v>
      </c>
      <c r="CB185" s="230">
        <v>5131800</v>
      </c>
      <c r="CC185" s="230">
        <v>5183100</v>
      </c>
      <c r="CD185" s="230">
        <v>-51300</v>
      </c>
      <c r="CE185" s="229">
        <v>-9.9000000000000008E-3</v>
      </c>
      <c r="CF185" s="230">
        <v>397350</v>
      </c>
      <c r="CG185" s="230">
        <v>323100</v>
      </c>
      <c r="CH185" s="230">
        <v>74250</v>
      </c>
      <c r="CI185" s="229">
        <v>0.2298</v>
      </c>
      <c r="CJ185" s="228">
        <v>0</v>
      </c>
      <c r="CK185" s="228">
        <v>0</v>
      </c>
      <c r="CL185" s="228">
        <v>0</v>
      </c>
      <c r="CM185" s="229">
        <v>0</v>
      </c>
      <c r="CN185" s="230">
        <v>1814850</v>
      </c>
      <c r="CO185" s="230">
        <v>1931400</v>
      </c>
      <c r="CP185" s="230">
        <v>-116550</v>
      </c>
      <c r="CQ185" s="229">
        <v>-6.0299999999999999E-2</v>
      </c>
      <c r="CR185" s="230">
        <v>1290600</v>
      </c>
      <c r="CS185" s="230">
        <v>1306800</v>
      </c>
      <c r="CT185" s="230">
        <v>-16200</v>
      </c>
      <c r="CU185" s="229">
        <v>-1.24E-2</v>
      </c>
      <c r="CV185" s="230">
        <v>8655300</v>
      </c>
      <c r="CW185" s="230">
        <v>8763750</v>
      </c>
      <c r="CX185" s="230">
        <v>-108450</v>
      </c>
      <c r="CY185" s="229">
        <v>-1.24E-2</v>
      </c>
      <c r="CZ185" s="228">
        <v>35.86</v>
      </c>
      <c r="DA185" s="228">
        <v>36.39</v>
      </c>
      <c r="DB185" s="228">
        <v>-0.53</v>
      </c>
      <c r="DC185" s="228">
        <v>-0.53</v>
      </c>
      <c r="DD185" s="228">
        <v>51</v>
      </c>
      <c r="DE185" s="228">
        <v>51.11</v>
      </c>
      <c r="DF185" s="228">
        <v>-15.14</v>
      </c>
      <c r="DG185" s="228">
        <v>-0.11</v>
      </c>
      <c r="DH185" s="228">
        <v>35.32</v>
      </c>
      <c r="DI185" s="228">
        <v>36.28</v>
      </c>
      <c r="DJ185" s="228">
        <v>-0.96</v>
      </c>
      <c r="DK185" s="228">
        <v>-0.96</v>
      </c>
      <c r="DL185" s="228">
        <v>37.07</v>
      </c>
      <c r="DM185" s="228">
        <v>36.65</v>
      </c>
      <c r="DN185" s="228">
        <v>0.42</v>
      </c>
      <c r="DO185" s="228">
        <v>0.42</v>
      </c>
      <c r="DP185" s="228">
        <v>0.71</v>
      </c>
      <c r="DQ185" s="228">
        <v>0.68</v>
      </c>
      <c r="DR185" s="228">
        <v>0.03</v>
      </c>
      <c r="DS185" s="229">
        <v>4.41E-2</v>
      </c>
      <c r="DT185" s="231">
        <v>1800</v>
      </c>
      <c r="DU185" s="231">
        <v>1700</v>
      </c>
      <c r="DV185" s="228">
        <v>0.44</v>
      </c>
      <c r="DW185" s="228">
        <v>0.42</v>
      </c>
      <c r="DX185" s="228">
        <v>0.02</v>
      </c>
      <c r="DY185" s="229">
        <v>4.7600000000000003E-2</v>
      </c>
      <c r="DZ185" s="229">
        <v>7.1599999999999997E-2</v>
      </c>
      <c r="EA185" s="230">
        <v>323100</v>
      </c>
      <c r="EB185" s="229">
        <v>5.0000000000000001E-3</v>
      </c>
      <c r="EC185" s="229">
        <v>7.1599999999999997E-2</v>
      </c>
      <c r="ED185" s="228">
        <v>10.24</v>
      </c>
      <c r="EE185" s="229">
        <v>5.7000000000000002E-3</v>
      </c>
      <c r="EF185" s="230">
        <v>351211</v>
      </c>
      <c r="EG185" s="230">
        <v>333554</v>
      </c>
      <c r="EH185" s="229">
        <v>5.2900000000000003E-2</v>
      </c>
      <c r="EI185" s="229">
        <v>0.62239999999999995</v>
      </c>
      <c r="EJ185" s="231">
        <v>22781.13</v>
      </c>
      <c r="EK185" s="231">
        <v>9309.75</v>
      </c>
      <c r="EL185" s="231">
        <v>17127.38</v>
      </c>
      <c r="EM185" s="228">
        <v>0</v>
      </c>
      <c r="EN185" s="231">
        <v>49218.26</v>
      </c>
      <c r="EO185" s="231">
        <v>102245.53</v>
      </c>
      <c r="EP185" s="231">
        <v>-53027.27</v>
      </c>
      <c r="EQ185" s="229">
        <v>-0.51859999999999995</v>
      </c>
      <c r="ER185" s="231">
        <v>32821</v>
      </c>
      <c r="ES185" s="231">
        <v>21596</v>
      </c>
      <c r="ET185" s="231">
        <v>99593</v>
      </c>
      <c r="EU185" s="231">
        <v>33646046</v>
      </c>
      <c r="EV185" s="231">
        <v>154010</v>
      </c>
      <c r="EW185" s="231">
        <v>156720</v>
      </c>
      <c r="EX185" s="231">
        <v>-2710</v>
      </c>
      <c r="EY185" s="229">
        <v>-1.7299999999999999E-2</v>
      </c>
      <c r="EZ185" s="229">
        <v>0.25719999999999998</v>
      </c>
      <c r="FA185" s="227" t="s">
        <v>567</v>
      </c>
      <c r="FB185" s="161">
        <f t="shared" si="4"/>
        <v>0</v>
      </c>
    </row>
    <row r="186" spans="1:158" ht="17.25" thickBot="1" x14ac:dyDescent="0.3">
      <c r="A186" s="226">
        <v>45860</v>
      </c>
      <c r="B186" s="227" t="s">
        <v>172</v>
      </c>
      <c r="C186" s="227" t="s">
        <v>279</v>
      </c>
      <c r="D186" s="228">
        <v>3175</v>
      </c>
      <c r="E186" s="228">
        <v>254.16</v>
      </c>
      <c r="F186" s="228">
        <v>260.83999999999997</v>
      </c>
      <c r="G186" s="228">
        <v>-6.68</v>
      </c>
      <c r="H186" s="229">
        <v>-2.5600000000000001E-2</v>
      </c>
      <c r="I186" s="228">
        <v>255.48</v>
      </c>
      <c r="J186" s="228">
        <v>261.12</v>
      </c>
      <c r="K186" s="228">
        <v>-5.64</v>
      </c>
      <c r="L186" s="229">
        <v>-2.1600000000000001E-2</v>
      </c>
      <c r="M186" s="228">
        <v>254.16</v>
      </c>
      <c r="N186" s="228">
        <v>260.83999999999997</v>
      </c>
      <c r="O186" s="228">
        <v>-6.68</v>
      </c>
      <c r="P186" s="229">
        <v>-2.5600000000000001E-2</v>
      </c>
      <c r="Q186" s="228">
        <v>255.6</v>
      </c>
      <c r="R186" s="228">
        <v>261.79000000000002</v>
      </c>
      <c r="S186" s="228">
        <v>-6.19</v>
      </c>
      <c r="T186" s="229">
        <v>-2.3599999999999999E-2</v>
      </c>
      <c r="U186" s="228">
        <v>0</v>
      </c>
      <c r="V186" s="228">
        <v>0</v>
      </c>
      <c r="W186" s="228">
        <v>0</v>
      </c>
      <c r="X186" s="229">
        <v>0</v>
      </c>
      <c r="Y186" s="228">
        <v>-1.32</v>
      </c>
      <c r="Z186" s="228">
        <v>-0.28000000000000003</v>
      </c>
      <c r="AA186" s="228">
        <v>-1.04</v>
      </c>
      <c r="AB186" s="229">
        <v>-5.1999999999999998E-3</v>
      </c>
      <c r="AC186" s="228">
        <v>-1.32</v>
      </c>
      <c r="AD186" s="228">
        <v>-0.28000000000000003</v>
      </c>
      <c r="AE186" s="228">
        <v>-1.04</v>
      </c>
      <c r="AF186" s="229">
        <v>-5.1999999999999998E-3</v>
      </c>
      <c r="AG186" s="228">
        <v>0.12</v>
      </c>
      <c r="AH186" s="228">
        <v>0.67</v>
      </c>
      <c r="AI186" s="228">
        <v>-0.55000000000000004</v>
      </c>
      <c r="AJ186" s="229">
        <v>5.0000000000000001E-4</v>
      </c>
      <c r="AK186" s="228">
        <v>0</v>
      </c>
      <c r="AL186" s="228">
        <v>0</v>
      </c>
      <c r="AM186" s="228">
        <v>0</v>
      </c>
      <c r="AN186" s="229">
        <v>0</v>
      </c>
      <c r="AO186" s="228">
        <v>255.99</v>
      </c>
      <c r="AP186" s="228">
        <v>258.23</v>
      </c>
      <c r="AQ186" s="228">
        <v>0</v>
      </c>
      <c r="AR186" s="230">
        <v>1457325</v>
      </c>
      <c r="AS186" s="230">
        <v>1997075</v>
      </c>
      <c r="AT186" s="230">
        <v>-539750</v>
      </c>
      <c r="AU186" s="229">
        <v>-0.27029999999999998</v>
      </c>
      <c r="AV186" s="230">
        <v>1104900</v>
      </c>
      <c r="AW186" s="230">
        <v>1701800</v>
      </c>
      <c r="AX186" s="230">
        <v>-596900</v>
      </c>
      <c r="AY186" s="229">
        <v>-0.35070000000000001</v>
      </c>
      <c r="AZ186" s="230">
        <v>349250</v>
      </c>
      <c r="BA186" s="230">
        <v>292100</v>
      </c>
      <c r="BB186" s="230">
        <v>57150</v>
      </c>
      <c r="BC186" s="229">
        <v>0.19570000000000001</v>
      </c>
      <c r="BD186" s="228">
        <v>0</v>
      </c>
      <c r="BE186" s="228">
        <v>0</v>
      </c>
      <c r="BF186" s="228">
        <v>0</v>
      </c>
      <c r="BG186" s="229">
        <v>0</v>
      </c>
      <c r="BH186" s="230">
        <v>781050</v>
      </c>
      <c r="BI186" s="230">
        <v>993775</v>
      </c>
      <c r="BJ186" s="230">
        <v>-212725</v>
      </c>
      <c r="BK186" s="229">
        <v>-0.21410000000000001</v>
      </c>
      <c r="BL186" s="230">
        <v>403225</v>
      </c>
      <c r="BM186" s="230">
        <v>476250</v>
      </c>
      <c r="BN186" s="230">
        <v>-73025</v>
      </c>
      <c r="BO186" s="229">
        <v>-0.15329999999999999</v>
      </c>
      <c r="BP186" s="230">
        <v>2641600</v>
      </c>
      <c r="BQ186" s="230">
        <v>3467100</v>
      </c>
      <c r="BR186" s="230">
        <v>-825500</v>
      </c>
      <c r="BS186" s="229">
        <v>-0.23810000000000001</v>
      </c>
      <c r="BT186" s="230">
        <v>13302367</v>
      </c>
      <c r="BU186" s="230">
        <v>16304188</v>
      </c>
      <c r="BV186" s="230">
        <v>-3001821</v>
      </c>
      <c r="BW186" s="229">
        <v>-0.18410000000000001</v>
      </c>
      <c r="BX186" s="230">
        <v>84451825</v>
      </c>
      <c r="BY186" s="230">
        <v>85909150</v>
      </c>
      <c r="BZ186" s="230">
        <v>-1457325</v>
      </c>
      <c r="CA186" s="229">
        <v>-1.7000000000000001E-2</v>
      </c>
      <c r="CB186" s="230">
        <v>57737375</v>
      </c>
      <c r="CC186" s="230">
        <v>58842275</v>
      </c>
      <c r="CD186" s="230">
        <v>-1104900</v>
      </c>
      <c r="CE186" s="229">
        <v>-1.8800000000000001E-2</v>
      </c>
      <c r="CF186" s="230">
        <v>26533475</v>
      </c>
      <c r="CG186" s="230">
        <v>26882725</v>
      </c>
      <c r="CH186" s="230">
        <v>-349250</v>
      </c>
      <c r="CI186" s="229">
        <v>-1.2999999999999999E-2</v>
      </c>
      <c r="CJ186" s="228">
        <v>0</v>
      </c>
      <c r="CK186" s="228">
        <v>0</v>
      </c>
      <c r="CL186" s="228">
        <v>0</v>
      </c>
      <c r="CM186" s="229">
        <v>0</v>
      </c>
      <c r="CN186" s="230">
        <v>17208500</v>
      </c>
      <c r="CO186" s="230">
        <v>17989550</v>
      </c>
      <c r="CP186" s="230">
        <v>-781050</v>
      </c>
      <c r="CQ186" s="229">
        <v>-4.3400000000000001E-2</v>
      </c>
      <c r="CR186" s="230">
        <v>11563350</v>
      </c>
      <c r="CS186" s="230">
        <v>11966575</v>
      </c>
      <c r="CT186" s="230">
        <v>-403225</v>
      </c>
      <c r="CU186" s="229">
        <v>-3.3700000000000001E-2</v>
      </c>
      <c r="CV186" s="230">
        <v>113223675</v>
      </c>
      <c r="CW186" s="230">
        <v>115865275</v>
      </c>
      <c r="CX186" s="230">
        <v>-2641600</v>
      </c>
      <c r="CY186" s="229">
        <v>-2.2800000000000001E-2</v>
      </c>
      <c r="CZ186" s="228">
        <v>41.23</v>
      </c>
      <c r="DA186" s="228">
        <v>37.4</v>
      </c>
      <c r="DB186" s="228">
        <v>3.83</v>
      </c>
      <c r="DC186" s="228">
        <v>3.83</v>
      </c>
      <c r="DD186" s="228">
        <v>50.9</v>
      </c>
      <c r="DE186" s="228">
        <v>50.9</v>
      </c>
      <c r="DF186" s="228">
        <v>-9.67</v>
      </c>
      <c r="DG186" s="228">
        <v>0</v>
      </c>
      <c r="DH186" s="228">
        <v>45.26</v>
      </c>
      <c r="DI186" s="228">
        <v>38.92</v>
      </c>
      <c r="DJ186" s="228">
        <v>6.34</v>
      </c>
      <c r="DK186" s="228">
        <v>6.34</v>
      </c>
      <c r="DL186" s="228">
        <v>33.42</v>
      </c>
      <c r="DM186" s="228">
        <v>34.22</v>
      </c>
      <c r="DN186" s="228">
        <v>-0.8</v>
      </c>
      <c r="DO186" s="228">
        <v>-0.8</v>
      </c>
      <c r="DP186" s="228">
        <v>0.67</v>
      </c>
      <c r="DQ186" s="228">
        <v>0.67</v>
      </c>
      <c r="DR186" s="228">
        <v>0</v>
      </c>
      <c r="DS186" s="229">
        <v>0</v>
      </c>
      <c r="DT186" s="228">
        <v>270</v>
      </c>
      <c r="DU186" s="228">
        <v>260</v>
      </c>
      <c r="DV186" s="228">
        <v>0.52</v>
      </c>
      <c r="DW186" s="228">
        <v>0.48</v>
      </c>
      <c r="DX186" s="228">
        <v>0.04</v>
      </c>
      <c r="DY186" s="229">
        <v>8.3299999999999999E-2</v>
      </c>
      <c r="DZ186" s="229">
        <v>0.31419999999999998</v>
      </c>
      <c r="EA186" s="230">
        <v>26882725</v>
      </c>
      <c r="EB186" s="229">
        <v>5.7000000000000002E-3</v>
      </c>
      <c r="EC186" s="229">
        <v>0.31419999999999998</v>
      </c>
      <c r="ED186" s="228">
        <v>2.2400000000000002</v>
      </c>
      <c r="EE186" s="229">
        <v>8.8000000000000005E-3</v>
      </c>
      <c r="EF186" s="230">
        <v>6775559</v>
      </c>
      <c r="EG186" s="230">
        <v>6470263</v>
      </c>
      <c r="EH186" s="229">
        <v>4.7199999999999999E-2</v>
      </c>
      <c r="EI186" s="229">
        <v>0.50929999999999997</v>
      </c>
      <c r="EJ186" s="231">
        <v>2196.02</v>
      </c>
      <c r="EK186" s="231">
        <v>1012.99</v>
      </c>
      <c r="EL186" s="231">
        <v>3738.5</v>
      </c>
      <c r="EM186" s="228">
        <v>0</v>
      </c>
      <c r="EN186" s="231">
        <v>6947.51</v>
      </c>
      <c r="EO186" s="231">
        <v>9145.6</v>
      </c>
      <c r="EP186" s="231">
        <v>-2198.09</v>
      </c>
      <c r="EQ186" s="229">
        <v>-0.24030000000000001</v>
      </c>
      <c r="ER186" s="231">
        <v>45188</v>
      </c>
      <c r="ES186" s="231">
        <v>28390</v>
      </c>
      <c r="ET186" s="231">
        <v>215035</v>
      </c>
      <c r="EU186" s="231">
        <v>121575211</v>
      </c>
      <c r="EV186" s="231">
        <v>288614</v>
      </c>
      <c r="EW186" s="231">
        <v>301089</v>
      </c>
      <c r="EX186" s="231">
        <v>-12475</v>
      </c>
      <c r="EY186" s="229">
        <v>-4.1399999999999999E-2</v>
      </c>
      <c r="EZ186" s="229">
        <v>0.93130000000000002</v>
      </c>
      <c r="FA186" s="227" t="s">
        <v>568</v>
      </c>
      <c r="FB186" s="161">
        <f t="shared" si="4"/>
        <v>0</v>
      </c>
    </row>
    <row r="187" spans="1:158" ht="17.25" thickBot="1" x14ac:dyDescent="0.3">
      <c r="A187" s="226">
        <v>45860</v>
      </c>
      <c r="B187" s="227" t="s">
        <v>175</v>
      </c>
      <c r="C187" s="227" t="s">
        <v>280</v>
      </c>
      <c r="D187" s="228">
        <v>1275</v>
      </c>
      <c r="E187" s="228">
        <v>391.9</v>
      </c>
      <c r="F187" s="228">
        <v>399.3</v>
      </c>
      <c r="G187" s="228">
        <v>-7.4</v>
      </c>
      <c r="H187" s="229">
        <v>-1.8499999999999999E-2</v>
      </c>
      <c r="I187" s="228">
        <v>393.3</v>
      </c>
      <c r="J187" s="228">
        <v>398.65</v>
      </c>
      <c r="K187" s="228">
        <v>-5.35</v>
      </c>
      <c r="L187" s="229">
        <v>-1.34E-2</v>
      </c>
      <c r="M187" s="228">
        <v>391.9</v>
      </c>
      <c r="N187" s="228">
        <v>399.3</v>
      </c>
      <c r="O187" s="228">
        <v>-7.4</v>
      </c>
      <c r="P187" s="229">
        <v>-1.8499999999999999E-2</v>
      </c>
      <c r="Q187" s="228">
        <v>390.25</v>
      </c>
      <c r="R187" s="228">
        <v>398</v>
      </c>
      <c r="S187" s="228">
        <v>-7.75</v>
      </c>
      <c r="T187" s="229">
        <v>-1.95E-2</v>
      </c>
      <c r="U187" s="228">
        <v>0</v>
      </c>
      <c r="V187" s="228">
        <v>0</v>
      </c>
      <c r="W187" s="228">
        <v>0</v>
      </c>
      <c r="X187" s="229">
        <v>0</v>
      </c>
      <c r="Y187" s="228">
        <v>-1.4</v>
      </c>
      <c r="Z187" s="228">
        <v>0.65</v>
      </c>
      <c r="AA187" s="228">
        <v>-2.0499999999999998</v>
      </c>
      <c r="AB187" s="229">
        <v>-3.5999999999999999E-3</v>
      </c>
      <c r="AC187" s="228">
        <v>-1.4</v>
      </c>
      <c r="AD187" s="228">
        <v>0.65</v>
      </c>
      <c r="AE187" s="228">
        <v>-2.0499999999999998</v>
      </c>
      <c r="AF187" s="229">
        <v>-3.5999999999999999E-3</v>
      </c>
      <c r="AG187" s="228">
        <v>-3.05</v>
      </c>
      <c r="AH187" s="228">
        <v>-0.65</v>
      </c>
      <c r="AI187" s="228">
        <v>-2.4</v>
      </c>
      <c r="AJ187" s="229">
        <v>-7.7999999999999996E-3</v>
      </c>
      <c r="AK187" s="228">
        <v>0</v>
      </c>
      <c r="AL187" s="228">
        <v>0</v>
      </c>
      <c r="AM187" s="228">
        <v>0</v>
      </c>
      <c r="AN187" s="229">
        <v>0</v>
      </c>
      <c r="AO187" s="228">
        <v>397</v>
      </c>
      <c r="AP187" s="228">
        <v>394.5</v>
      </c>
      <c r="AQ187" s="228">
        <v>0</v>
      </c>
      <c r="AR187" s="230">
        <v>13870725</v>
      </c>
      <c r="AS187" s="230">
        <v>10586325</v>
      </c>
      <c r="AT187" s="230">
        <v>3284400</v>
      </c>
      <c r="AU187" s="229">
        <v>0.31019999999999998</v>
      </c>
      <c r="AV187" s="230">
        <v>8315550</v>
      </c>
      <c r="AW187" s="230">
        <v>7701000</v>
      </c>
      <c r="AX187" s="230">
        <v>614550</v>
      </c>
      <c r="AY187" s="229">
        <v>7.9799999999999996E-2</v>
      </c>
      <c r="AZ187" s="230">
        <v>5277225</v>
      </c>
      <c r="BA187" s="230">
        <v>2799900</v>
      </c>
      <c r="BB187" s="230">
        <v>2477325</v>
      </c>
      <c r="BC187" s="229">
        <v>0.88480000000000003</v>
      </c>
      <c r="BD187" s="228">
        <v>0</v>
      </c>
      <c r="BE187" s="228">
        <v>0</v>
      </c>
      <c r="BF187" s="228">
        <v>0</v>
      </c>
      <c r="BG187" s="229">
        <v>0</v>
      </c>
      <c r="BH187" s="230">
        <v>23026500</v>
      </c>
      <c r="BI187" s="230">
        <v>20976300</v>
      </c>
      <c r="BJ187" s="230">
        <v>2050200</v>
      </c>
      <c r="BK187" s="229">
        <v>9.7699999999999995E-2</v>
      </c>
      <c r="BL187" s="230">
        <v>11802675</v>
      </c>
      <c r="BM187" s="230">
        <v>8332125</v>
      </c>
      <c r="BN187" s="230">
        <v>3470550</v>
      </c>
      <c r="BO187" s="229">
        <v>0.41649999999999998</v>
      </c>
      <c r="BP187" s="230">
        <v>48699900</v>
      </c>
      <c r="BQ187" s="230">
        <v>39894750</v>
      </c>
      <c r="BR187" s="230">
        <v>8805150</v>
      </c>
      <c r="BS187" s="229">
        <v>0.22070000000000001</v>
      </c>
      <c r="BT187" s="230">
        <v>9284731</v>
      </c>
      <c r="BU187" s="230">
        <v>6185512</v>
      </c>
      <c r="BV187" s="230">
        <v>3099219</v>
      </c>
      <c r="BW187" s="229">
        <v>0.501</v>
      </c>
      <c r="BX187" s="230">
        <v>84109200</v>
      </c>
      <c r="BY187" s="230">
        <v>81209850</v>
      </c>
      <c r="BZ187" s="230">
        <v>2899350</v>
      </c>
      <c r="CA187" s="229">
        <v>3.5700000000000003E-2</v>
      </c>
      <c r="CB187" s="230">
        <v>66889050</v>
      </c>
      <c r="CC187" s="230">
        <v>67720350</v>
      </c>
      <c r="CD187" s="230">
        <v>-831300</v>
      </c>
      <c r="CE187" s="229">
        <v>-1.23E-2</v>
      </c>
      <c r="CF187" s="230">
        <v>16401600</v>
      </c>
      <c r="CG187" s="230">
        <v>12766575</v>
      </c>
      <c r="CH187" s="230">
        <v>3635025</v>
      </c>
      <c r="CI187" s="229">
        <v>0.28470000000000001</v>
      </c>
      <c r="CJ187" s="228">
        <v>0</v>
      </c>
      <c r="CK187" s="228">
        <v>0</v>
      </c>
      <c r="CL187" s="228">
        <v>0</v>
      </c>
      <c r="CM187" s="229">
        <v>0</v>
      </c>
      <c r="CN187" s="230">
        <v>30204750</v>
      </c>
      <c r="CO187" s="230">
        <v>29235750</v>
      </c>
      <c r="CP187" s="230">
        <v>969000</v>
      </c>
      <c r="CQ187" s="229">
        <v>3.3099999999999997E-2</v>
      </c>
      <c r="CR187" s="230">
        <v>21881550</v>
      </c>
      <c r="CS187" s="230">
        <v>20581050</v>
      </c>
      <c r="CT187" s="230">
        <v>1300500</v>
      </c>
      <c r="CU187" s="229">
        <v>6.3200000000000006E-2</v>
      </c>
      <c r="CV187" s="230">
        <v>136195500</v>
      </c>
      <c r="CW187" s="230">
        <v>131026650</v>
      </c>
      <c r="CX187" s="230">
        <v>5168850</v>
      </c>
      <c r="CY187" s="229">
        <v>3.9399999999999998E-2</v>
      </c>
      <c r="CZ187" s="228">
        <v>34.68</v>
      </c>
      <c r="DA187" s="228">
        <v>30.37</v>
      </c>
      <c r="DB187" s="228">
        <v>4.3099999999999996</v>
      </c>
      <c r="DC187" s="228">
        <v>4.3099999999999996</v>
      </c>
      <c r="DD187" s="228">
        <v>50.42</v>
      </c>
      <c r="DE187" s="228">
        <v>50.48</v>
      </c>
      <c r="DF187" s="228">
        <v>-15.74</v>
      </c>
      <c r="DG187" s="228">
        <v>-0.06</v>
      </c>
      <c r="DH187" s="228">
        <v>35.159999999999997</v>
      </c>
      <c r="DI187" s="228">
        <v>30.42</v>
      </c>
      <c r="DJ187" s="228">
        <v>4.74</v>
      </c>
      <c r="DK187" s="228">
        <v>4.74</v>
      </c>
      <c r="DL187" s="228">
        <v>33.75</v>
      </c>
      <c r="DM187" s="228">
        <v>30.24</v>
      </c>
      <c r="DN187" s="228">
        <v>3.51</v>
      </c>
      <c r="DO187" s="228">
        <v>3.51</v>
      </c>
      <c r="DP187" s="228">
        <v>0.72</v>
      </c>
      <c r="DQ187" s="228">
        <v>0.7</v>
      </c>
      <c r="DR187" s="228">
        <v>0.02</v>
      </c>
      <c r="DS187" s="229">
        <v>2.86E-2</v>
      </c>
      <c r="DT187" s="228">
        <v>400</v>
      </c>
      <c r="DU187" s="228">
        <v>400</v>
      </c>
      <c r="DV187" s="228">
        <v>0.51</v>
      </c>
      <c r="DW187" s="228">
        <v>0.4</v>
      </c>
      <c r="DX187" s="228">
        <v>0.11</v>
      </c>
      <c r="DY187" s="229">
        <v>0.27500000000000002</v>
      </c>
      <c r="DZ187" s="229">
        <v>0.19500000000000001</v>
      </c>
      <c r="EA187" s="230">
        <v>12766575</v>
      </c>
      <c r="EB187" s="229">
        <v>-4.1999999999999997E-3</v>
      </c>
      <c r="EC187" s="229">
        <v>0.19500000000000001</v>
      </c>
      <c r="ED187" s="228">
        <v>-2.5</v>
      </c>
      <c r="EE187" s="229">
        <v>-6.3E-3</v>
      </c>
      <c r="EF187" s="230">
        <v>5692433</v>
      </c>
      <c r="EG187" s="230">
        <v>3162194</v>
      </c>
      <c r="EH187" s="229">
        <v>0.80020000000000002</v>
      </c>
      <c r="EI187" s="229">
        <v>0.61309999999999998</v>
      </c>
      <c r="EJ187" s="231">
        <v>95309.87</v>
      </c>
      <c r="EK187" s="231">
        <v>46969.18</v>
      </c>
      <c r="EL187" s="231">
        <v>54931.199999999997</v>
      </c>
      <c r="EM187" s="228">
        <v>0</v>
      </c>
      <c r="EN187" s="231">
        <v>197210.25</v>
      </c>
      <c r="EO187" s="231">
        <v>162225.96</v>
      </c>
      <c r="EP187" s="231">
        <v>34984.29</v>
      </c>
      <c r="EQ187" s="229">
        <v>0.2157</v>
      </c>
      <c r="ER187" s="231">
        <v>125798</v>
      </c>
      <c r="ES187" s="231">
        <v>86485</v>
      </c>
      <c r="ET187" s="231">
        <v>329357</v>
      </c>
      <c r="EU187" s="231">
        <v>249446067</v>
      </c>
      <c r="EV187" s="231">
        <v>541640</v>
      </c>
      <c r="EW187" s="231">
        <v>527844</v>
      </c>
      <c r="EX187" s="231">
        <v>13796</v>
      </c>
      <c r="EY187" s="229">
        <v>2.6100000000000002E-2</v>
      </c>
      <c r="EZ187" s="229">
        <v>0.54600000000000004</v>
      </c>
      <c r="FA187" s="227" t="s">
        <v>567</v>
      </c>
      <c r="FB187" s="161">
        <f t="shared" si="4"/>
        <v>0</v>
      </c>
    </row>
    <row r="188" spans="1:158" ht="17.25" thickBot="1" x14ac:dyDescent="0.3">
      <c r="A188" s="226">
        <v>45860</v>
      </c>
      <c r="B188" s="227" t="s">
        <v>193</v>
      </c>
      <c r="C188" s="227" t="s">
        <v>281</v>
      </c>
      <c r="D188" s="228">
        <v>500</v>
      </c>
      <c r="E188" s="231">
        <v>1417.3</v>
      </c>
      <c r="F188" s="231">
        <v>1432.4</v>
      </c>
      <c r="G188" s="228">
        <v>-15.1</v>
      </c>
      <c r="H188" s="229">
        <v>-1.0500000000000001E-2</v>
      </c>
      <c r="I188" s="231">
        <v>1412.8</v>
      </c>
      <c r="J188" s="231">
        <v>1428.6</v>
      </c>
      <c r="K188" s="228">
        <v>-15.8</v>
      </c>
      <c r="L188" s="229">
        <v>-1.11E-2</v>
      </c>
      <c r="M188" s="231">
        <v>1417.3</v>
      </c>
      <c r="N188" s="231">
        <v>1432.4</v>
      </c>
      <c r="O188" s="228">
        <v>-15.1</v>
      </c>
      <c r="P188" s="229">
        <v>-1.0500000000000001E-2</v>
      </c>
      <c r="Q188" s="231">
        <v>1418.9</v>
      </c>
      <c r="R188" s="231">
        <v>1434.9</v>
      </c>
      <c r="S188" s="228">
        <v>-16</v>
      </c>
      <c r="T188" s="229">
        <v>-1.12E-2</v>
      </c>
      <c r="U188" s="228">
        <v>0</v>
      </c>
      <c r="V188" s="228">
        <v>0</v>
      </c>
      <c r="W188" s="228">
        <v>0</v>
      </c>
      <c r="X188" s="229">
        <v>0</v>
      </c>
      <c r="Y188" s="228">
        <v>4.5</v>
      </c>
      <c r="Z188" s="228">
        <v>3.8</v>
      </c>
      <c r="AA188" s="228">
        <v>0.7</v>
      </c>
      <c r="AB188" s="229">
        <v>3.2000000000000002E-3</v>
      </c>
      <c r="AC188" s="228">
        <v>4.5</v>
      </c>
      <c r="AD188" s="228">
        <v>3.8</v>
      </c>
      <c r="AE188" s="228">
        <v>0.7</v>
      </c>
      <c r="AF188" s="229">
        <v>3.2000000000000002E-3</v>
      </c>
      <c r="AG188" s="228">
        <v>6.1</v>
      </c>
      <c r="AH188" s="228">
        <v>6.3</v>
      </c>
      <c r="AI188" s="228">
        <v>-0.2</v>
      </c>
      <c r="AJ188" s="229">
        <v>4.3E-3</v>
      </c>
      <c r="AK188" s="228">
        <v>0</v>
      </c>
      <c r="AL188" s="228">
        <v>0</v>
      </c>
      <c r="AM188" s="228">
        <v>0</v>
      </c>
      <c r="AN188" s="229">
        <v>0</v>
      </c>
      <c r="AO188" s="231">
        <v>1422.03</v>
      </c>
      <c r="AP188" s="231">
        <v>1424.09</v>
      </c>
      <c r="AQ188" s="228">
        <v>0</v>
      </c>
      <c r="AR188" s="230">
        <v>17950000</v>
      </c>
      <c r="AS188" s="230">
        <v>35268500</v>
      </c>
      <c r="AT188" s="230">
        <v>-17318500</v>
      </c>
      <c r="AU188" s="229">
        <v>-0.49099999999999999</v>
      </c>
      <c r="AV188" s="230">
        <v>11561000</v>
      </c>
      <c r="AW188" s="230">
        <v>25319500</v>
      </c>
      <c r="AX188" s="230">
        <v>-13758500</v>
      </c>
      <c r="AY188" s="229">
        <v>-0.54339999999999999</v>
      </c>
      <c r="AZ188" s="230">
        <v>5914000</v>
      </c>
      <c r="BA188" s="230">
        <v>9037000</v>
      </c>
      <c r="BB188" s="230">
        <v>-3123000</v>
      </c>
      <c r="BC188" s="229">
        <v>-0.34560000000000002</v>
      </c>
      <c r="BD188" s="228">
        <v>0</v>
      </c>
      <c r="BE188" s="228">
        <v>0</v>
      </c>
      <c r="BF188" s="228">
        <v>0</v>
      </c>
      <c r="BG188" s="229">
        <v>0</v>
      </c>
      <c r="BH188" s="230">
        <v>161933500</v>
      </c>
      <c r="BI188" s="230">
        <v>277430500</v>
      </c>
      <c r="BJ188" s="230">
        <v>-115497000</v>
      </c>
      <c r="BK188" s="229">
        <v>-0.4163</v>
      </c>
      <c r="BL188" s="230">
        <v>75730500</v>
      </c>
      <c r="BM188" s="230">
        <v>137310500</v>
      </c>
      <c r="BN188" s="230">
        <v>-61580000</v>
      </c>
      <c r="BO188" s="229">
        <v>-0.44850000000000001</v>
      </c>
      <c r="BP188" s="230">
        <v>255614000</v>
      </c>
      <c r="BQ188" s="230">
        <v>450009500</v>
      </c>
      <c r="BR188" s="230">
        <v>-194395500</v>
      </c>
      <c r="BS188" s="229">
        <v>-0.432</v>
      </c>
      <c r="BT188" s="230">
        <v>21918719</v>
      </c>
      <c r="BU188" s="230">
        <v>23999891</v>
      </c>
      <c r="BV188" s="230">
        <v>-2081172</v>
      </c>
      <c r="BW188" s="229">
        <v>-8.6699999999999999E-2</v>
      </c>
      <c r="BX188" s="230">
        <v>120079500</v>
      </c>
      <c r="BY188" s="230">
        <v>115774500</v>
      </c>
      <c r="BZ188" s="230">
        <v>4305000</v>
      </c>
      <c r="CA188" s="229">
        <v>3.7199999999999997E-2</v>
      </c>
      <c r="CB188" s="230">
        <v>68565500</v>
      </c>
      <c r="CC188" s="230">
        <v>68381000</v>
      </c>
      <c r="CD188" s="230">
        <v>184500</v>
      </c>
      <c r="CE188" s="229">
        <v>2.7000000000000001E-3</v>
      </c>
      <c r="CF188" s="230">
        <v>47226500</v>
      </c>
      <c r="CG188" s="230">
        <v>43365000</v>
      </c>
      <c r="CH188" s="230">
        <v>3861500</v>
      </c>
      <c r="CI188" s="229">
        <v>8.8999999999999996E-2</v>
      </c>
      <c r="CJ188" s="228">
        <v>0</v>
      </c>
      <c r="CK188" s="228">
        <v>0</v>
      </c>
      <c r="CL188" s="228">
        <v>0</v>
      </c>
      <c r="CM188" s="229">
        <v>0</v>
      </c>
      <c r="CN188" s="230">
        <v>113057000</v>
      </c>
      <c r="CO188" s="230">
        <v>102789000</v>
      </c>
      <c r="CP188" s="230">
        <v>10268000</v>
      </c>
      <c r="CQ188" s="229">
        <v>9.9900000000000003E-2</v>
      </c>
      <c r="CR188" s="230">
        <v>44912000</v>
      </c>
      <c r="CS188" s="230">
        <v>40595500</v>
      </c>
      <c r="CT188" s="230">
        <v>4316500</v>
      </c>
      <c r="CU188" s="229">
        <v>0.10630000000000001</v>
      </c>
      <c r="CV188" s="230">
        <v>278048500</v>
      </c>
      <c r="CW188" s="230">
        <v>259159000</v>
      </c>
      <c r="CX188" s="230">
        <v>18889500</v>
      </c>
      <c r="CY188" s="229">
        <v>7.2900000000000006E-2</v>
      </c>
      <c r="CZ188" s="228">
        <v>21.68</v>
      </c>
      <c r="DA188" s="228">
        <v>21.52</v>
      </c>
      <c r="DB188" s="228">
        <v>0.16</v>
      </c>
      <c r="DC188" s="228">
        <v>0.16</v>
      </c>
      <c r="DD188" s="228">
        <v>26.15</v>
      </c>
      <c r="DE188" s="228">
        <v>26.17</v>
      </c>
      <c r="DF188" s="228">
        <v>-4.47</v>
      </c>
      <c r="DG188" s="228">
        <v>-0.02</v>
      </c>
      <c r="DH188" s="228">
        <v>21.74</v>
      </c>
      <c r="DI188" s="228">
        <v>21.84</v>
      </c>
      <c r="DJ188" s="228">
        <v>-0.1</v>
      </c>
      <c r="DK188" s="228">
        <v>-0.1</v>
      </c>
      <c r="DL188" s="228">
        <v>21.55</v>
      </c>
      <c r="DM188" s="228">
        <v>20.89</v>
      </c>
      <c r="DN188" s="228">
        <v>0.66</v>
      </c>
      <c r="DO188" s="228">
        <v>0.66</v>
      </c>
      <c r="DP188" s="228">
        <v>0.4</v>
      </c>
      <c r="DQ188" s="228">
        <v>0.39</v>
      </c>
      <c r="DR188" s="228">
        <v>0.01</v>
      </c>
      <c r="DS188" s="229">
        <v>2.5600000000000001E-2</v>
      </c>
      <c r="DT188" s="231">
        <v>1500</v>
      </c>
      <c r="DU188" s="231">
        <v>1400</v>
      </c>
      <c r="DV188" s="228">
        <v>0.47</v>
      </c>
      <c r="DW188" s="228">
        <v>0.49</v>
      </c>
      <c r="DX188" s="228">
        <v>-0.02</v>
      </c>
      <c r="DY188" s="229">
        <v>-4.0800000000000003E-2</v>
      </c>
      <c r="DZ188" s="229">
        <v>0.39329999999999998</v>
      </c>
      <c r="EA188" s="230">
        <v>43365000</v>
      </c>
      <c r="EB188" s="229">
        <v>1.1000000000000001E-3</v>
      </c>
      <c r="EC188" s="229">
        <v>0.39329999999999998</v>
      </c>
      <c r="ED188" s="228">
        <v>2.06</v>
      </c>
      <c r="EE188" s="229">
        <v>1.4E-3</v>
      </c>
      <c r="EF188" s="230">
        <v>16405897</v>
      </c>
      <c r="EG188" s="230">
        <v>15773712</v>
      </c>
      <c r="EH188" s="229">
        <v>4.0099999999999997E-2</v>
      </c>
      <c r="EI188" s="229">
        <v>0.74850000000000005</v>
      </c>
      <c r="EJ188" s="231">
        <v>2396519.44</v>
      </c>
      <c r="EK188" s="231">
        <v>1065812.46</v>
      </c>
      <c r="EL188" s="231">
        <v>255426.55</v>
      </c>
      <c r="EM188" s="228">
        <v>0</v>
      </c>
      <c r="EN188" s="231">
        <v>3717758.45</v>
      </c>
      <c r="EO188" s="231">
        <v>6630780.3099999996</v>
      </c>
      <c r="EP188" s="231">
        <v>-2913021.86</v>
      </c>
      <c r="EQ188" s="229">
        <v>-0.43930000000000002</v>
      </c>
      <c r="ER188" s="231">
        <v>1699550</v>
      </c>
      <c r="ES188" s="231">
        <v>642796</v>
      </c>
      <c r="ET188" s="231">
        <v>1703045</v>
      </c>
      <c r="EU188" s="231">
        <v>1323414074</v>
      </c>
      <c r="EV188" s="231">
        <v>4045392</v>
      </c>
      <c r="EW188" s="231">
        <v>3797959</v>
      </c>
      <c r="EX188" s="231">
        <v>247433</v>
      </c>
      <c r="EY188" s="229">
        <v>6.5100000000000005E-2</v>
      </c>
      <c r="EZ188" s="229">
        <v>0.21010000000000001</v>
      </c>
      <c r="FA188" s="227" t="s">
        <v>567</v>
      </c>
      <c r="FB188" s="161">
        <f t="shared" si="4"/>
        <v>0</v>
      </c>
    </row>
    <row r="189" spans="1:158" ht="17.25" thickBot="1" x14ac:dyDescent="0.3">
      <c r="A189" s="226">
        <v>45860</v>
      </c>
      <c r="B189" s="227" t="s">
        <v>215</v>
      </c>
      <c r="C189" s="227" t="s">
        <v>677</v>
      </c>
      <c r="D189" s="228">
        <v>1375</v>
      </c>
      <c r="E189" s="228">
        <v>372.15</v>
      </c>
      <c r="F189" s="228">
        <v>378.7</v>
      </c>
      <c r="G189" s="228">
        <v>-6.55</v>
      </c>
      <c r="H189" s="229">
        <v>-1.7299999999999999E-2</v>
      </c>
      <c r="I189" s="228">
        <v>372.25</v>
      </c>
      <c r="J189" s="228">
        <v>378.2</v>
      </c>
      <c r="K189" s="228">
        <v>-5.95</v>
      </c>
      <c r="L189" s="229">
        <v>-1.5699999999999999E-2</v>
      </c>
      <c r="M189" s="228">
        <v>372.15</v>
      </c>
      <c r="N189" s="228">
        <v>378.7</v>
      </c>
      <c r="O189" s="228">
        <v>-6.55</v>
      </c>
      <c r="P189" s="229">
        <v>-1.7299999999999999E-2</v>
      </c>
      <c r="Q189" s="228">
        <v>369.45</v>
      </c>
      <c r="R189" s="228">
        <v>377.05</v>
      </c>
      <c r="S189" s="228">
        <v>-7.6</v>
      </c>
      <c r="T189" s="229">
        <v>-2.0199999999999999E-2</v>
      </c>
      <c r="U189" s="228">
        <v>0</v>
      </c>
      <c r="V189" s="228">
        <v>0</v>
      </c>
      <c r="W189" s="228">
        <v>0</v>
      </c>
      <c r="X189" s="229">
        <v>0</v>
      </c>
      <c r="Y189" s="228">
        <v>-0.1</v>
      </c>
      <c r="Z189" s="228">
        <v>0.5</v>
      </c>
      <c r="AA189" s="228">
        <v>-0.6</v>
      </c>
      <c r="AB189" s="229">
        <v>-2.9999999999999997E-4</v>
      </c>
      <c r="AC189" s="228">
        <v>-0.1</v>
      </c>
      <c r="AD189" s="228">
        <v>0.5</v>
      </c>
      <c r="AE189" s="228">
        <v>-0.6</v>
      </c>
      <c r="AF189" s="229">
        <v>-2.9999999999999997E-4</v>
      </c>
      <c r="AG189" s="228">
        <v>-2.8</v>
      </c>
      <c r="AH189" s="228">
        <v>-1.1499999999999999</v>
      </c>
      <c r="AI189" s="228">
        <v>-1.65</v>
      </c>
      <c r="AJ189" s="229">
        <v>-7.4999999999999997E-3</v>
      </c>
      <c r="AK189" s="228">
        <v>0</v>
      </c>
      <c r="AL189" s="228">
        <v>0</v>
      </c>
      <c r="AM189" s="228">
        <v>0</v>
      </c>
      <c r="AN189" s="229">
        <v>0</v>
      </c>
      <c r="AO189" s="228">
        <v>374.16</v>
      </c>
      <c r="AP189" s="228">
        <v>371.8</v>
      </c>
      <c r="AQ189" s="228">
        <v>0</v>
      </c>
      <c r="AR189" s="230">
        <v>2252250</v>
      </c>
      <c r="AS189" s="230">
        <v>1996500</v>
      </c>
      <c r="AT189" s="230">
        <v>255750</v>
      </c>
      <c r="AU189" s="229">
        <v>0.12809999999999999</v>
      </c>
      <c r="AV189" s="230">
        <v>1414875</v>
      </c>
      <c r="AW189" s="230">
        <v>1575750</v>
      </c>
      <c r="AX189" s="230">
        <v>-160875</v>
      </c>
      <c r="AY189" s="229">
        <v>-0.1021</v>
      </c>
      <c r="AZ189" s="230">
        <v>765875</v>
      </c>
      <c r="BA189" s="230">
        <v>382250</v>
      </c>
      <c r="BB189" s="230">
        <v>383625</v>
      </c>
      <c r="BC189" s="229">
        <v>1.0036</v>
      </c>
      <c r="BD189" s="228">
        <v>0</v>
      </c>
      <c r="BE189" s="228">
        <v>0</v>
      </c>
      <c r="BF189" s="228">
        <v>0</v>
      </c>
      <c r="BG189" s="229">
        <v>0</v>
      </c>
      <c r="BH189" s="230">
        <v>3755125</v>
      </c>
      <c r="BI189" s="230">
        <v>4380750</v>
      </c>
      <c r="BJ189" s="230">
        <v>-625625</v>
      </c>
      <c r="BK189" s="229">
        <v>-0.14280000000000001</v>
      </c>
      <c r="BL189" s="230">
        <v>798875</v>
      </c>
      <c r="BM189" s="230">
        <v>1662375</v>
      </c>
      <c r="BN189" s="230">
        <v>-863500</v>
      </c>
      <c r="BO189" s="229">
        <v>-0.51939999999999997</v>
      </c>
      <c r="BP189" s="230">
        <v>6806250</v>
      </c>
      <c r="BQ189" s="230">
        <v>8039625</v>
      </c>
      <c r="BR189" s="230">
        <v>-1233375</v>
      </c>
      <c r="BS189" s="229">
        <v>-0.15340000000000001</v>
      </c>
      <c r="BT189" s="230">
        <v>2629193</v>
      </c>
      <c r="BU189" s="230">
        <v>3730363</v>
      </c>
      <c r="BV189" s="230">
        <v>-1101170</v>
      </c>
      <c r="BW189" s="229">
        <v>-0.29520000000000002</v>
      </c>
      <c r="BX189" s="230">
        <v>18196750</v>
      </c>
      <c r="BY189" s="230">
        <v>17503750</v>
      </c>
      <c r="BZ189" s="230">
        <v>693000</v>
      </c>
      <c r="CA189" s="229">
        <v>3.9600000000000003E-2</v>
      </c>
      <c r="CB189" s="230">
        <v>14470500</v>
      </c>
      <c r="CC189" s="230">
        <v>14234000</v>
      </c>
      <c r="CD189" s="230">
        <v>236500</v>
      </c>
      <c r="CE189" s="229">
        <v>1.66E-2</v>
      </c>
      <c r="CF189" s="230">
        <v>3383875</v>
      </c>
      <c r="CG189" s="230">
        <v>2964500</v>
      </c>
      <c r="CH189" s="230">
        <v>419375</v>
      </c>
      <c r="CI189" s="229">
        <v>0.14149999999999999</v>
      </c>
      <c r="CJ189" s="228">
        <v>0</v>
      </c>
      <c r="CK189" s="228">
        <v>0</v>
      </c>
      <c r="CL189" s="228">
        <v>0</v>
      </c>
      <c r="CM189" s="229">
        <v>0</v>
      </c>
      <c r="CN189" s="230">
        <v>11647625</v>
      </c>
      <c r="CO189" s="230">
        <v>11372625</v>
      </c>
      <c r="CP189" s="230">
        <v>275000</v>
      </c>
      <c r="CQ189" s="229">
        <v>2.4199999999999999E-2</v>
      </c>
      <c r="CR189" s="230">
        <v>3345375</v>
      </c>
      <c r="CS189" s="230">
        <v>3466375</v>
      </c>
      <c r="CT189" s="230">
        <v>-121000</v>
      </c>
      <c r="CU189" s="229">
        <v>-3.49E-2</v>
      </c>
      <c r="CV189" s="230">
        <v>33189750</v>
      </c>
      <c r="CW189" s="230">
        <v>32342750</v>
      </c>
      <c r="CX189" s="230">
        <v>847000</v>
      </c>
      <c r="CY189" s="229">
        <v>2.6200000000000001E-2</v>
      </c>
      <c r="CZ189" s="228">
        <v>39.94</v>
      </c>
      <c r="DA189" s="228">
        <v>36.04</v>
      </c>
      <c r="DB189" s="228">
        <v>3.9</v>
      </c>
      <c r="DC189" s="228">
        <v>3.9</v>
      </c>
      <c r="DD189" s="228">
        <v>62.99</v>
      </c>
      <c r="DE189" s="228">
        <v>63.1</v>
      </c>
      <c r="DF189" s="228">
        <v>-23.05</v>
      </c>
      <c r="DG189" s="228">
        <v>-0.11</v>
      </c>
      <c r="DH189" s="228">
        <v>41.13</v>
      </c>
      <c r="DI189" s="228">
        <v>36.67</v>
      </c>
      <c r="DJ189" s="228">
        <v>4.46</v>
      </c>
      <c r="DK189" s="228">
        <v>4.46</v>
      </c>
      <c r="DL189" s="228">
        <v>34.35</v>
      </c>
      <c r="DM189" s="228">
        <v>34.369999999999997</v>
      </c>
      <c r="DN189" s="228">
        <v>-0.02</v>
      </c>
      <c r="DO189" s="228">
        <v>-0.02</v>
      </c>
      <c r="DP189" s="228">
        <v>0.28999999999999998</v>
      </c>
      <c r="DQ189" s="228">
        <v>0.3</v>
      </c>
      <c r="DR189" s="228">
        <v>-0.01</v>
      </c>
      <c r="DS189" s="229">
        <v>-3.3300000000000003E-2</v>
      </c>
      <c r="DT189" s="228">
        <v>400</v>
      </c>
      <c r="DU189" s="228">
        <v>360</v>
      </c>
      <c r="DV189" s="228">
        <v>0.21</v>
      </c>
      <c r="DW189" s="228">
        <v>0.38</v>
      </c>
      <c r="DX189" s="228">
        <v>-0.17</v>
      </c>
      <c r="DY189" s="229">
        <v>-0.44740000000000002</v>
      </c>
      <c r="DZ189" s="229">
        <v>0.186</v>
      </c>
      <c r="EA189" s="230">
        <v>2964500</v>
      </c>
      <c r="EB189" s="229">
        <v>-7.3000000000000001E-3</v>
      </c>
      <c r="EC189" s="229">
        <v>0.186</v>
      </c>
      <c r="ED189" s="228">
        <v>-2.36</v>
      </c>
      <c r="EE189" s="229">
        <v>-6.3E-3</v>
      </c>
      <c r="EF189" s="230">
        <v>1091549</v>
      </c>
      <c r="EG189" s="230">
        <v>1043484</v>
      </c>
      <c r="EH189" s="229">
        <v>4.6100000000000002E-2</v>
      </c>
      <c r="EI189" s="229">
        <v>0.41520000000000001</v>
      </c>
      <c r="EJ189" s="231">
        <v>15213.36</v>
      </c>
      <c r="EK189" s="231">
        <v>3016.51</v>
      </c>
      <c r="EL189" s="231">
        <v>8406.2900000000009</v>
      </c>
      <c r="EM189" s="228">
        <v>0</v>
      </c>
      <c r="EN189" s="231">
        <v>26636.16</v>
      </c>
      <c r="EO189" s="231">
        <v>31355.77</v>
      </c>
      <c r="EP189" s="231">
        <v>-4719.6099999999997</v>
      </c>
      <c r="EQ189" s="229">
        <v>-0.15049999999999999</v>
      </c>
      <c r="ER189" s="231">
        <v>47666</v>
      </c>
      <c r="ES189" s="231">
        <v>12764</v>
      </c>
      <c r="ET189" s="231">
        <v>67614</v>
      </c>
      <c r="EU189" s="231">
        <v>113255281</v>
      </c>
      <c r="EV189" s="231">
        <v>128044</v>
      </c>
      <c r="EW189" s="231">
        <v>126142</v>
      </c>
      <c r="EX189" s="231">
        <v>1902</v>
      </c>
      <c r="EY189" s="229">
        <v>1.5100000000000001E-2</v>
      </c>
      <c r="EZ189" s="229">
        <v>0.29310000000000003</v>
      </c>
      <c r="FA189" s="227" t="s">
        <v>567</v>
      </c>
      <c r="FB189" s="161">
        <f t="shared" si="4"/>
        <v>0</v>
      </c>
    </row>
    <row r="190" spans="1:158" ht="17.25" thickBot="1" x14ac:dyDescent="0.3">
      <c r="A190" s="226">
        <v>45860</v>
      </c>
      <c r="B190" s="227" t="s">
        <v>227</v>
      </c>
      <c r="C190" s="227" t="s">
        <v>282</v>
      </c>
      <c r="D190" s="228">
        <v>4700</v>
      </c>
      <c r="E190" s="228">
        <v>136.05000000000001</v>
      </c>
      <c r="F190" s="228">
        <v>137.41</v>
      </c>
      <c r="G190" s="228">
        <v>-1.36</v>
      </c>
      <c r="H190" s="229">
        <v>-9.9000000000000008E-3</v>
      </c>
      <c r="I190" s="228">
        <v>135.99</v>
      </c>
      <c r="J190" s="228">
        <v>136.94</v>
      </c>
      <c r="K190" s="228">
        <v>-0.95</v>
      </c>
      <c r="L190" s="229">
        <v>-6.8999999999999999E-3</v>
      </c>
      <c r="M190" s="228">
        <v>136.05000000000001</v>
      </c>
      <c r="N190" s="228">
        <v>137.41</v>
      </c>
      <c r="O190" s="228">
        <v>-1.36</v>
      </c>
      <c r="P190" s="229">
        <v>-9.9000000000000008E-3</v>
      </c>
      <c r="Q190" s="228">
        <v>136.74</v>
      </c>
      <c r="R190" s="228">
        <v>138</v>
      </c>
      <c r="S190" s="228">
        <v>-1.26</v>
      </c>
      <c r="T190" s="229">
        <v>-9.1000000000000004E-3</v>
      </c>
      <c r="U190" s="228">
        <v>0</v>
      </c>
      <c r="V190" s="228">
        <v>0</v>
      </c>
      <c r="W190" s="228">
        <v>0</v>
      </c>
      <c r="X190" s="229">
        <v>0</v>
      </c>
      <c r="Y190" s="228">
        <v>0.06</v>
      </c>
      <c r="Z190" s="228">
        <v>0.47</v>
      </c>
      <c r="AA190" s="228">
        <v>-0.41</v>
      </c>
      <c r="AB190" s="229">
        <v>4.0000000000000002E-4</v>
      </c>
      <c r="AC190" s="228">
        <v>0.06</v>
      </c>
      <c r="AD190" s="228">
        <v>0.47</v>
      </c>
      <c r="AE190" s="228">
        <v>-0.41</v>
      </c>
      <c r="AF190" s="229">
        <v>4.0000000000000002E-4</v>
      </c>
      <c r="AG190" s="228">
        <v>0.75</v>
      </c>
      <c r="AH190" s="228">
        <v>1.06</v>
      </c>
      <c r="AI190" s="228">
        <v>-0.31</v>
      </c>
      <c r="AJ190" s="229">
        <v>5.4999999999999997E-3</v>
      </c>
      <c r="AK190" s="228">
        <v>0</v>
      </c>
      <c r="AL190" s="228">
        <v>0</v>
      </c>
      <c r="AM190" s="228">
        <v>0</v>
      </c>
      <c r="AN190" s="229">
        <v>0</v>
      </c>
      <c r="AO190" s="228">
        <v>137.53</v>
      </c>
      <c r="AP190" s="228">
        <v>137.96</v>
      </c>
      <c r="AQ190" s="228">
        <v>0</v>
      </c>
      <c r="AR190" s="230">
        <v>35076100</v>
      </c>
      <c r="AS190" s="230">
        <v>33008100</v>
      </c>
      <c r="AT190" s="230">
        <v>2068000</v>
      </c>
      <c r="AU190" s="229">
        <v>6.2700000000000006E-2</v>
      </c>
      <c r="AV190" s="230">
        <v>30597000</v>
      </c>
      <c r="AW190" s="230">
        <v>22907800</v>
      </c>
      <c r="AX190" s="230">
        <v>7689200</v>
      </c>
      <c r="AY190" s="229">
        <v>0.3357</v>
      </c>
      <c r="AZ190" s="230">
        <v>4220600</v>
      </c>
      <c r="BA190" s="230">
        <v>9672600</v>
      </c>
      <c r="BB190" s="230">
        <v>-5452000</v>
      </c>
      <c r="BC190" s="229">
        <v>-0.56369999999999998</v>
      </c>
      <c r="BD190" s="228">
        <v>0</v>
      </c>
      <c r="BE190" s="228">
        <v>0</v>
      </c>
      <c r="BF190" s="228">
        <v>0</v>
      </c>
      <c r="BG190" s="229">
        <v>0</v>
      </c>
      <c r="BH190" s="230">
        <v>57636100</v>
      </c>
      <c r="BI190" s="230">
        <v>52268700</v>
      </c>
      <c r="BJ190" s="230">
        <v>5367400</v>
      </c>
      <c r="BK190" s="229">
        <v>0.1027</v>
      </c>
      <c r="BL190" s="230">
        <v>37224000</v>
      </c>
      <c r="BM190" s="230">
        <v>22254500</v>
      </c>
      <c r="BN190" s="230">
        <v>14969500</v>
      </c>
      <c r="BO190" s="229">
        <v>0.67269999999999996</v>
      </c>
      <c r="BP190" s="230">
        <v>129936200</v>
      </c>
      <c r="BQ190" s="230">
        <v>107531300</v>
      </c>
      <c r="BR190" s="230">
        <v>22404900</v>
      </c>
      <c r="BS190" s="229">
        <v>0.2084</v>
      </c>
      <c r="BT190" s="230">
        <v>14447527</v>
      </c>
      <c r="BU190" s="230">
        <v>10625450</v>
      </c>
      <c r="BV190" s="230">
        <v>3822077</v>
      </c>
      <c r="BW190" s="229">
        <v>0.35970000000000002</v>
      </c>
      <c r="BX190" s="230">
        <v>141545200</v>
      </c>
      <c r="BY190" s="230">
        <v>139129400</v>
      </c>
      <c r="BZ190" s="230">
        <v>2415800</v>
      </c>
      <c r="CA190" s="229">
        <v>1.7399999999999999E-2</v>
      </c>
      <c r="CB190" s="230">
        <v>121184800</v>
      </c>
      <c r="CC190" s="230">
        <v>120724200</v>
      </c>
      <c r="CD190" s="230">
        <v>460600</v>
      </c>
      <c r="CE190" s="229">
        <v>3.8E-3</v>
      </c>
      <c r="CF190" s="230">
        <v>19077300</v>
      </c>
      <c r="CG190" s="230">
        <v>17216100</v>
      </c>
      <c r="CH190" s="230">
        <v>1861200</v>
      </c>
      <c r="CI190" s="229">
        <v>0.1081</v>
      </c>
      <c r="CJ190" s="228">
        <v>0</v>
      </c>
      <c r="CK190" s="228">
        <v>0</v>
      </c>
      <c r="CL190" s="228">
        <v>0</v>
      </c>
      <c r="CM190" s="229">
        <v>0</v>
      </c>
      <c r="CN190" s="230">
        <v>35066700</v>
      </c>
      <c r="CO190" s="230">
        <v>39165100</v>
      </c>
      <c r="CP190" s="230">
        <v>-4098400</v>
      </c>
      <c r="CQ190" s="229">
        <v>-0.1046</v>
      </c>
      <c r="CR190" s="230">
        <v>25055700</v>
      </c>
      <c r="CS190" s="230">
        <v>26226000</v>
      </c>
      <c r="CT190" s="230">
        <v>-1170300</v>
      </c>
      <c r="CU190" s="229">
        <v>-4.4600000000000001E-2</v>
      </c>
      <c r="CV190" s="230">
        <v>201667600</v>
      </c>
      <c r="CW190" s="230">
        <v>204520500</v>
      </c>
      <c r="CX190" s="230">
        <v>-2852900</v>
      </c>
      <c r="CY190" s="229">
        <v>-1.3899999999999999E-2</v>
      </c>
      <c r="CZ190" s="228">
        <v>33.94</v>
      </c>
      <c r="DA190" s="228">
        <v>31.44</v>
      </c>
      <c r="DB190" s="228">
        <v>2.5</v>
      </c>
      <c r="DC190" s="228">
        <v>2.5</v>
      </c>
      <c r="DD190" s="228">
        <v>48.11</v>
      </c>
      <c r="DE190" s="228">
        <v>48.21</v>
      </c>
      <c r="DF190" s="228">
        <v>-14.17</v>
      </c>
      <c r="DG190" s="228">
        <v>-0.1</v>
      </c>
      <c r="DH190" s="228">
        <v>34.31</v>
      </c>
      <c r="DI190" s="228">
        <v>31.5</v>
      </c>
      <c r="DJ190" s="228">
        <v>2.81</v>
      </c>
      <c r="DK190" s="228">
        <v>2.81</v>
      </c>
      <c r="DL190" s="228">
        <v>33.369999999999997</v>
      </c>
      <c r="DM190" s="228">
        <v>31.3</v>
      </c>
      <c r="DN190" s="228">
        <v>2.0699999999999998</v>
      </c>
      <c r="DO190" s="228">
        <v>2.0699999999999998</v>
      </c>
      <c r="DP190" s="228">
        <v>0.71</v>
      </c>
      <c r="DQ190" s="228">
        <v>0.67</v>
      </c>
      <c r="DR190" s="228">
        <v>0.04</v>
      </c>
      <c r="DS190" s="229">
        <v>5.9700000000000003E-2</v>
      </c>
      <c r="DT190" s="228">
        <v>140</v>
      </c>
      <c r="DU190" s="228">
        <v>135</v>
      </c>
      <c r="DV190" s="228">
        <v>0.65</v>
      </c>
      <c r="DW190" s="228">
        <v>0.43</v>
      </c>
      <c r="DX190" s="228">
        <v>0.22</v>
      </c>
      <c r="DY190" s="229">
        <v>0.51160000000000005</v>
      </c>
      <c r="DZ190" s="229">
        <v>0.1348</v>
      </c>
      <c r="EA190" s="230">
        <v>17216100</v>
      </c>
      <c r="EB190" s="229">
        <v>5.1000000000000004E-3</v>
      </c>
      <c r="EC190" s="229">
        <v>0.1348</v>
      </c>
      <c r="ED190" s="228">
        <v>0.43</v>
      </c>
      <c r="EE190" s="229">
        <v>3.0999999999999999E-3</v>
      </c>
      <c r="EF190" s="230">
        <v>4440004</v>
      </c>
      <c r="EG190" s="230">
        <v>2962531</v>
      </c>
      <c r="EH190" s="229">
        <v>0.49869999999999998</v>
      </c>
      <c r="EI190" s="229">
        <v>0.30730000000000002</v>
      </c>
      <c r="EJ190" s="231">
        <v>82014.92</v>
      </c>
      <c r="EK190" s="231">
        <v>50936.13</v>
      </c>
      <c r="EL190" s="231">
        <v>48258.85</v>
      </c>
      <c r="EM190" s="228">
        <v>0</v>
      </c>
      <c r="EN190" s="231">
        <v>181209.9</v>
      </c>
      <c r="EO190" s="231">
        <v>150354.37</v>
      </c>
      <c r="EP190" s="231">
        <v>30855.53</v>
      </c>
      <c r="EQ190" s="229">
        <v>0.20519999999999999</v>
      </c>
      <c r="ER190" s="231">
        <v>49333</v>
      </c>
      <c r="ES190" s="231">
        <v>32688</v>
      </c>
      <c r="ET190" s="231">
        <v>192709</v>
      </c>
      <c r="EU190" s="231">
        <v>289148547</v>
      </c>
      <c r="EV190" s="231">
        <v>274730</v>
      </c>
      <c r="EW190" s="231">
        <v>280490</v>
      </c>
      <c r="EX190" s="231">
        <v>-5760</v>
      </c>
      <c r="EY190" s="229">
        <v>-2.0500000000000001E-2</v>
      </c>
      <c r="EZ190" s="229">
        <v>0.69750000000000001</v>
      </c>
      <c r="FA190" s="227" t="s">
        <v>567</v>
      </c>
      <c r="FB190" s="161">
        <f t="shared" si="4"/>
        <v>0</v>
      </c>
    </row>
    <row r="191" spans="1:158" ht="17.25" thickBot="1" x14ac:dyDescent="0.3">
      <c r="A191" s="226">
        <v>45860</v>
      </c>
      <c r="B191" s="227" t="s">
        <v>175</v>
      </c>
      <c r="C191" s="227" t="s">
        <v>536</v>
      </c>
      <c r="D191" s="228">
        <v>800</v>
      </c>
      <c r="E191" s="228">
        <v>894.75</v>
      </c>
      <c r="F191" s="228">
        <v>899.45</v>
      </c>
      <c r="G191" s="228">
        <v>-4.7</v>
      </c>
      <c r="H191" s="229">
        <v>-5.1999999999999998E-3</v>
      </c>
      <c r="I191" s="228">
        <v>896.65</v>
      </c>
      <c r="J191" s="228">
        <v>898.65</v>
      </c>
      <c r="K191" s="228">
        <v>-2</v>
      </c>
      <c r="L191" s="229">
        <v>-2.2000000000000001E-3</v>
      </c>
      <c r="M191" s="228">
        <v>894.75</v>
      </c>
      <c r="N191" s="228">
        <v>899.45</v>
      </c>
      <c r="O191" s="228">
        <v>-4.7</v>
      </c>
      <c r="P191" s="229">
        <v>-5.1999999999999998E-3</v>
      </c>
      <c r="Q191" s="228">
        <v>889.2</v>
      </c>
      <c r="R191" s="228">
        <v>896.15</v>
      </c>
      <c r="S191" s="228">
        <v>-6.95</v>
      </c>
      <c r="T191" s="229">
        <v>-7.7999999999999996E-3</v>
      </c>
      <c r="U191" s="228">
        <v>0</v>
      </c>
      <c r="V191" s="228">
        <v>0</v>
      </c>
      <c r="W191" s="228">
        <v>0</v>
      </c>
      <c r="X191" s="229">
        <v>0</v>
      </c>
      <c r="Y191" s="228">
        <v>-1.9</v>
      </c>
      <c r="Z191" s="228">
        <v>0.8</v>
      </c>
      <c r="AA191" s="228">
        <v>-2.7</v>
      </c>
      <c r="AB191" s="229">
        <v>-2.0999999999999999E-3</v>
      </c>
      <c r="AC191" s="228">
        <v>-1.9</v>
      </c>
      <c r="AD191" s="228">
        <v>0.8</v>
      </c>
      <c r="AE191" s="228">
        <v>-2.7</v>
      </c>
      <c r="AF191" s="229">
        <v>-2.0999999999999999E-3</v>
      </c>
      <c r="AG191" s="228">
        <v>-7.45</v>
      </c>
      <c r="AH191" s="228">
        <v>-2.5</v>
      </c>
      <c r="AI191" s="228">
        <v>-4.95</v>
      </c>
      <c r="AJ191" s="229">
        <v>-8.3000000000000001E-3</v>
      </c>
      <c r="AK191" s="228">
        <v>0</v>
      </c>
      <c r="AL191" s="228">
        <v>0</v>
      </c>
      <c r="AM191" s="228">
        <v>0</v>
      </c>
      <c r="AN191" s="229">
        <v>0</v>
      </c>
      <c r="AO191" s="228">
        <v>894.99</v>
      </c>
      <c r="AP191" s="228">
        <v>890.49</v>
      </c>
      <c r="AQ191" s="228">
        <v>0</v>
      </c>
      <c r="AR191" s="230">
        <v>1992000</v>
      </c>
      <c r="AS191" s="230">
        <v>2412800</v>
      </c>
      <c r="AT191" s="230">
        <v>-420800</v>
      </c>
      <c r="AU191" s="229">
        <v>-0.1744</v>
      </c>
      <c r="AV191" s="230">
        <v>1452000</v>
      </c>
      <c r="AW191" s="230">
        <v>1982400</v>
      </c>
      <c r="AX191" s="230">
        <v>-530400</v>
      </c>
      <c r="AY191" s="229">
        <v>-0.2676</v>
      </c>
      <c r="AZ191" s="230">
        <v>512000</v>
      </c>
      <c r="BA191" s="230">
        <v>410400</v>
      </c>
      <c r="BB191" s="230">
        <v>101600</v>
      </c>
      <c r="BC191" s="229">
        <v>0.24759999999999999</v>
      </c>
      <c r="BD191" s="228">
        <v>0</v>
      </c>
      <c r="BE191" s="228">
        <v>0</v>
      </c>
      <c r="BF191" s="228">
        <v>0</v>
      </c>
      <c r="BG191" s="229">
        <v>0</v>
      </c>
      <c r="BH191" s="230">
        <v>4676000</v>
      </c>
      <c r="BI191" s="230">
        <v>6638400</v>
      </c>
      <c r="BJ191" s="230">
        <v>-1962400</v>
      </c>
      <c r="BK191" s="229">
        <v>-0.29559999999999997</v>
      </c>
      <c r="BL191" s="230">
        <v>2128800</v>
      </c>
      <c r="BM191" s="230">
        <v>2739200</v>
      </c>
      <c r="BN191" s="230">
        <v>-610400</v>
      </c>
      <c r="BO191" s="229">
        <v>-0.2228</v>
      </c>
      <c r="BP191" s="230">
        <v>8796800</v>
      </c>
      <c r="BQ191" s="230">
        <v>11790400</v>
      </c>
      <c r="BR191" s="230">
        <v>-2993600</v>
      </c>
      <c r="BS191" s="229">
        <v>-0.25390000000000001</v>
      </c>
      <c r="BT191" s="230">
        <v>767586</v>
      </c>
      <c r="BU191" s="230">
        <v>739102</v>
      </c>
      <c r="BV191" s="230">
        <v>28484</v>
      </c>
      <c r="BW191" s="229">
        <v>3.85E-2</v>
      </c>
      <c r="BX191" s="230">
        <v>14557600</v>
      </c>
      <c r="BY191" s="230">
        <v>14180800</v>
      </c>
      <c r="BZ191" s="230">
        <v>376800</v>
      </c>
      <c r="CA191" s="229">
        <v>2.6599999999999999E-2</v>
      </c>
      <c r="CB191" s="230">
        <v>12623200</v>
      </c>
      <c r="CC191" s="230">
        <v>12556000</v>
      </c>
      <c r="CD191" s="230">
        <v>67200</v>
      </c>
      <c r="CE191" s="229">
        <v>5.4000000000000003E-3</v>
      </c>
      <c r="CF191" s="230">
        <v>1696800</v>
      </c>
      <c r="CG191" s="230">
        <v>1404800</v>
      </c>
      <c r="CH191" s="230">
        <v>292000</v>
      </c>
      <c r="CI191" s="229">
        <v>0.2079</v>
      </c>
      <c r="CJ191" s="228">
        <v>0</v>
      </c>
      <c r="CK191" s="228">
        <v>0</v>
      </c>
      <c r="CL191" s="228">
        <v>0</v>
      </c>
      <c r="CM191" s="229">
        <v>0</v>
      </c>
      <c r="CN191" s="230">
        <v>12328800</v>
      </c>
      <c r="CO191" s="230">
        <v>12648800</v>
      </c>
      <c r="CP191" s="230">
        <v>-320000</v>
      </c>
      <c r="CQ191" s="229">
        <v>-2.53E-2</v>
      </c>
      <c r="CR191" s="230">
        <v>6442400</v>
      </c>
      <c r="CS191" s="230">
        <v>6400000</v>
      </c>
      <c r="CT191" s="230">
        <v>42400</v>
      </c>
      <c r="CU191" s="229">
        <v>6.6E-3</v>
      </c>
      <c r="CV191" s="230">
        <v>33328800</v>
      </c>
      <c r="CW191" s="230">
        <v>33229600</v>
      </c>
      <c r="CX191" s="230">
        <v>99200</v>
      </c>
      <c r="CY191" s="229">
        <v>3.0000000000000001E-3</v>
      </c>
      <c r="CZ191" s="228">
        <v>35.19</v>
      </c>
      <c r="DA191" s="228">
        <v>33.43</v>
      </c>
      <c r="DB191" s="228">
        <v>1.76</v>
      </c>
      <c r="DC191" s="228">
        <v>1.76</v>
      </c>
      <c r="DD191" s="228">
        <v>30.72</v>
      </c>
      <c r="DE191" s="228">
        <v>30.79</v>
      </c>
      <c r="DF191" s="228">
        <v>4.47</v>
      </c>
      <c r="DG191" s="228">
        <v>-7.0000000000000007E-2</v>
      </c>
      <c r="DH191" s="228">
        <v>36.04</v>
      </c>
      <c r="DI191" s="228">
        <v>33.85</v>
      </c>
      <c r="DJ191" s="228">
        <v>2.19</v>
      </c>
      <c r="DK191" s="228">
        <v>2.19</v>
      </c>
      <c r="DL191" s="228">
        <v>33.33</v>
      </c>
      <c r="DM191" s="228">
        <v>32.409999999999997</v>
      </c>
      <c r="DN191" s="228">
        <v>0.92</v>
      </c>
      <c r="DO191" s="228">
        <v>0.92</v>
      </c>
      <c r="DP191" s="228">
        <v>0.52</v>
      </c>
      <c r="DQ191" s="228">
        <v>0.51</v>
      </c>
      <c r="DR191" s="228">
        <v>0.01</v>
      </c>
      <c r="DS191" s="229">
        <v>1.9599999999999999E-2</v>
      </c>
      <c r="DT191" s="231">
        <v>1000</v>
      </c>
      <c r="DU191" s="228">
        <v>880</v>
      </c>
      <c r="DV191" s="228">
        <v>0.46</v>
      </c>
      <c r="DW191" s="228">
        <v>0.41</v>
      </c>
      <c r="DX191" s="228">
        <v>0.05</v>
      </c>
      <c r="DY191" s="229">
        <v>0.122</v>
      </c>
      <c r="DZ191" s="229">
        <v>0.1166</v>
      </c>
      <c r="EA191" s="230">
        <v>1404800</v>
      </c>
      <c r="EB191" s="229">
        <v>-6.1999999999999998E-3</v>
      </c>
      <c r="EC191" s="229">
        <v>0.1166</v>
      </c>
      <c r="ED191" s="228">
        <v>-4.5</v>
      </c>
      <c r="EE191" s="229">
        <v>-5.0000000000000001E-3</v>
      </c>
      <c r="EF191" s="230">
        <v>439120</v>
      </c>
      <c r="EG191" s="230">
        <v>301310</v>
      </c>
      <c r="EH191" s="229">
        <v>0.45739999999999997</v>
      </c>
      <c r="EI191" s="229">
        <v>0.57210000000000005</v>
      </c>
      <c r="EJ191" s="231">
        <v>44960.24</v>
      </c>
      <c r="EK191" s="231">
        <v>18745.43</v>
      </c>
      <c r="EL191" s="231">
        <v>17803.79</v>
      </c>
      <c r="EM191" s="228">
        <v>0</v>
      </c>
      <c r="EN191" s="231">
        <v>81509.460000000006</v>
      </c>
      <c r="EO191" s="231">
        <v>109709.77</v>
      </c>
      <c r="EP191" s="231">
        <v>-28200.31</v>
      </c>
      <c r="EQ191" s="229">
        <v>-0.25700000000000001</v>
      </c>
      <c r="ER191" s="231">
        <v>121571</v>
      </c>
      <c r="ES191" s="231">
        <v>56632</v>
      </c>
      <c r="ET191" s="231">
        <v>130139</v>
      </c>
      <c r="EU191" s="231">
        <v>59744408</v>
      </c>
      <c r="EV191" s="231">
        <v>308341</v>
      </c>
      <c r="EW191" s="231">
        <v>308540</v>
      </c>
      <c r="EX191" s="228">
        <v>-199</v>
      </c>
      <c r="EY191" s="229">
        <v>-5.9999999999999995E-4</v>
      </c>
      <c r="EZ191" s="229">
        <v>0.55789999999999995</v>
      </c>
      <c r="FA191" s="227" t="s">
        <v>567</v>
      </c>
      <c r="FB191" s="161">
        <f t="shared" si="4"/>
        <v>0</v>
      </c>
    </row>
    <row r="192" spans="1:158" ht="17.25" thickBot="1" x14ac:dyDescent="0.3">
      <c r="A192" s="226">
        <v>45860</v>
      </c>
      <c r="B192" s="227" t="s">
        <v>175</v>
      </c>
      <c r="C192" s="227" t="s">
        <v>462</v>
      </c>
      <c r="D192" s="228">
        <v>375</v>
      </c>
      <c r="E192" s="231">
        <v>1812.1</v>
      </c>
      <c r="F192" s="231">
        <v>1809</v>
      </c>
      <c r="G192" s="228">
        <v>3.1</v>
      </c>
      <c r="H192" s="229">
        <v>1.6999999999999999E-3</v>
      </c>
      <c r="I192" s="231">
        <v>1809</v>
      </c>
      <c r="J192" s="231">
        <v>1804.7</v>
      </c>
      <c r="K192" s="228">
        <v>4.3</v>
      </c>
      <c r="L192" s="229">
        <v>2.3999999999999998E-3</v>
      </c>
      <c r="M192" s="231">
        <v>1812.1</v>
      </c>
      <c r="N192" s="231">
        <v>1809</v>
      </c>
      <c r="O192" s="228">
        <v>3.1</v>
      </c>
      <c r="P192" s="229">
        <v>1.6999999999999999E-3</v>
      </c>
      <c r="Q192" s="231">
        <v>1821.7</v>
      </c>
      <c r="R192" s="231">
        <v>1818.3</v>
      </c>
      <c r="S192" s="228">
        <v>3.4</v>
      </c>
      <c r="T192" s="229">
        <v>1.9E-3</v>
      </c>
      <c r="U192" s="228">
        <v>0</v>
      </c>
      <c r="V192" s="228">
        <v>0</v>
      </c>
      <c r="W192" s="228">
        <v>0</v>
      </c>
      <c r="X192" s="229">
        <v>0</v>
      </c>
      <c r="Y192" s="228">
        <v>3.1</v>
      </c>
      <c r="Z192" s="228">
        <v>4.3</v>
      </c>
      <c r="AA192" s="228">
        <v>-1.2</v>
      </c>
      <c r="AB192" s="229">
        <v>1.6999999999999999E-3</v>
      </c>
      <c r="AC192" s="228">
        <v>3.1</v>
      </c>
      <c r="AD192" s="228">
        <v>4.3</v>
      </c>
      <c r="AE192" s="228">
        <v>-1.2</v>
      </c>
      <c r="AF192" s="229">
        <v>1.6999999999999999E-3</v>
      </c>
      <c r="AG192" s="228">
        <v>12.7</v>
      </c>
      <c r="AH192" s="228">
        <v>13.6</v>
      </c>
      <c r="AI192" s="228">
        <v>-0.9</v>
      </c>
      <c r="AJ192" s="229">
        <v>7.0000000000000001E-3</v>
      </c>
      <c r="AK192" s="228">
        <v>0</v>
      </c>
      <c r="AL192" s="228">
        <v>0</v>
      </c>
      <c r="AM192" s="228">
        <v>0</v>
      </c>
      <c r="AN192" s="229">
        <v>0</v>
      </c>
      <c r="AO192" s="231">
        <v>1808.86</v>
      </c>
      <c r="AP192" s="231">
        <v>1817.49</v>
      </c>
      <c r="AQ192" s="228">
        <v>0</v>
      </c>
      <c r="AR192" s="230">
        <v>682125</v>
      </c>
      <c r="AS192" s="230">
        <v>751500</v>
      </c>
      <c r="AT192" s="230">
        <v>-69375</v>
      </c>
      <c r="AU192" s="229">
        <v>-9.2299999999999993E-2</v>
      </c>
      <c r="AV192" s="230">
        <v>614250</v>
      </c>
      <c r="AW192" s="230">
        <v>646500</v>
      </c>
      <c r="AX192" s="230">
        <v>-32250</v>
      </c>
      <c r="AY192" s="229">
        <v>-4.99E-2</v>
      </c>
      <c r="AZ192" s="230">
        <v>64500</v>
      </c>
      <c r="BA192" s="230">
        <v>100875</v>
      </c>
      <c r="BB192" s="230">
        <v>-36375</v>
      </c>
      <c r="BC192" s="229">
        <v>-0.36059999999999998</v>
      </c>
      <c r="BD192" s="228">
        <v>0</v>
      </c>
      <c r="BE192" s="228">
        <v>0</v>
      </c>
      <c r="BF192" s="228">
        <v>0</v>
      </c>
      <c r="BG192" s="229">
        <v>0</v>
      </c>
      <c r="BH192" s="230">
        <v>3407250</v>
      </c>
      <c r="BI192" s="230">
        <v>3005625</v>
      </c>
      <c r="BJ192" s="230">
        <v>401625</v>
      </c>
      <c r="BK192" s="229">
        <v>0.1336</v>
      </c>
      <c r="BL192" s="230">
        <v>954000</v>
      </c>
      <c r="BM192" s="230">
        <v>1158750</v>
      </c>
      <c r="BN192" s="230">
        <v>-204750</v>
      </c>
      <c r="BO192" s="229">
        <v>-0.1767</v>
      </c>
      <c r="BP192" s="230">
        <v>5043375</v>
      </c>
      <c r="BQ192" s="230">
        <v>4915875</v>
      </c>
      <c r="BR192" s="230">
        <v>127500</v>
      </c>
      <c r="BS192" s="229">
        <v>2.5899999999999999E-2</v>
      </c>
      <c r="BT192" s="230">
        <v>581630</v>
      </c>
      <c r="BU192" s="230">
        <v>485880</v>
      </c>
      <c r="BV192" s="230">
        <v>95750</v>
      </c>
      <c r="BW192" s="229">
        <v>0.1971</v>
      </c>
      <c r="BX192" s="230">
        <v>7386375</v>
      </c>
      <c r="BY192" s="230">
        <v>7315500</v>
      </c>
      <c r="BZ192" s="230">
        <v>70875</v>
      </c>
      <c r="CA192" s="229">
        <v>9.7000000000000003E-3</v>
      </c>
      <c r="CB192" s="230">
        <v>6985125</v>
      </c>
      <c r="CC192" s="230">
        <v>6922500</v>
      </c>
      <c r="CD192" s="230">
        <v>62625</v>
      </c>
      <c r="CE192" s="229">
        <v>8.9999999999999993E-3</v>
      </c>
      <c r="CF192" s="230">
        <v>381750</v>
      </c>
      <c r="CG192" s="230">
        <v>374250</v>
      </c>
      <c r="CH192" s="230">
        <v>7500</v>
      </c>
      <c r="CI192" s="229">
        <v>0.02</v>
      </c>
      <c r="CJ192" s="228">
        <v>0</v>
      </c>
      <c r="CK192" s="228">
        <v>0</v>
      </c>
      <c r="CL192" s="228">
        <v>0</v>
      </c>
      <c r="CM192" s="229">
        <v>0</v>
      </c>
      <c r="CN192" s="230">
        <v>4945500</v>
      </c>
      <c r="CO192" s="230">
        <v>4957875</v>
      </c>
      <c r="CP192" s="230">
        <v>-12375</v>
      </c>
      <c r="CQ192" s="229">
        <v>-2.5000000000000001E-3</v>
      </c>
      <c r="CR192" s="230">
        <v>1912875</v>
      </c>
      <c r="CS192" s="230">
        <v>1933125</v>
      </c>
      <c r="CT192" s="230">
        <v>-20250</v>
      </c>
      <c r="CU192" s="229">
        <v>-1.0500000000000001E-2</v>
      </c>
      <c r="CV192" s="230">
        <v>14244750</v>
      </c>
      <c r="CW192" s="230">
        <v>14206500</v>
      </c>
      <c r="CX192" s="230">
        <v>38250</v>
      </c>
      <c r="CY192" s="229">
        <v>2.7000000000000001E-3</v>
      </c>
      <c r="CZ192" s="228">
        <v>24.6</v>
      </c>
      <c r="DA192" s="228">
        <v>25.32</v>
      </c>
      <c r="DB192" s="228">
        <v>-0.72</v>
      </c>
      <c r="DC192" s="228">
        <v>-0.72</v>
      </c>
      <c r="DD192" s="228">
        <v>27.64</v>
      </c>
      <c r="DE192" s="228">
        <v>27.71</v>
      </c>
      <c r="DF192" s="228">
        <v>-3.04</v>
      </c>
      <c r="DG192" s="228">
        <v>-7.0000000000000007E-2</v>
      </c>
      <c r="DH192" s="228">
        <v>24.08</v>
      </c>
      <c r="DI192" s="228">
        <v>24.94</v>
      </c>
      <c r="DJ192" s="228">
        <v>-0.86</v>
      </c>
      <c r="DK192" s="228">
        <v>-0.86</v>
      </c>
      <c r="DL192" s="228">
        <v>26.47</v>
      </c>
      <c r="DM192" s="228">
        <v>26.3</v>
      </c>
      <c r="DN192" s="228">
        <v>0.17</v>
      </c>
      <c r="DO192" s="228">
        <v>0.17</v>
      </c>
      <c r="DP192" s="228">
        <v>0.39</v>
      </c>
      <c r="DQ192" s="228">
        <v>0.39</v>
      </c>
      <c r="DR192" s="228">
        <v>0</v>
      </c>
      <c r="DS192" s="229">
        <v>0</v>
      </c>
      <c r="DT192" s="231">
        <v>1860</v>
      </c>
      <c r="DU192" s="231">
        <v>1800</v>
      </c>
      <c r="DV192" s="228">
        <v>0.28000000000000003</v>
      </c>
      <c r="DW192" s="228">
        <v>0.39</v>
      </c>
      <c r="DX192" s="228">
        <v>-0.11</v>
      </c>
      <c r="DY192" s="229">
        <v>-0.28210000000000002</v>
      </c>
      <c r="DZ192" s="229">
        <v>5.1700000000000003E-2</v>
      </c>
      <c r="EA192" s="230">
        <v>374250</v>
      </c>
      <c r="EB192" s="229">
        <v>5.3E-3</v>
      </c>
      <c r="EC192" s="229">
        <v>5.1700000000000003E-2</v>
      </c>
      <c r="ED192" s="228">
        <v>8.6300000000000008</v>
      </c>
      <c r="EE192" s="229">
        <v>4.7999999999999996E-3</v>
      </c>
      <c r="EF192" s="230">
        <v>343988</v>
      </c>
      <c r="EG192" s="230">
        <v>293146</v>
      </c>
      <c r="EH192" s="229">
        <v>0.1734</v>
      </c>
      <c r="EI192" s="229">
        <v>0.59140000000000004</v>
      </c>
      <c r="EJ192" s="231">
        <v>64339.19</v>
      </c>
      <c r="EK192" s="231">
        <v>16912.43</v>
      </c>
      <c r="EL192" s="231">
        <v>12344.76</v>
      </c>
      <c r="EM192" s="228">
        <v>0</v>
      </c>
      <c r="EN192" s="231">
        <v>93596.38</v>
      </c>
      <c r="EO192" s="231">
        <v>91013.3</v>
      </c>
      <c r="EP192" s="231">
        <v>2583.08</v>
      </c>
      <c r="EQ192" s="229">
        <v>2.8400000000000002E-2</v>
      </c>
      <c r="ER192" s="231">
        <v>93061</v>
      </c>
      <c r="ES192" s="231">
        <v>33758</v>
      </c>
      <c r="ET192" s="231">
        <v>133888</v>
      </c>
      <c r="EU192" s="231">
        <v>89427016</v>
      </c>
      <c r="EV192" s="231">
        <v>260707</v>
      </c>
      <c r="EW192" s="231">
        <v>259754</v>
      </c>
      <c r="EX192" s="228">
        <v>953</v>
      </c>
      <c r="EY192" s="229">
        <v>3.7000000000000002E-3</v>
      </c>
      <c r="EZ192" s="229">
        <v>0.1593</v>
      </c>
      <c r="FA192" s="227" t="s">
        <v>555</v>
      </c>
      <c r="FB192" s="161">
        <f t="shared" si="4"/>
        <v>0</v>
      </c>
    </row>
    <row r="193" spans="1:158" ht="17.25" thickBot="1" x14ac:dyDescent="0.3">
      <c r="A193" s="226">
        <v>45860</v>
      </c>
      <c r="B193" s="227" t="s">
        <v>172</v>
      </c>
      <c r="C193" s="227" t="s">
        <v>283</v>
      </c>
      <c r="D193" s="228">
        <v>750</v>
      </c>
      <c r="E193" s="228">
        <v>815.85</v>
      </c>
      <c r="F193" s="228">
        <v>824.85</v>
      </c>
      <c r="G193" s="228">
        <v>-9</v>
      </c>
      <c r="H193" s="229">
        <v>-1.09E-2</v>
      </c>
      <c r="I193" s="228">
        <v>815</v>
      </c>
      <c r="J193" s="228">
        <v>824.2</v>
      </c>
      <c r="K193" s="228">
        <v>-9.1999999999999993</v>
      </c>
      <c r="L193" s="229">
        <v>-1.12E-2</v>
      </c>
      <c r="M193" s="228">
        <v>815.85</v>
      </c>
      <c r="N193" s="228">
        <v>824.85</v>
      </c>
      <c r="O193" s="228">
        <v>-9</v>
      </c>
      <c r="P193" s="229">
        <v>-1.09E-2</v>
      </c>
      <c r="Q193" s="228">
        <v>819.95</v>
      </c>
      <c r="R193" s="228">
        <v>828.95</v>
      </c>
      <c r="S193" s="228">
        <v>-9</v>
      </c>
      <c r="T193" s="229">
        <v>-1.09E-2</v>
      </c>
      <c r="U193" s="228">
        <v>0</v>
      </c>
      <c r="V193" s="228">
        <v>0</v>
      </c>
      <c r="W193" s="228">
        <v>0</v>
      </c>
      <c r="X193" s="229">
        <v>0</v>
      </c>
      <c r="Y193" s="228">
        <v>0.85</v>
      </c>
      <c r="Z193" s="228">
        <v>0.65</v>
      </c>
      <c r="AA193" s="228">
        <v>0.2</v>
      </c>
      <c r="AB193" s="229">
        <v>1E-3</v>
      </c>
      <c r="AC193" s="228">
        <v>0.85</v>
      </c>
      <c r="AD193" s="228">
        <v>0.65</v>
      </c>
      <c r="AE193" s="228">
        <v>0.2</v>
      </c>
      <c r="AF193" s="229">
        <v>1E-3</v>
      </c>
      <c r="AG193" s="228">
        <v>4.95</v>
      </c>
      <c r="AH193" s="228">
        <v>4.75</v>
      </c>
      <c r="AI193" s="228">
        <v>0.2</v>
      </c>
      <c r="AJ193" s="229">
        <v>6.1000000000000004E-3</v>
      </c>
      <c r="AK193" s="228">
        <v>0</v>
      </c>
      <c r="AL193" s="228">
        <v>0</v>
      </c>
      <c r="AM193" s="228">
        <v>0</v>
      </c>
      <c r="AN193" s="229">
        <v>0</v>
      </c>
      <c r="AO193" s="228">
        <v>820.21</v>
      </c>
      <c r="AP193" s="228">
        <v>824</v>
      </c>
      <c r="AQ193" s="228">
        <v>0</v>
      </c>
      <c r="AR193" s="230">
        <v>21664500</v>
      </c>
      <c r="AS193" s="230">
        <v>18571500</v>
      </c>
      <c r="AT193" s="230">
        <v>3093000</v>
      </c>
      <c r="AU193" s="229">
        <v>0.16650000000000001</v>
      </c>
      <c r="AV193" s="230">
        <v>17136000</v>
      </c>
      <c r="AW193" s="230">
        <v>15187500</v>
      </c>
      <c r="AX193" s="230">
        <v>1948500</v>
      </c>
      <c r="AY193" s="229">
        <v>0.1283</v>
      </c>
      <c r="AZ193" s="230">
        <v>4303500</v>
      </c>
      <c r="BA193" s="230">
        <v>3252750</v>
      </c>
      <c r="BB193" s="230">
        <v>1050750</v>
      </c>
      <c r="BC193" s="229">
        <v>0.32300000000000001</v>
      </c>
      <c r="BD193" s="228">
        <v>0</v>
      </c>
      <c r="BE193" s="228">
        <v>0</v>
      </c>
      <c r="BF193" s="228">
        <v>0</v>
      </c>
      <c r="BG193" s="229">
        <v>0</v>
      </c>
      <c r="BH193" s="230">
        <v>92347500</v>
      </c>
      <c r="BI193" s="230">
        <v>91155000</v>
      </c>
      <c r="BJ193" s="230">
        <v>1192500</v>
      </c>
      <c r="BK193" s="229">
        <v>1.3100000000000001E-2</v>
      </c>
      <c r="BL193" s="230">
        <v>50012250</v>
      </c>
      <c r="BM193" s="230">
        <v>43433250</v>
      </c>
      <c r="BN193" s="230">
        <v>6579000</v>
      </c>
      <c r="BO193" s="229">
        <v>0.1515</v>
      </c>
      <c r="BP193" s="230">
        <v>164024250</v>
      </c>
      <c r="BQ193" s="230">
        <v>153159750</v>
      </c>
      <c r="BR193" s="230">
        <v>10864500</v>
      </c>
      <c r="BS193" s="229">
        <v>7.0900000000000005E-2</v>
      </c>
      <c r="BT193" s="230">
        <v>8025527</v>
      </c>
      <c r="BU193" s="230">
        <v>9110760</v>
      </c>
      <c r="BV193" s="230">
        <v>-1085233</v>
      </c>
      <c r="BW193" s="229">
        <v>-0.1191</v>
      </c>
      <c r="BX193" s="230">
        <v>112539750</v>
      </c>
      <c r="BY193" s="230">
        <v>112822500</v>
      </c>
      <c r="BZ193" s="230">
        <v>-282750</v>
      </c>
      <c r="CA193" s="229">
        <v>-2.5000000000000001E-3</v>
      </c>
      <c r="CB193" s="230">
        <v>92765250</v>
      </c>
      <c r="CC193" s="230">
        <v>95491500</v>
      </c>
      <c r="CD193" s="230">
        <v>-2726250</v>
      </c>
      <c r="CE193" s="229">
        <v>-2.8500000000000001E-2</v>
      </c>
      <c r="CF193" s="230">
        <v>18924000</v>
      </c>
      <c r="CG193" s="230">
        <v>16568250</v>
      </c>
      <c r="CH193" s="230">
        <v>2355750</v>
      </c>
      <c r="CI193" s="229">
        <v>0.14219999999999999</v>
      </c>
      <c r="CJ193" s="228">
        <v>0</v>
      </c>
      <c r="CK193" s="228">
        <v>0</v>
      </c>
      <c r="CL193" s="228">
        <v>0</v>
      </c>
      <c r="CM193" s="229">
        <v>0</v>
      </c>
      <c r="CN193" s="230">
        <v>84405750</v>
      </c>
      <c r="CO193" s="230">
        <v>84951750</v>
      </c>
      <c r="CP193" s="230">
        <v>-546000</v>
      </c>
      <c r="CQ193" s="229">
        <v>-6.4000000000000003E-3</v>
      </c>
      <c r="CR193" s="230">
        <v>42403500</v>
      </c>
      <c r="CS193" s="230">
        <v>42581250</v>
      </c>
      <c r="CT193" s="230">
        <v>-177750</v>
      </c>
      <c r="CU193" s="229">
        <v>-4.1999999999999997E-3</v>
      </c>
      <c r="CV193" s="230">
        <v>239349000</v>
      </c>
      <c r="CW193" s="230">
        <v>240355500</v>
      </c>
      <c r="CX193" s="230">
        <v>-1006500</v>
      </c>
      <c r="CY193" s="229">
        <v>-4.1999999999999997E-3</v>
      </c>
      <c r="CZ193" s="228">
        <v>18.829999999999998</v>
      </c>
      <c r="DA193" s="228">
        <v>18.73</v>
      </c>
      <c r="DB193" s="228">
        <v>0.1</v>
      </c>
      <c r="DC193" s="228">
        <v>0.1</v>
      </c>
      <c r="DD193" s="228">
        <v>28.75</v>
      </c>
      <c r="DE193" s="228">
        <v>28.78</v>
      </c>
      <c r="DF193" s="228">
        <v>-9.92</v>
      </c>
      <c r="DG193" s="228">
        <v>-0.03</v>
      </c>
      <c r="DH193" s="228">
        <v>19.16</v>
      </c>
      <c r="DI193" s="228">
        <v>18.77</v>
      </c>
      <c r="DJ193" s="228">
        <v>0.39</v>
      </c>
      <c r="DK193" s="228">
        <v>0.39</v>
      </c>
      <c r="DL193" s="228">
        <v>18.239999999999998</v>
      </c>
      <c r="DM193" s="228">
        <v>18.63</v>
      </c>
      <c r="DN193" s="228">
        <v>-0.39</v>
      </c>
      <c r="DO193" s="228">
        <v>-0.39</v>
      </c>
      <c r="DP193" s="228">
        <v>0.5</v>
      </c>
      <c r="DQ193" s="228">
        <v>0.5</v>
      </c>
      <c r="DR193" s="228">
        <v>0</v>
      </c>
      <c r="DS193" s="229">
        <v>0</v>
      </c>
      <c r="DT193" s="228">
        <v>820</v>
      </c>
      <c r="DU193" s="228">
        <v>820</v>
      </c>
      <c r="DV193" s="228">
        <v>0.54</v>
      </c>
      <c r="DW193" s="228">
        <v>0.48</v>
      </c>
      <c r="DX193" s="228">
        <v>0.06</v>
      </c>
      <c r="DY193" s="229">
        <v>0.125</v>
      </c>
      <c r="DZ193" s="229">
        <v>0.16819999999999999</v>
      </c>
      <c r="EA193" s="230">
        <v>16568250</v>
      </c>
      <c r="EB193" s="229">
        <v>5.0000000000000001E-3</v>
      </c>
      <c r="EC193" s="229">
        <v>0.16819999999999999</v>
      </c>
      <c r="ED193" s="228">
        <v>3.79</v>
      </c>
      <c r="EE193" s="229">
        <v>4.5999999999999999E-3</v>
      </c>
      <c r="EF193" s="230">
        <v>4693707</v>
      </c>
      <c r="EG193" s="230">
        <v>5854487</v>
      </c>
      <c r="EH193" s="229">
        <v>-0.1983</v>
      </c>
      <c r="EI193" s="229">
        <v>0.58479999999999999</v>
      </c>
      <c r="EJ193" s="231">
        <v>779664.19</v>
      </c>
      <c r="EK193" s="231">
        <v>407543.16</v>
      </c>
      <c r="EL193" s="231">
        <v>177875.92</v>
      </c>
      <c r="EM193" s="228">
        <v>0</v>
      </c>
      <c r="EN193" s="231">
        <v>1365083.27</v>
      </c>
      <c r="EO193" s="231">
        <v>1283177.8899999999</v>
      </c>
      <c r="EP193" s="231">
        <v>81905.38</v>
      </c>
      <c r="EQ193" s="229">
        <v>6.3799999999999996E-2</v>
      </c>
      <c r="ER193" s="231">
        <v>709867</v>
      </c>
      <c r="ES193" s="231">
        <v>340867</v>
      </c>
      <c r="ET193" s="231">
        <v>919006</v>
      </c>
      <c r="EU193" s="231">
        <v>753011455</v>
      </c>
      <c r="EV193" s="231">
        <v>1969740</v>
      </c>
      <c r="EW193" s="231">
        <v>1988848</v>
      </c>
      <c r="EX193" s="231">
        <v>-19108</v>
      </c>
      <c r="EY193" s="229">
        <v>-9.5999999999999992E-3</v>
      </c>
      <c r="EZ193" s="229">
        <v>0.31790000000000002</v>
      </c>
      <c r="FA193" s="227" t="s">
        <v>568</v>
      </c>
      <c r="FB193" s="161">
        <f t="shared" si="4"/>
        <v>0</v>
      </c>
    </row>
    <row r="194" spans="1:158" ht="17.25" thickBot="1" x14ac:dyDescent="0.3">
      <c r="A194" s="226">
        <v>45860</v>
      </c>
      <c r="B194" s="227" t="s">
        <v>157</v>
      </c>
      <c r="C194" s="227" t="s">
        <v>284</v>
      </c>
      <c r="D194" s="228">
        <v>25</v>
      </c>
      <c r="E194" s="231">
        <v>32445</v>
      </c>
      <c r="F194" s="231">
        <v>31635</v>
      </c>
      <c r="G194" s="228">
        <v>810</v>
      </c>
      <c r="H194" s="229">
        <v>2.5600000000000001E-2</v>
      </c>
      <c r="I194" s="231">
        <v>32345</v>
      </c>
      <c r="J194" s="231">
        <v>31535</v>
      </c>
      <c r="K194" s="228">
        <v>810</v>
      </c>
      <c r="L194" s="229">
        <v>2.5700000000000001E-2</v>
      </c>
      <c r="M194" s="231">
        <v>32445</v>
      </c>
      <c r="N194" s="231">
        <v>31635</v>
      </c>
      <c r="O194" s="228">
        <v>810</v>
      </c>
      <c r="P194" s="229">
        <v>2.5600000000000001E-2</v>
      </c>
      <c r="Q194" s="231">
        <v>32345</v>
      </c>
      <c r="R194" s="231">
        <v>31450</v>
      </c>
      <c r="S194" s="228">
        <v>895</v>
      </c>
      <c r="T194" s="229">
        <v>2.8500000000000001E-2</v>
      </c>
      <c r="U194" s="228">
        <v>0</v>
      </c>
      <c r="V194" s="228">
        <v>0</v>
      </c>
      <c r="W194" s="228">
        <v>0</v>
      </c>
      <c r="X194" s="229">
        <v>0</v>
      </c>
      <c r="Y194" s="228">
        <v>100</v>
      </c>
      <c r="Z194" s="228">
        <v>100</v>
      </c>
      <c r="AA194" s="228">
        <v>0</v>
      </c>
      <c r="AB194" s="229">
        <v>3.0999999999999999E-3</v>
      </c>
      <c r="AC194" s="228">
        <v>100</v>
      </c>
      <c r="AD194" s="228">
        <v>100</v>
      </c>
      <c r="AE194" s="228">
        <v>0</v>
      </c>
      <c r="AF194" s="229">
        <v>3.0999999999999999E-3</v>
      </c>
      <c r="AG194" s="228">
        <v>0</v>
      </c>
      <c r="AH194" s="228">
        <v>-85</v>
      </c>
      <c r="AI194" s="228">
        <v>85</v>
      </c>
      <c r="AJ194" s="229">
        <v>0</v>
      </c>
      <c r="AK194" s="228">
        <v>0</v>
      </c>
      <c r="AL194" s="228">
        <v>0</v>
      </c>
      <c r="AM194" s="228">
        <v>0</v>
      </c>
      <c r="AN194" s="229">
        <v>0</v>
      </c>
      <c r="AO194" s="231">
        <v>32220.76</v>
      </c>
      <c r="AP194" s="231">
        <v>32058.26</v>
      </c>
      <c r="AQ194" s="228">
        <v>0</v>
      </c>
      <c r="AR194" s="230">
        <v>131925</v>
      </c>
      <c r="AS194" s="230">
        <v>96775</v>
      </c>
      <c r="AT194" s="230">
        <v>35150</v>
      </c>
      <c r="AU194" s="229">
        <v>0.36320000000000002</v>
      </c>
      <c r="AV194" s="230">
        <v>96350</v>
      </c>
      <c r="AW194" s="230">
        <v>78600</v>
      </c>
      <c r="AX194" s="230">
        <v>17750</v>
      </c>
      <c r="AY194" s="229">
        <v>0.2258</v>
      </c>
      <c r="AZ194" s="230">
        <v>35000</v>
      </c>
      <c r="BA194" s="230">
        <v>17975</v>
      </c>
      <c r="BB194" s="230">
        <v>17025</v>
      </c>
      <c r="BC194" s="229">
        <v>0.94710000000000005</v>
      </c>
      <c r="BD194" s="228">
        <v>0</v>
      </c>
      <c r="BE194" s="228">
        <v>0</v>
      </c>
      <c r="BF194" s="228">
        <v>0</v>
      </c>
      <c r="BG194" s="229">
        <v>0</v>
      </c>
      <c r="BH194" s="230">
        <v>940325</v>
      </c>
      <c r="BI194" s="230">
        <v>221025</v>
      </c>
      <c r="BJ194" s="230">
        <v>719300</v>
      </c>
      <c r="BK194" s="229">
        <v>3.2544</v>
      </c>
      <c r="BL194" s="230">
        <v>185475</v>
      </c>
      <c r="BM194" s="230">
        <v>44050</v>
      </c>
      <c r="BN194" s="230">
        <v>141425</v>
      </c>
      <c r="BO194" s="229">
        <v>3.2105999999999999</v>
      </c>
      <c r="BP194" s="230">
        <v>1257725</v>
      </c>
      <c r="BQ194" s="230">
        <v>361850</v>
      </c>
      <c r="BR194" s="230">
        <v>895875</v>
      </c>
      <c r="BS194" s="229">
        <v>2.4758</v>
      </c>
      <c r="BT194" s="230">
        <v>62069</v>
      </c>
      <c r="BU194" s="230">
        <v>49666</v>
      </c>
      <c r="BV194" s="230">
        <v>12403</v>
      </c>
      <c r="BW194" s="229">
        <v>0.24970000000000001</v>
      </c>
      <c r="BX194" s="230">
        <v>280975</v>
      </c>
      <c r="BY194" s="230">
        <v>257550</v>
      </c>
      <c r="BZ194" s="230">
        <v>23425</v>
      </c>
      <c r="CA194" s="229">
        <v>9.0999999999999998E-2</v>
      </c>
      <c r="CB194" s="230">
        <v>231475</v>
      </c>
      <c r="CC194" s="230">
        <v>229000</v>
      </c>
      <c r="CD194" s="230">
        <v>2475</v>
      </c>
      <c r="CE194" s="229">
        <v>1.0800000000000001E-2</v>
      </c>
      <c r="CF194" s="230">
        <v>49000</v>
      </c>
      <c r="CG194" s="230">
        <v>28225</v>
      </c>
      <c r="CH194" s="230">
        <v>20775</v>
      </c>
      <c r="CI194" s="229">
        <v>0.73599999999999999</v>
      </c>
      <c r="CJ194" s="228">
        <v>0</v>
      </c>
      <c r="CK194" s="228">
        <v>0</v>
      </c>
      <c r="CL194" s="228">
        <v>0</v>
      </c>
      <c r="CM194" s="229">
        <v>0</v>
      </c>
      <c r="CN194" s="230">
        <v>138875</v>
      </c>
      <c r="CO194" s="230">
        <v>93350</v>
      </c>
      <c r="CP194" s="230">
        <v>45525</v>
      </c>
      <c r="CQ194" s="229">
        <v>0.48770000000000002</v>
      </c>
      <c r="CR194" s="230">
        <v>87675</v>
      </c>
      <c r="CS194" s="230">
        <v>63775</v>
      </c>
      <c r="CT194" s="230">
        <v>23900</v>
      </c>
      <c r="CU194" s="229">
        <v>0.37480000000000002</v>
      </c>
      <c r="CV194" s="230">
        <v>507525</v>
      </c>
      <c r="CW194" s="230">
        <v>414675</v>
      </c>
      <c r="CX194" s="230">
        <v>92850</v>
      </c>
      <c r="CY194" s="229">
        <v>0.22389999999999999</v>
      </c>
      <c r="CZ194" s="228">
        <v>25.46</v>
      </c>
      <c r="DA194" s="228">
        <v>24.11</v>
      </c>
      <c r="DB194" s="228">
        <v>1.35</v>
      </c>
      <c r="DC194" s="228">
        <v>1.35</v>
      </c>
      <c r="DD194" s="228">
        <v>27.56</v>
      </c>
      <c r="DE194" s="228">
        <v>27.41</v>
      </c>
      <c r="DF194" s="228">
        <v>-2.1</v>
      </c>
      <c r="DG194" s="228">
        <v>0.15</v>
      </c>
      <c r="DH194" s="228">
        <v>25.24</v>
      </c>
      <c r="DI194" s="228">
        <v>23.98</v>
      </c>
      <c r="DJ194" s="228">
        <v>1.26</v>
      </c>
      <c r="DK194" s="228">
        <v>1.26</v>
      </c>
      <c r="DL194" s="228">
        <v>26.58</v>
      </c>
      <c r="DM194" s="228">
        <v>24.71</v>
      </c>
      <c r="DN194" s="228">
        <v>1.87</v>
      </c>
      <c r="DO194" s="228">
        <v>1.87</v>
      </c>
      <c r="DP194" s="228">
        <v>0.63</v>
      </c>
      <c r="DQ194" s="228">
        <v>0.68</v>
      </c>
      <c r="DR194" s="228">
        <v>-0.05</v>
      </c>
      <c r="DS194" s="229">
        <v>-7.3499999999999996E-2</v>
      </c>
      <c r="DT194" s="231">
        <v>33000</v>
      </c>
      <c r="DU194" s="231">
        <v>30000</v>
      </c>
      <c r="DV194" s="228">
        <v>0.2</v>
      </c>
      <c r="DW194" s="228">
        <v>0.2</v>
      </c>
      <c r="DX194" s="228">
        <v>0</v>
      </c>
      <c r="DY194" s="229">
        <v>0</v>
      </c>
      <c r="DZ194" s="229">
        <v>0.1744</v>
      </c>
      <c r="EA194" s="230">
        <v>28225</v>
      </c>
      <c r="EB194" s="229">
        <v>-3.0999999999999999E-3</v>
      </c>
      <c r="EC194" s="229">
        <v>0.1744</v>
      </c>
      <c r="ED194" s="228">
        <v>-162.5</v>
      </c>
      <c r="EE194" s="229">
        <v>-5.0000000000000001E-3</v>
      </c>
      <c r="EF194" s="230">
        <v>29213</v>
      </c>
      <c r="EG194" s="230">
        <v>24904</v>
      </c>
      <c r="EH194" s="229">
        <v>0.17299999999999999</v>
      </c>
      <c r="EI194" s="229">
        <v>0.47070000000000001</v>
      </c>
      <c r="EJ194" s="231">
        <v>313149.99</v>
      </c>
      <c r="EK194" s="231">
        <v>58438.05</v>
      </c>
      <c r="EL194" s="231">
        <v>42449.16</v>
      </c>
      <c r="EM194" s="228">
        <v>0</v>
      </c>
      <c r="EN194" s="231">
        <v>414037.2</v>
      </c>
      <c r="EO194" s="231">
        <v>115663.24</v>
      </c>
      <c r="EP194" s="231">
        <v>298373.96000000002</v>
      </c>
      <c r="EQ194" s="229">
        <v>2.5796999999999999</v>
      </c>
      <c r="ER194" s="231">
        <v>45821</v>
      </c>
      <c r="ES194" s="231">
        <v>26444</v>
      </c>
      <c r="ET194" s="231">
        <v>91112</v>
      </c>
      <c r="EU194" s="231">
        <v>2702310</v>
      </c>
      <c r="EV194" s="231">
        <v>163377</v>
      </c>
      <c r="EW194" s="231">
        <v>130771</v>
      </c>
      <c r="EX194" s="231">
        <v>32606</v>
      </c>
      <c r="EY194" s="229">
        <v>0.24929999999999999</v>
      </c>
      <c r="EZ194" s="229">
        <v>0.18779999999999999</v>
      </c>
      <c r="FA194" s="227" t="s">
        <v>555</v>
      </c>
      <c r="FB194" s="161">
        <f t="shared" si="4"/>
        <v>0</v>
      </c>
    </row>
    <row r="195" spans="1:158" ht="17.25" thickBot="1" x14ac:dyDescent="0.3">
      <c r="A195" s="226">
        <v>45860</v>
      </c>
      <c r="B195" s="227" t="s">
        <v>175</v>
      </c>
      <c r="C195" s="227" t="s">
        <v>562</v>
      </c>
      <c r="D195" s="228">
        <v>825</v>
      </c>
      <c r="E195" s="228">
        <v>642.15</v>
      </c>
      <c r="F195" s="228">
        <v>656.8</v>
      </c>
      <c r="G195" s="228">
        <v>-14.65</v>
      </c>
      <c r="H195" s="229">
        <v>-2.23E-2</v>
      </c>
      <c r="I195" s="228">
        <v>640.15</v>
      </c>
      <c r="J195" s="228">
        <v>655.65</v>
      </c>
      <c r="K195" s="228">
        <v>-15.5</v>
      </c>
      <c r="L195" s="229">
        <v>-2.3599999999999999E-2</v>
      </c>
      <c r="M195" s="228">
        <v>642.15</v>
      </c>
      <c r="N195" s="228">
        <v>656.8</v>
      </c>
      <c r="O195" s="228">
        <v>-14.65</v>
      </c>
      <c r="P195" s="229">
        <v>-2.23E-2</v>
      </c>
      <c r="Q195" s="228">
        <v>645.1</v>
      </c>
      <c r="R195" s="228">
        <v>659.85</v>
      </c>
      <c r="S195" s="228">
        <v>-14.75</v>
      </c>
      <c r="T195" s="229">
        <v>-2.24E-2</v>
      </c>
      <c r="U195" s="228">
        <v>0</v>
      </c>
      <c r="V195" s="228">
        <v>0</v>
      </c>
      <c r="W195" s="228">
        <v>0</v>
      </c>
      <c r="X195" s="229">
        <v>0</v>
      </c>
      <c r="Y195" s="228">
        <v>2</v>
      </c>
      <c r="Z195" s="228">
        <v>1.1499999999999999</v>
      </c>
      <c r="AA195" s="228">
        <v>0.85</v>
      </c>
      <c r="AB195" s="229">
        <v>3.0999999999999999E-3</v>
      </c>
      <c r="AC195" s="228">
        <v>2</v>
      </c>
      <c r="AD195" s="228">
        <v>1.1499999999999999</v>
      </c>
      <c r="AE195" s="228">
        <v>0.85</v>
      </c>
      <c r="AF195" s="229">
        <v>3.0999999999999999E-3</v>
      </c>
      <c r="AG195" s="228">
        <v>4.95</v>
      </c>
      <c r="AH195" s="228">
        <v>4.2</v>
      </c>
      <c r="AI195" s="228">
        <v>0.75</v>
      </c>
      <c r="AJ195" s="229">
        <v>7.7000000000000002E-3</v>
      </c>
      <c r="AK195" s="228">
        <v>0</v>
      </c>
      <c r="AL195" s="228">
        <v>0</v>
      </c>
      <c r="AM195" s="228">
        <v>0</v>
      </c>
      <c r="AN195" s="229">
        <v>0</v>
      </c>
      <c r="AO195" s="228">
        <v>645.96</v>
      </c>
      <c r="AP195" s="228">
        <v>647.41</v>
      </c>
      <c r="AQ195" s="228">
        <v>0</v>
      </c>
      <c r="AR195" s="230">
        <v>7118100</v>
      </c>
      <c r="AS195" s="230">
        <v>7501725</v>
      </c>
      <c r="AT195" s="230">
        <v>-383625</v>
      </c>
      <c r="AU195" s="229">
        <v>-5.11E-2</v>
      </c>
      <c r="AV195" s="230">
        <v>4788300</v>
      </c>
      <c r="AW195" s="230">
        <v>6237000</v>
      </c>
      <c r="AX195" s="230">
        <v>-1448700</v>
      </c>
      <c r="AY195" s="229">
        <v>-0.23230000000000001</v>
      </c>
      <c r="AZ195" s="230">
        <v>1357125</v>
      </c>
      <c r="BA195" s="230">
        <v>1162425</v>
      </c>
      <c r="BB195" s="230">
        <v>194700</v>
      </c>
      <c r="BC195" s="229">
        <v>0.16750000000000001</v>
      </c>
      <c r="BD195" s="228">
        <v>0</v>
      </c>
      <c r="BE195" s="228">
        <v>0</v>
      </c>
      <c r="BF195" s="228">
        <v>0</v>
      </c>
      <c r="BG195" s="229">
        <v>0</v>
      </c>
      <c r="BH195" s="230">
        <v>7975275</v>
      </c>
      <c r="BI195" s="230">
        <v>13294050</v>
      </c>
      <c r="BJ195" s="230">
        <v>-5318775</v>
      </c>
      <c r="BK195" s="229">
        <v>-0.40010000000000001</v>
      </c>
      <c r="BL195" s="230">
        <v>3277725</v>
      </c>
      <c r="BM195" s="230">
        <v>5576175</v>
      </c>
      <c r="BN195" s="230">
        <v>-2298450</v>
      </c>
      <c r="BO195" s="229">
        <v>-0.41220000000000001</v>
      </c>
      <c r="BP195" s="230">
        <v>18371100</v>
      </c>
      <c r="BQ195" s="230">
        <v>26371950</v>
      </c>
      <c r="BR195" s="230">
        <v>-8000850</v>
      </c>
      <c r="BS195" s="229">
        <v>-0.3034</v>
      </c>
      <c r="BT195" s="230">
        <v>4801325</v>
      </c>
      <c r="BU195" s="230">
        <v>5064679</v>
      </c>
      <c r="BV195" s="230">
        <v>-263354</v>
      </c>
      <c r="BW195" s="229">
        <v>-5.1999999999999998E-2</v>
      </c>
      <c r="BX195" s="230">
        <v>40051275</v>
      </c>
      <c r="BY195" s="230">
        <v>39590925</v>
      </c>
      <c r="BZ195" s="230">
        <v>460350</v>
      </c>
      <c r="CA195" s="229">
        <v>1.1599999999999999E-2</v>
      </c>
      <c r="CB195" s="230">
        <v>35320725</v>
      </c>
      <c r="CC195" s="230">
        <v>36579675</v>
      </c>
      <c r="CD195" s="230">
        <v>-1258950</v>
      </c>
      <c r="CE195" s="229">
        <v>-3.44E-2</v>
      </c>
      <c r="CF195" s="230">
        <v>3526050</v>
      </c>
      <c r="CG195" s="230">
        <v>2714250</v>
      </c>
      <c r="CH195" s="230">
        <v>811800</v>
      </c>
      <c r="CI195" s="229">
        <v>0.29909999999999998</v>
      </c>
      <c r="CJ195" s="228">
        <v>0</v>
      </c>
      <c r="CK195" s="228">
        <v>0</v>
      </c>
      <c r="CL195" s="228">
        <v>0</v>
      </c>
      <c r="CM195" s="229">
        <v>0</v>
      </c>
      <c r="CN195" s="230">
        <v>11905575</v>
      </c>
      <c r="CO195" s="230">
        <v>11438625</v>
      </c>
      <c r="CP195" s="230">
        <v>466950</v>
      </c>
      <c r="CQ195" s="229">
        <v>4.0800000000000003E-2</v>
      </c>
      <c r="CR195" s="230">
        <v>6960525</v>
      </c>
      <c r="CS195" s="230">
        <v>6749325</v>
      </c>
      <c r="CT195" s="230">
        <v>211200</v>
      </c>
      <c r="CU195" s="229">
        <v>3.1300000000000001E-2</v>
      </c>
      <c r="CV195" s="230">
        <v>58917375</v>
      </c>
      <c r="CW195" s="230">
        <v>57778875</v>
      </c>
      <c r="CX195" s="230">
        <v>1138500</v>
      </c>
      <c r="CY195" s="229">
        <v>1.9699999999999999E-2</v>
      </c>
      <c r="CZ195" s="228">
        <v>44.67</v>
      </c>
      <c r="DA195" s="228">
        <v>42.12</v>
      </c>
      <c r="DB195" s="228">
        <v>2.5499999999999998</v>
      </c>
      <c r="DC195" s="228">
        <v>2.5499999999999998</v>
      </c>
      <c r="DD195" s="228">
        <v>43.05</v>
      </c>
      <c r="DE195" s="228">
        <v>43.04</v>
      </c>
      <c r="DF195" s="228">
        <v>1.62</v>
      </c>
      <c r="DG195" s="228">
        <v>0.01</v>
      </c>
      <c r="DH195" s="228">
        <v>45.32</v>
      </c>
      <c r="DI195" s="228">
        <v>42.24</v>
      </c>
      <c r="DJ195" s="228">
        <v>3.08</v>
      </c>
      <c r="DK195" s="228">
        <v>3.08</v>
      </c>
      <c r="DL195" s="228">
        <v>43.07</v>
      </c>
      <c r="DM195" s="228">
        <v>41.83</v>
      </c>
      <c r="DN195" s="228">
        <v>1.24</v>
      </c>
      <c r="DO195" s="228">
        <v>1.24</v>
      </c>
      <c r="DP195" s="228">
        <v>0.57999999999999996</v>
      </c>
      <c r="DQ195" s="228">
        <v>0.59</v>
      </c>
      <c r="DR195" s="228">
        <v>-0.01</v>
      </c>
      <c r="DS195" s="229">
        <v>-1.6899999999999998E-2</v>
      </c>
      <c r="DT195" s="228">
        <v>700</v>
      </c>
      <c r="DU195" s="228">
        <v>650</v>
      </c>
      <c r="DV195" s="228">
        <v>0.41</v>
      </c>
      <c r="DW195" s="228">
        <v>0.42</v>
      </c>
      <c r="DX195" s="228">
        <v>-0.01</v>
      </c>
      <c r="DY195" s="229">
        <v>-2.3800000000000002E-2</v>
      </c>
      <c r="DZ195" s="229">
        <v>8.7999999999999995E-2</v>
      </c>
      <c r="EA195" s="230">
        <v>2714250</v>
      </c>
      <c r="EB195" s="229">
        <v>4.5999999999999999E-3</v>
      </c>
      <c r="EC195" s="229">
        <v>8.7999999999999995E-2</v>
      </c>
      <c r="ED195" s="228">
        <v>1.45</v>
      </c>
      <c r="EE195" s="229">
        <v>2.2000000000000001E-3</v>
      </c>
      <c r="EF195" s="230">
        <v>3122004</v>
      </c>
      <c r="EG195" s="230">
        <v>2462627</v>
      </c>
      <c r="EH195" s="229">
        <v>0.26779999999999998</v>
      </c>
      <c r="EI195" s="229">
        <v>0.6502</v>
      </c>
      <c r="EJ195" s="231">
        <v>55023.06</v>
      </c>
      <c r="EK195" s="231">
        <v>21223.69</v>
      </c>
      <c r="EL195" s="231">
        <v>46079.71</v>
      </c>
      <c r="EM195" s="228">
        <v>0</v>
      </c>
      <c r="EN195" s="231">
        <v>122326.46</v>
      </c>
      <c r="EO195" s="231">
        <v>176154.71</v>
      </c>
      <c r="EP195" s="231">
        <v>-53828.25</v>
      </c>
      <c r="EQ195" s="229">
        <v>-0.30559999999999998</v>
      </c>
      <c r="ER195" s="231">
        <v>83445</v>
      </c>
      <c r="ES195" s="231">
        <v>44815</v>
      </c>
      <c r="ET195" s="231">
        <v>257376</v>
      </c>
      <c r="EU195" s="231">
        <v>280560500</v>
      </c>
      <c r="EV195" s="231">
        <v>385635</v>
      </c>
      <c r="EW195" s="231">
        <v>384136</v>
      </c>
      <c r="EX195" s="231">
        <v>1499</v>
      </c>
      <c r="EY195" s="229">
        <v>3.8999999999999998E-3</v>
      </c>
      <c r="EZ195" s="229">
        <v>0.21</v>
      </c>
      <c r="FA195" s="227" t="s">
        <v>567</v>
      </c>
      <c r="FB195" s="161">
        <f t="shared" ref="FB195:FB258" si="5">BX277-CB277</f>
        <v>0</v>
      </c>
    </row>
    <row r="196" spans="1:158" ht="17.25" thickBot="1" x14ac:dyDescent="0.3">
      <c r="A196" s="226">
        <v>45860</v>
      </c>
      <c r="B196" s="227" t="s">
        <v>184</v>
      </c>
      <c r="C196" s="227" t="s">
        <v>285</v>
      </c>
      <c r="D196" s="228">
        <v>125</v>
      </c>
      <c r="E196" s="231">
        <v>3142.2</v>
      </c>
      <c r="F196" s="231">
        <v>3161</v>
      </c>
      <c r="G196" s="228">
        <v>-18.8</v>
      </c>
      <c r="H196" s="229">
        <v>-5.8999999999999999E-3</v>
      </c>
      <c r="I196" s="231">
        <v>3141.8</v>
      </c>
      <c r="J196" s="231">
        <v>3154.8</v>
      </c>
      <c r="K196" s="228">
        <v>-13</v>
      </c>
      <c r="L196" s="229">
        <v>-4.1000000000000003E-3</v>
      </c>
      <c r="M196" s="231">
        <v>3142.2</v>
      </c>
      <c r="N196" s="231">
        <v>3161</v>
      </c>
      <c r="O196" s="228">
        <v>-18.8</v>
      </c>
      <c r="P196" s="229">
        <v>-5.8999999999999999E-3</v>
      </c>
      <c r="Q196" s="231">
        <v>3156</v>
      </c>
      <c r="R196" s="231">
        <v>3176.3</v>
      </c>
      <c r="S196" s="228">
        <v>-20.3</v>
      </c>
      <c r="T196" s="229">
        <v>-6.4000000000000003E-3</v>
      </c>
      <c r="U196" s="228">
        <v>0</v>
      </c>
      <c r="V196" s="228">
        <v>0</v>
      </c>
      <c r="W196" s="228">
        <v>0</v>
      </c>
      <c r="X196" s="229">
        <v>0</v>
      </c>
      <c r="Y196" s="228">
        <v>0.4</v>
      </c>
      <c r="Z196" s="228">
        <v>6.2</v>
      </c>
      <c r="AA196" s="228">
        <v>-5.8</v>
      </c>
      <c r="AB196" s="229">
        <v>1E-4</v>
      </c>
      <c r="AC196" s="228">
        <v>0.4</v>
      </c>
      <c r="AD196" s="228">
        <v>6.2</v>
      </c>
      <c r="AE196" s="228">
        <v>-5.8</v>
      </c>
      <c r="AF196" s="229">
        <v>1E-4</v>
      </c>
      <c r="AG196" s="228">
        <v>14.2</v>
      </c>
      <c r="AH196" s="228">
        <v>21.5</v>
      </c>
      <c r="AI196" s="228">
        <v>-7.3</v>
      </c>
      <c r="AJ196" s="229">
        <v>4.4999999999999997E-3</v>
      </c>
      <c r="AK196" s="228">
        <v>0</v>
      </c>
      <c r="AL196" s="228">
        <v>0</v>
      </c>
      <c r="AM196" s="228">
        <v>0</v>
      </c>
      <c r="AN196" s="229">
        <v>0</v>
      </c>
      <c r="AO196" s="231">
        <v>3145.05</v>
      </c>
      <c r="AP196" s="231">
        <v>3157.39</v>
      </c>
      <c r="AQ196" s="228">
        <v>0</v>
      </c>
      <c r="AR196" s="230">
        <v>394250</v>
      </c>
      <c r="AS196" s="230">
        <v>393250</v>
      </c>
      <c r="AT196" s="230">
        <v>1000</v>
      </c>
      <c r="AU196" s="229">
        <v>2.5000000000000001E-3</v>
      </c>
      <c r="AV196" s="230">
        <v>340625</v>
      </c>
      <c r="AW196" s="230">
        <v>323000</v>
      </c>
      <c r="AX196" s="230">
        <v>17625</v>
      </c>
      <c r="AY196" s="229">
        <v>5.4600000000000003E-2</v>
      </c>
      <c r="AZ196" s="230">
        <v>52125</v>
      </c>
      <c r="BA196" s="230">
        <v>66125</v>
      </c>
      <c r="BB196" s="230">
        <v>-14000</v>
      </c>
      <c r="BC196" s="229">
        <v>-0.2117</v>
      </c>
      <c r="BD196" s="228">
        <v>0</v>
      </c>
      <c r="BE196" s="228">
        <v>0</v>
      </c>
      <c r="BF196" s="228">
        <v>0</v>
      </c>
      <c r="BG196" s="229">
        <v>0</v>
      </c>
      <c r="BH196" s="230">
        <v>1699250</v>
      </c>
      <c r="BI196" s="230">
        <v>2038625</v>
      </c>
      <c r="BJ196" s="230">
        <v>-339375</v>
      </c>
      <c r="BK196" s="229">
        <v>-0.16650000000000001</v>
      </c>
      <c r="BL196" s="230">
        <v>537250</v>
      </c>
      <c r="BM196" s="230">
        <v>577250</v>
      </c>
      <c r="BN196" s="230">
        <v>-40000</v>
      </c>
      <c r="BO196" s="229">
        <v>-6.93E-2</v>
      </c>
      <c r="BP196" s="230">
        <v>2630750</v>
      </c>
      <c r="BQ196" s="230">
        <v>3009125</v>
      </c>
      <c r="BR196" s="230">
        <v>-378375</v>
      </c>
      <c r="BS196" s="229">
        <v>-0.12570000000000001</v>
      </c>
      <c r="BT196" s="230">
        <v>358628</v>
      </c>
      <c r="BU196" s="230">
        <v>269365</v>
      </c>
      <c r="BV196" s="230">
        <v>89263</v>
      </c>
      <c r="BW196" s="229">
        <v>0.33139999999999997</v>
      </c>
      <c r="BX196" s="230">
        <v>2479500</v>
      </c>
      <c r="BY196" s="230">
        <v>2481500</v>
      </c>
      <c r="BZ196" s="230">
        <v>-2000</v>
      </c>
      <c r="CA196" s="229">
        <v>-8.0000000000000004E-4</v>
      </c>
      <c r="CB196" s="230">
        <v>2192750</v>
      </c>
      <c r="CC196" s="230">
        <v>2205500</v>
      </c>
      <c r="CD196" s="230">
        <v>-12750</v>
      </c>
      <c r="CE196" s="229">
        <v>-5.7999999999999996E-3</v>
      </c>
      <c r="CF196" s="230">
        <v>257375</v>
      </c>
      <c r="CG196" s="230">
        <v>246750</v>
      </c>
      <c r="CH196" s="230">
        <v>10625</v>
      </c>
      <c r="CI196" s="229">
        <v>4.3099999999999999E-2</v>
      </c>
      <c r="CJ196" s="228">
        <v>0</v>
      </c>
      <c r="CK196" s="228">
        <v>0</v>
      </c>
      <c r="CL196" s="228">
        <v>0</v>
      </c>
      <c r="CM196" s="229">
        <v>0</v>
      </c>
      <c r="CN196" s="230">
        <v>2235625</v>
      </c>
      <c r="CO196" s="230">
        <v>2331500</v>
      </c>
      <c r="CP196" s="230">
        <v>-95875</v>
      </c>
      <c r="CQ196" s="229">
        <v>-4.1099999999999998E-2</v>
      </c>
      <c r="CR196" s="230">
        <v>779375</v>
      </c>
      <c r="CS196" s="230">
        <v>838500</v>
      </c>
      <c r="CT196" s="230">
        <v>-59125</v>
      </c>
      <c r="CU196" s="229">
        <v>-7.0499999999999993E-2</v>
      </c>
      <c r="CV196" s="230">
        <v>5494500</v>
      </c>
      <c r="CW196" s="230">
        <v>5651500</v>
      </c>
      <c r="CX196" s="230">
        <v>-157000</v>
      </c>
      <c r="CY196" s="229">
        <v>-2.7799999999999998E-2</v>
      </c>
      <c r="CZ196" s="228">
        <v>33.409999999999997</v>
      </c>
      <c r="DA196" s="228">
        <v>33.840000000000003</v>
      </c>
      <c r="DB196" s="228">
        <v>-0.43</v>
      </c>
      <c r="DC196" s="228">
        <v>-0.43</v>
      </c>
      <c r="DD196" s="228">
        <v>43.08</v>
      </c>
      <c r="DE196" s="228">
        <v>43.18</v>
      </c>
      <c r="DF196" s="228">
        <v>-9.67</v>
      </c>
      <c r="DG196" s="228">
        <v>-0.1</v>
      </c>
      <c r="DH196" s="228">
        <v>34.36</v>
      </c>
      <c r="DI196" s="228">
        <v>34.5</v>
      </c>
      <c r="DJ196" s="228">
        <v>-0.14000000000000001</v>
      </c>
      <c r="DK196" s="228">
        <v>-0.14000000000000001</v>
      </c>
      <c r="DL196" s="228">
        <v>30.39</v>
      </c>
      <c r="DM196" s="228">
        <v>31.49</v>
      </c>
      <c r="DN196" s="228">
        <v>-1.1000000000000001</v>
      </c>
      <c r="DO196" s="228">
        <v>-1.1000000000000001</v>
      </c>
      <c r="DP196" s="228">
        <v>0.35</v>
      </c>
      <c r="DQ196" s="228">
        <v>0.36</v>
      </c>
      <c r="DR196" s="228">
        <v>-0.01</v>
      </c>
      <c r="DS196" s="229">
        <v>-2.7799999999999998E-2</v>
      </c>
      <c r="DT196" s="231">
        <v>3300</v>
      </c>
      <c r="DU196" s="231">
        <v>3000</v>
      </c>
      <c r="DV196" s="228">
        <v>0.32</v>
      </c>
      <c r="DW196" s="228">
        <v>0.28000000000000003</v>
      </c>
      <c r="DX196" s="228">
        <v>0.04</v>
      </c>
      <c r="DY196" s="229">
        <v>0.1429</v>
      </c>
      <c r="DZ196" s="229">
        <v>0.1038</v>
      </c>
      <c r="EA196" s="230">
        <v>246750</v>
      </c>
      <c r="EB196" s="229">
        <v>4.4000000000000003E-3</v>
      </c>
      <c r="EC196" s="229">
        <v>0.1038</v>
      </c>
      <c r="ED196" s="228">
        <v>12.34</v>
      </c>
      <c r="EE196" s="229">
        <v>3.8999999999999998E-3</v>
      </c>
      <c r="EF196" s="230">
        <v>169267</v>
      </c>
      <c r="EG196" s="230">
        <v>102446</v>
      </c>
      <c r="EH196" s="229">
        <v>0.65229999999999999</v>
      </c>
      <c r="EI196" s="229">
        <v>0.47199999999999998</v>
      </c>
      <c r="EJ196" s="231">
        <v>56909.17</v>
      </c>
      <c r="EK196" s="231">
        <v>16812.07</v>
      </c>
      <c r="EL196" s="231">
        <v>12406.19</v>
      </c>
      <c r="EM196" s="228">
        <v>0</v>
      </c>
      <c r="EN196" s="231">
        <v>86127.43</v>
      </c>
      <c r="EO196" s="231">
        <v>98205.61</v>
      </c>
      <c r="EP196" s="231">
        <v>-12078.18</v>
      </c>
      <c r="EQ196" s="229">
        <v>-0.123</v>
      </c>
      <c r="ER196" s="231">
        <v>76059</v>
      </c>
      <c r="ES196" s="231">
        <v>23809</v>
      </c>
      <c r="ET196" s="231">
        <v>77955</v>
      </c>
      <c r="EU196" s="231">
        <v>17806118</v>
      </c>
      <c r="EV196" s="231">
        <v>177822</v>
      </c>
      <c r="EW196" s="231">
        <v>183534</v>
      </c>
      <c r="EX196" s="231">
        <v>-5712</v>
      </c>
      <c r="EY196" s="229">
        <v>-3.1099999999999999E-2</v>
      </c>
      <c r="EZ196" s="229">
        <v>0.30859999999999999</v>
      </c>
      <c r="FA196" s="227" t="s">
        <v>568</v>
      </c>
      <c r="FB196" s="161">
        <f t="shared" si="5"/>
        <v>0</v>
      </c>
    </row>
    <row r="197" spans="1:158" ht="17.25" thickBot="1" x14ac:dyDescent="0.3">
      <c r="A197" s="226">
        <v>45860</v>
      </c>
      <c r="B197" s="227" t="s">
        <v>161</v>
      </c>
      <c r="C197" s="227" t="s">
        <v>600</v>
      </c>
      <c r="D197" s="228">
        <v>5875</v>
      </c>
      <c r="E197" s="228">
        <v>99.01</v>
      </c>
      <c r="F197" s="228">
        <v>99.49</v>
      </c>
      <c r="G197" s="228">
        <v>-0.48</v>
      </c>
      <c r="H197" s="229">
        <v>-4.7999999999999996E-3</v>
      </c>
      <c r="I197" s="228">
        <v>99.01</v>
      </c>
      <c r="J197" s="228">
        <v>99.09</v>
      </c>
      <c r="K197" s="228">
        <v>-0.08</v>
      </c>
      <c r="L197" s="229">
        <v>-8.0000000000000004E-4</v>
      </c>
      <c r="M197" s="228">
        <v>99.01</v>
      </c>
      <c r="N197" s="228">
        <v>99.49</v>
      </c>
      <c r="O197" s="228">
        <v>-0.48</v>
      </c>
      <c r="P197" s="229">
        <v>-4.7999999999999996E-3</v>
      </c>
      <c r="Q197" s="228">
        <v>98.96</v>
      </c>
      <c r="R197" s="228">
        <v>99.51</v>
      </c>
      <c r="S197" s="228">
        <v>-0.55000000000000004</v>
      </c>
      <c r="T197" s="229">
        <v>-5.4999999999999997E-3</v>
      </c>
      <c r="U197" s="228">
        <v>0</v>
      </c>
      <c r="V197" s="228">
        <v>0</v>
      </c>
      <c r="W197" s="228">
        <v>0</v>
      </c>
      <c r="X197" s="229">
        <v>0</v>
      </c>
      <c r="Y197" s="228">
        <v>0</v>
      </c>
      <c r="Z197" s="228">
        <v>0.4</v>
      </c>
      <c r="AA197" s="228">
        <v>-0.4</v>
      </c>
      <c r="AB197" s="229">
        <v>0</v>
      </c>
      <c r="AC197" s="228">
        <v>0</v>
      </c>
      <c r="AD197" s="228">
        <v>0.4</v>
      </c>
      <c r="AE197" s="228">
        <v>-0.4</v>
      </c>
      <c r="AF197" s="229">
        <v>0</v>
      </c>
      <c r="AG197" s="228">
        <v>-0.05</v>
      </c>
      <c r="AH197" s="228">
        <v>0.42</v>
      </c>
      <c r="AI197" s="228">
        <v>-0.47</v>
      </c>
      <c r="AJ197" s="229">
        <v>-5.0000000000000001E-4</v>
      </c>
      <c r="AK197" s="228">
        <v>0</v>
      </c>
      <c r="AL197" s="228">
        <v>0</v>
      </c>
      <c r="AM197" s="228">
        <v>0</v>
      </c>
      <c r="AN197" s="229">
        <v>0</v>
      </c>
      <c r="AO197" s="228">
        <v>99.43</v>
      </c>
      <c r="AP197" s="228">
        <v>99.47</v>
      </c>
      <c r="AQ197" s="228">
        <v>0</v>
      </c>
      <c r="AR197" s="230">
        <v>5963125</v>
      </c>
      <c r="AS197" s="230">
        <v>4053750</v>
      </c>
      <c r="AT197" s="230">
        <v>1909375</v>
      </c>
      <c r="AU197" s="229">
        <v>0.47099999999999997</v>
      </c>
      <c r="AV197" s="230">
        <v>4817500</v>
      </c>
      <c r="AW197" s="230">
        <v>3301750</v>
      </c>
      <c r="AX197" s="230">
        <v>1515750</v>
      </c>
      <c r="AY197" s="229">
        <v>0.45910000000000001</v>
      </c>
      <c r="AZ197" s="230">
        <v>1145625</v>
      </c>
      <c r="BA197" s="230">
        <v>752000</v>
      </c>
      <c r="BB197" s="230">
        <v>393625</v>
      </c>
      <c r="BC197" s="229">
        <v>0.52339999999999998</v>
      </c>
      <c r="BD197" s="228">
        <v>0</v>
      </c>
      <c r="BE197" s="228">
        <v>0</v>
      </c>
      <c r="BF197" s="228">
        <v>0</v>
      </c>
      <c r="BG197" s="229">
        <v>0</v>
      </c>
      <c r="BH197" s="230">
        <v>6603500</v>
      </c>
      <c r="BI197" s="230">
        <v>5563625</v>
      </c>
      <c r="BJ197" s="230">
        <v>1039875</v>
      </c>
      <c r="BK197" s="229">
        <v>0.18690000000000001</v>
      </c>
      <c r="BL197" s="230">
        <v>1891750</v>
      </c>
      <c r="BM197" s="230">
        <v>1774250</v>
      </c>
      <c r="BN197" s="230">
        <v>117500</v>
      </c>
      <c r="BO197" s="229">
        <v>6.6199999999999995E-2</v>
      </c>
      <c r="BP197" s="230">
        <v>14458375</v>
      </c>
      <c r="BQ197" s="230">
        <v>11391625</v>
      </c>
      <c r="BR197" s="230">
        <v>3066750</v>
      </c>
      <c r="BS197" s="229">
        <v>0.26919999999999999</v>
      </c>
      <c r="BT197" s="230">
        <v>4052851</v>
      </c>
      <c r="BU197" s="230">
        <v>4073674</v>
      </c>
      <c r="BV197" s="230">
        <v>-20823</v>
      </c>
      <c r="BW197" s="229">
        <v>-5.1000000000000004E-3</v>
      </c>
      <c r="BX197" s="230">
        <v>27953250</v>
      </c>
      <c r="BY197" s="230">
        <v>27594875</v>
      </c>
      <c r="BZ197" s="230">
        <v>358375</v>
      </c>
      <c r="CA197" s="229">
        <v>1.2999999999999999E-2</v>
      </c>
      <c r="CB197" s="230">
        <v>24663250</v>
      </c>
      <c r="CC197" s="230">
        <v>24751375</v>
      </c>
      <c r="CD197" s="230">
        <v>-88125</v>
      </c>
      <c r="CE197" s="229">
        <v>-3.5999999999999999E-3</v>
      </c>
      <c r="CF197" s="230">
        <v>3290000</v>
      </c>
      <c r="CG197" s="230">
        <v>2843500</v>
      </c>
      <c r="CH197" s="230">
        <v>446500</v>
      </c>
      <c r="CI197" s="229">
        <v>0.157</v>
      </c>
      <c r="CJ197" s="228">
        <v>0</v>
      </c>
      <c r="CK197" s="228">
        <v>0</v>
      </c>
      <c r="CL197" s="228">
        <v>0</v>
      </c>
      <c r="CM197" s="229">
        <v>0</v>
      </c>
      <c r="CN197" s="230">
        <v>20539000</v>
      </c>
      <c r="CO197" s="230">
        <v>20092500</v>
      </c>
      <c r="CP197" s="230">
        <v>446500</v>
      </c>
      <c r="CQ197" s="229">
        <v>2.2200000000000001E-2</v>
      </c>
      <c r="CR197" s="230">
        <v>8548125</v>
      </c>
      <c r="CS197" s="230">
        <v>8636250</v>
      </c>
      <c r="CT197" s="230">
        <v>-88125</v>
      </c>
      <c r="CU197" s="229">
        <v>-1.0200000000000001E-2</v>
      </c>
      <c r="CV197" s="230">
        <v>57040375</v>
      </c>
      <c r="CW197" s="230">
        <v>56323625</v>
      </c>
      <c r="CX197" s="230">
        <v>716750</v>
      </c>
      <c r="CY197" s="229">
        <v>1.2699999999999999E-2</v>
      </c>
      <c r="CZ197" s="228">
        <v>35.69</v>
      </c>
      <c r="DA197" s="228">
        <v>36.67</v>
      </c>
      <c r="DB197" s="228">
        <v>-0.98</v>
      </c>
      <c r="DC197" s="228">
        <v>-0.98</v>
      </c>
      <c r="DD197" s="228">
        <v>53.5</v>
      </c>
      <c r="DE197" s="228">
        <v>53.63</v>
      </c>
      <c r="DF197" s="228">
        <v>-17.809999999999999</v>
      </c>
      <c r="DG197" s="228">
        <v>-0.13</v>
      </c>
      <c r="DH197" s="228">
        <v>35.909999999999997</v>
      </c>
      <c r="DI197" s="228">
        <v>36.74</v>
      </c>
      <c r="DJ197" s="228">
        <v>-0.83</v>
      </c>
      <c r="DK197" s="228">
        <v>-0.83</v>
      </c>
      <c r="DL197" s="228">
        <v>34.92</v>
      </c>
      <c r="DM197" s="228">
        <v>36.450000000000003</v>
      </c>
      <c r="DN197" s="228">
        <v>-1.53</v>
      </c>
      <c r="DO197" s="228">
        <v>-1.53</v>
      </c>
      <c r="DP197" s="228">
        <v>0.42</v>
      </c>
      <c r="DQ197" s="228">
        <v>0.43</v>
      </c>
      <c r="DR197" s="228">
        <v>-0.01</v>
      </c>
      <c r="DS197" s="229">
        <v>-2.3300000000000001E-2</v>
      </c>
      <c r="DT197" s="228">
        <v>100</v>
      </c>
      <c r="DU197" s="228">
        <v>100</v>
      </c>
      <c r="DV197" s="228">
        <v>0.28999999999999998</v>
      </c>
      <c r="DW197" s="228">
        <v>0.32</v>
      </c>
      <c r="DX197" s="228">
        <v>-0.03</v>
      </c>
      <c r="DY197" s="229">
        <v>-9.3799999999999994E-2</v>
      </c>
      <c r="DZ197" s="229">
        <v>0.1177</v>
      </c>
      <c r="EA197" s="230">
        <v>2843500</v>
      </c>
      <c r="EB197" s="229">
        <v>-5.0000000000000001E-4</v>
      </c>
      <c r="EC197" s="229">
        <v>0.1177</v>
      </c>
      <c r="ED197" s="228">
        <v>0.04</v>
      </c>
      <c r="EE197" s="229">
        <v>4.0000000000000002E-4</v>
      </c>
      <c r="EF197" s="230">
        <v>1537341</v>
      </c>
      <c r="EG197" s="230">
        <v>1605825</v>
      </c>
      <c r="EH197" s="229">
        <v>-4.2599999999999999E-2</v>
      </c>
      <c r="EI197" s="229">
        <v>0.37930000000000003</v>
      </c>
      <c r="EJ197" s="231">
        <v>6826.69</v>
      </c>
      <c r="EK197" s="231">
        <v>1896.03</v>
      </c>
      <c r="EL197" s="231">
        <v>5929.44</v>
      </c>
      <c r="EM197" s="228">
        <v>0</v>
      </c>
      <c r="EN197" s="231">
        <v>14652.16</v>
      </c>
      <c r="EO197" s="231">
        <v>11592.19</v>
      </c>
      <c r="EP197" s="231">
        <v>3059.97</v>
      </c>
      <c r="EQ197" s="229">
        <v>0.26400000000000001</v>
      </c>
      <c r="ER197" s="231">
        <v>21417</v>
      </c>
      <c r="ES197" s="231">
        <v>8349</v>
      </c>
      <c r="ET197" s="231">
        <v>27675</v>
      </c>
      <c r="EU197" s="231">
        <v>142687689</v>
      </c>
      <c r="EV197" s="231">
        <v>57440</v>
      </c>
      <c r="EW197" s="231">
        <v>56855</v>
      </c>
      <c r="EX197" s="228">
        <v>585</v>
      </c>
      <c r="EY197" s="229">
        <v>1.03E-2</v>
      </c>
      <c r="EZ197" s="229">
        <v>0.39979999999999999</v>
      </c>
      <c r="FA197" s="227" t="s">
        <v>567</v>
      </c>
      <c r="FB197" s="161">
        <f t="shared" si="5"/>
        <v>0</v>
      </c>
    </row>
    <row r="198" spans="1:158" ht="17.25" thickBot="1" x14ac:dyDescent="0.3">
      <c r="A198" s="226">
        <v>45860</v>
      </c>
      <c r="B198" s="227" t="s">
        <v>498</v>
      </c>
      <c r="C198" s="227" t="s">
        <v>647</v>
      </c>
      <c r="D198" s="228">
        <v>75</v>
      </c>
      <c r="E198" s="231">
        <v>14977</v>
      </c>
      <c r="F198" s="231">
        <v>14990</v>
      </c>
      <c r="G198" s="228">
        <v>-13</v>
      </c>
      <c r="H198" s="229">
        <v>-8.9999999999999998E-4</v>
      </c>
      <c r="I198" s="231">
        <v>14938</v>
      </c>
      <c r="J198" s="231">
        <v>14926</v>
      </c>
      <c r="K198" s="228">
        <v>12</v>
      </c>
      <c r="L198" s="229">
        <v>8.0000000000000004E-4</v>
      </c>
      <c r="M198" s="231">
        <v>14977</v>
      </c>
      <c r="N198" s="231">
        <v>14990</v>
      </c>
      <c r="O198" s="228">
        <v>-13</v>
      </c>
      <c r="P198" s="229">
        <v>-8.9999999999999998E-4</v>
      </c>
      <c r="Q198" s="231">
        <v>15051</v>
      </c>
      <c r="R198" s="231">
        <v>15046</v>
      </c>
      <c r="S198" s="228">
        <v>5</v>
      </c>
      <c r="T198" s="229">
        <v>2.9999999999999997E-4</v>
      </c>
      <c r="U198" s="228">
        <v>0</v>
      </c>
      <c r="V198" s="228">
        <v>0</v>
      </c>
      <c r="W198" s="228">
        <v>0</v>
      </c>
      <c r="X198" s="229">
        <v>0</v>
      </c>
      <c r="Y198" s="228">
        <v>39</v>
      </c>
      <c r="Z198" s="228">
        <v>64</v>
      </c>
      <c r="AA198" s="228">
        <v>-25</v>
      </c>
      <c r="AB198" s="229">
        <v>2.5999999999999999E-3</v>
      </c>
      <c r="AC198" s="228">
        <v>39</v>
      </c>
      <c r="AD198" s="228">
        <v>64</v>
      </c>
      <c r="AE198" s="228">
        <v>-25</v>
      </c>
      <c r="AF198" s="229">
        <v>2.5999999999999999E-3</v>
      </c>
      <c r="AG198" s="228">
        <v>113</v>
      </c>
      <c r="AH198" s="228">
        <v>120</v>
      </c>
      <c r="AI198" s="228">
        <v>-7</v>
      </c>
      <c r="AJ198" s="229">
        <v>7.6E-3</v>
      </c>
      <c r="AK198" s="228">
        <v>0</v>
      </c>
      <c r="AL198" s="228">
        <v>0</v>
      </c>
      <c r="AM198" s="228">
        <v>0</v>
      </c>
      <c r="AN198" s="229">
        <v>0</v>
      </c>
      <c r="AO198" s="231">
        <v>15030.17</v>
      </c>
      <c r="AP198" s="231">
        <v>15102.17</v>
      </c>
      <c r="AQ198" s="228">
        <v>0</v>
      </c>
      <c r="AR198" s="230">
        <v>81375</v>
      </c>
      <c r="AS198" s="230">
        <v>186675</v>
      </c>
      <c r="AT198" s="230">
        <v>-105300</v>
      </c>
      <c r="AU198" s="229">
        <v>-0.56410000000000005</v>
      </c>
      <c r="AV198" s="230">
        <v>67650</v>
      </c>
      <c r="AW198" s="230">
        <v>150075</v>
      </c>
      <c r="AX198" s="230">
        <v>-82425</v>
      </c>
      <c r="AY198" s="229">
        <v>-0.54920000000000002</v>
      </c>
      <c r="AZ198" s="230">
        <v>12450</v>
      </c>
      <c r="BA198" s="230">
        <v>34275</v>
      </c>
      <c r="BB198" s="230">
        <v>-21825</v>
      </c>
      <c r="BC198" s="229">
        <v>-0.63680000000000003</v>
      </c>
      <c r="BD198" s="228">
        <v>0</v>
      </c>
      <c r="BE198" s="228">
        <v>0</v>
      </c>
      <c r="BF198" s="228">
        <v>0</v>
      </c>
      <c r="BG198" s="229">
        <v>0</v>
      </c>
      <c r="BH198" s="230">
        <v>572175</v>
      </c>
      <c r="BI198" s="230">
        <v>765375</v>
      </c>
      <c r="BJ198" s="230">
        <v>-193200</v>
      </c>
      <c r="BK198" s="229">
        <v>-0.25240000000000001</v>
      </c>
      <c r="BL198" s="230">
        <v>127950</v>
      </c>
      <c r="BM198" s="230">
        <v>478350</v>
      </c>
      <c r="BN198" s="230">
        <v>-350400</v>
      </c>
      <c r="BO198" s="229">
        <v>-0.73250000000000004</v>
      </c>
      <c r="BP198" s="230">
        <v>781500</v>
      </c>
      <c r="BQ198" s="230">
        <v>1430400</v>
      </c>
      <c r="BR198" s="230">
        <v>-648900</v>
      </c>
      <c r="BS198" s="229">
        <v>-0.4536</v>
      </c>
      <c r="BT198" s="230">
        <v>72477</v>
      </c>
      <c r="BU198" s="230">
        <v>181536</v>
      </c>
      <c r="BV198" s="230">
        <v>-109059</v>
      </c>
      <c r="BW198" s="229">
        <v>-0.6008</v>
      </c>
      <c r="BX198" s="230">
        <v>860850</v>
      </c>
      <c r="BY198" s="230">
        <v>857175</v>
      </c>
      <c r="BZ198" s="230">
        <v>3675</v>
      </c>
      <c r="CA198" s="229">
        <v>4.3E-3</v>
      </c>
      <c r="CB198" s="230">
        <v>750975</v>
      </c>
      <c r="CC198" s="230">
        <v>751950</v>
      </c>
      <c r="CD198" s="228">
        <v>-975</v>
      </c>
      <c r="CE198" s="229">
        <v>-1.2999999999999999E-3</v>
      </c>
      <c r="CF198" s="230">
        <v>88275</v>
      </c>
      <c r="CG198" s="230">
        <v>84525</v>
      </c>
      <c r="CH198" s="230">
        <v>3750</v>
      </c>
      <c r="CI198" s="229">
        <v>4.4400000000000002E-2</v>
      </c>
      <c r="CJ198" s="228">
        <v>0</v>
      </c>
      <c r="CK198" s="228">
        <v>0</v>
      </c>
      <c r="CL198" s="228">
        <v>0</v>
      </c>
      <c r="CM198" s="229">
        <v>0</v>
      </c>
      <c r="CN198" s="230">
        <v>725325</v>
      </c>
      <c r="CO198" s="230">
        <v>695625</v>
      </c>
      <c r="CP198" s="230">
        <v>29700</v>
      </c>
      <c r="CQ198" s="229">
        <v>4.2700000000000002E-2</v>
      </c>
      <c r="CR198" s="230">
        <v>540000</v>
      </c>
      <c r="CS198" s="230">
        <v>545700</v>
      </c>
      <c r="CT198" s="230">
        <v>-5700</v>
      </c>
      <c r="CU198" s="229">
        <v>-1.04E-2</v>
      </c>
      <c r="CV198" s="230">
        <v>2126175</v>
      </c>
      <c r="CW198" s="230">
        <v>2098500</v>
      </c>
      <c r="CX198" s="230">
        <v>27675</v>
      </c>
      <c r="CY198" s="229">
        <v>1.32E-2</v>
      </c>
      <c r="CZ198" s="228">
        <v>30.67</v>
      </c>
      <c r="DA198" s="228">
        <v>27.21</v>
      </c>
      <c r="DB198" s="228">
        <v>3.46</v>
      </c>
      <c r="DC198" s="228">
        <v>3.46</v>
      </c>
      <c r="DD198" s="228">
        <v>43.45</v>
      </c>
      <c r="DE198" s="228">
        <v>43.55</v>
      </c>
      <c r="DF198" s="228">
        <v>-12.78</v>
      </c>
      <c r="DG198" s="228">
        <v>-0.1</v>
      </c>
      <c r="DH198" s="228">
        <v>32.61</v>
      </c>
      <c r="DI198" s="228">
        <v>29.85</v>
      </c>
      <c r="DJ198" s="228">
        <v>2.76</v>
      </c>
      <c r="DK198" s="228">
        <v>2.76</v>
      </c>
      <c r="DL198" s="228">
        <v>21.97</v>
      </c>
      <c r="DM198" s="228">
        <v>22.98</v>
      </c>
      <c r="DN198" s="228">
        <v>-1.01</v>
      </c>
      <c r="DO198" s="228">
        <v>-1.01</v>
      </c>
      <c r="DP198" s="228">
        <v>0.74</v>
      </c>
      <c r="DQ198" s="228">
        <v>0.78</v>
      </c>
      <c r="DR198" s="228">
        <v>-0.04</v>
      </c>
      <c r="DS198" s="229">
        <v>-5.1299999999999998E-2</v>
      </c>
      <c r="DT198" s="231">
        <v>17000</v>
      </c>
      <c r="DU198" s="231">
        <v>14500</v>
      </c>
      <c r="DV198" s="228">
        <v>0.22</v>
      </c>
      <c r="DW198" s="228">
        <v>0.62</v>
      </c>
      <c r="DX198" s="228">
        <v>-0.4</v>
      </c>
      <c r="DY198" s="229">
        <v>-0.6452</v>
      </c>
      <c r="DZ198" s="229">
        <v>0.10249999999999999</v>
      </c>
      <c r="EA198" s="230">
        <v>84525</v>
      </c>
      <c r="EB198" s="229">
        <v>4.8999999999999998E-3</v>
      </c>
      <c r="EC198" s="229">
        <v>0.10249999999999999</v>
      </c>
      <c r="ED198" s="228">
        <v>72</v>
      </c>
      <c r="EE198" s="229">
        <v>4.7999999999999996E-3</v>
      </c>
      <c r="EF198" s="230">
        <v>33038</v>
      </c>
      <c r="EG198" s="230">
        <v>109908</v>
      </c>
      <c r="EH198" s="229">
        <v>-0.69940000000000002</v>
      </c>
      <c r="EI198" s="229">
        <v>0.45579999999999998</v>
      </c>
      <c r="EJ198" s="231">
        <v>93850.06</v>
      </c>
      <c r="EK198" s="231">
        <v>18851.72</v>
      </c>
      <c r="EL198" s="231">
        <v>12241.36</v>
      </c>
      <c r="EM198" s="228">
        <v>0</v>
      </c>
      <c r="EN198" s="231">
        <v>124943.14</v>
      </c>
      <c r="EO198" s="231">
        <v>221355.59</v>
      </c>
      <c r="EP198" s="231">
        <v>-96412.45</v>
      </c>
      <c r="EQ198" s="229">
        <v>-0.43559999999999999</v>
      </c>
      <c r="ER198" s="231">
        <v>122437</v>
      </c>
      <c r="ES198" s="231">
        <v>80500</v>
      </c>
      <c r="ET198" s="231">
        <v>129029</v>
      </c>
      <c r="EU198" s="231">
        <v>4859756</v>
      </c>
      <c r="EV198" s="231">
        <v>331966</v>
      </c>
      <c r="EW198" s="231">
        <v>327502</v>
      </c>
      <c r="EX198" s="231">
        <v>4464</v>
      </c>
      <c r="EY198" s="229">
        <v>1.3599999999999999E-2</v>
      </c>
      <c r="EZ198" s="229">
        <v>0.4375</v>
      </c>
      <c r="FA198" s="227" t="s">
        <v>567</v>
      </c>
      <c r="FB198" s="161">
        <f t="shared" si="5"/>
        <v>0</v>
      </c>
    </row>
    <row r="199" spans="1:158" ht="17.25" thickBot="1" x14ac:dyDescent="0.3">
      <c r="A199" s="226">
        <v>45860</v>
      </c>
      <c r="B199" s="227" t="s">
        <v>162</v>
      </c>
      <c r="C199" s="227" t="s">
        <v>615</v>
      </c>
      <c r="D199" s="228">
        <v>1050</v>
      </c>
      <c r="E199" s="228">
        <v>474.3</v>
      </c>
      <c r="F199" s="228">
        <v>488.5</v>
      </c>
      <c r="G199" s="228">
        <v>-14.2</v>
      </c>
      <c r="H199" s="229">
        <v>-2.9100000000000001E-2</v>
      </c>
      <c r="I199" s="228">
        <v>472.95</v>
      </c>
      <c r="J199" s="228">
        <v>487.9</v>
      </c>
      <c r="K199" s="228">
        <v>-14.95</v>
      </c>
      <c r="L199" s="229">
        <v>-3.0599999999999999E-2</v>
      </c>
      <c r="M199" s="228">
        <v>474.3</v>
      </c>
      <c r="N199" s="228">
        <v>488.5</v>
      </c>
      <c r="O199" s="228">
        <v>-14.2</v>
      </c>
      <c r="P199" s="229">
        <v>-2.9100000000000001E-2</v>
      </c>
      <c r="Q199" s="228">
        <v>468.05</v>
      </c>
      <c r="R199" s="228">
        <v>483.85</v>
      </c>
      <c r="S199" s="228">
        <v>-15.8</v>
      </c>
      <c r="T199" s="229">
        <v>-3.27E-2</v>
      </c>
      <c r="U199" s="228">
        <v>0</v>
      </c>
      <c r="V199" s="228">
        <v>0</v>
      </c>
      <c r="W199" s="228">
        <v>0</v>
      </c>
      <c r="X199" s="229">
        <v>0</v>
      </c>
      <c r="Y199" s="228">
        <v>1.35</v>
      </c>
      <c r="Z199" s="228">
        <v>0.6</v>
      </c>
      <c r="AA199" s="228">
        <v>0.75</v>
      </c>
      <c r="AB199" s="229">
        <v>2.8999999999999998E-3</v>
      </c>
      <c r="AC199" s="228">
        <v>1.35</v>
      </c>
      <c r="AD199" s="228">
        <v>0.6</v>
      </c>
      <c r="AE199" s="228">
        <v>0.75</v>
      </c>
      <c r="AF199" s="229">
        <v>2.8999999999999998E-3</v>
      </c>
      <c r="AG199" s="228">
        <v>-4.9000000000000004</v>
      </c>
      <c r="AH199" s="228">
        <v>-4.05</v>
      </c>
      <c r="AI199" s="228">
        <v>-0.85</v>
      </c>
      <c r="AJ199" s="229">
        <v>-1.04E-2</v>
      </c>
      <c r="AK199" s="228">
        <v>0</v>
      </c>
      <c r="AL199" s="228">
        <v>0</v>
      </c>
      <c r="AM199" s="228">
        <v>0</v>
      </c>
      <c r="AN199" s="229">
        <v>0</v>
      </c>
      <c r="AO199" s="228">
        <v>478.32</v>
      </c>
      <c r="AP199" s="228">
        <v>473.11</v>
      </c>
      <c r="AQ199" s="228">
        <v>0</v>
      </c>
      <c r="AR199" s="230">
        <v>6384000</v>
      </c>
      <c r="AS199" s="230">
        <v>7953750</v>
      </c>
      <c r="AT199" s="230">
        <v>-1569750</v>
      </c>
      <c r="AU199" s="229">
        <v>-0.19739999999999999</v>
      </c>
      <c r="AV199" s="230">
        <v>4952850</v>
      </c>
      <c r="AW199" s="230">
        <v>6917400</v>
      </c>
      <c r="AX199" s="230">
        <v>-1964550</v>
      </c>
      <c r="AY199" s="229">
        <v>-0.28399999999999997</v>
      </c>
      <c r="AZ199" s="230">
        <v>1353450</v>
      </c>
      <c r="BA199" s="230">
        <v>909300</v>
      </c>
      <c r="BB199" s="230">
        <v>444150</v>
      </c>
      <c r="BC199" s="229">
        <v>0.48849999999999999</v>
      </c>
      <c r="BD199" s="228">
        <v>0</v>
      </c>
      <c r="BE199" s="228">
        <v>0</v>
      </c>
      <c r="BF199" s="228">
        <v>0</v>
      </c>
      <c r="BG199" s="229">
        <v>0</v>
      </c>
      <c r="BH199" s="230">
        <v>10748850</v>
      </c>
      <c r="BI199" s="230">
        <v>29352750</v>
      </c>
      <c r="BJ199" s="230">
        <v>-18603900</v>
      </c>
      <c r="BK199" s="229">
        <v>-0.63380000000000003</v>
      </c>
      <c r="BL199" s="230">
        <v>3686550</v>
      </c>
      <c r="BM199" s="230">
        <v>7436100</v>
      </c>
      <c r="BN199" s="230">
        <v>-3749550</v>
      </c>
      <c r="BO199" s="229">
        <v>-0.50419999999999998</v>
      </c>
      <c r="BP199" s="230">
        <v>20819400</v>
      </c>
      <c r="BQ199" s="230">
        <v>44742600</v>
      </c>
      <c r="BR199" s="230">
        <v>-23923200</v>
      </c>
      <c r="BS199" s="229">
        <v>-0.53469999999999995</v>
      </c>
      <c r="BT199" s="230">
        <v>2560491</v>
      </c>
      <c r="BU199" s="230">
        <v>9296078</v>
      </c>
      <c r="BV199" s="230">
        <v>-6735587</v>
      </c>
      <c r="BW199" s="229">
        <v>-0.72460000000000002</v>
      </c>
      <c r="BX199" s="230">
        <v>24962700</v>
      </c>
      <c r="BY199" s="230">
        <v>25533900</v>
      </c>
      <c r="BZ199" s="230">
        <v>-571200</v>
      </c>
      <c r="CA199" s="229">
        <v>-2.24E-2</v>
      </c>
      <c r="CB199" s="230">
        <v>21465150</v>
      </c>
      <c r="CC199" s="230">
        <v>22554000</v>
      </c>
      <c r="CD199" s="230">
        <v>-1088850</v>
      </c>
      <c r="CE199" s="229">
        <v>-4.8300000000000003E-2</v>
      </c>
      <c r="CF199" s="230">
        <v>3186750</v>
      </c>
      <c r="CG199" s="230">
        <v>2719500</v>
      </c>
      <c r="CH199" s="230">
        <v>467250</v>
      </c>
      <c r="CI199" s="229">
        <v>0.17180000000000001</v>
      </c>
      <c r="CJ199" s="228">
        <v>0</v>
      </c>
      <c r="CK199" s="228">
        <v>0</v>
      </c>
      <c r="CL199" s="228">
        <v>0</v>
      </c>
      <c r="CM199" s="229">
        <v>0</v>
      </c>
      <c r="CN199" s="230">
        <v>8438850</v>
      </c>
      <c r="CO199" s="230">
        <v>8748600</v>
      </c>
      <c r="CP199" s="230">
        <v>-309750</v>
      </c>
      <c r="CQ199" s="229">
        <v>-3.5400000000000001E-2</v>
      </c>
      <c r="CR199" s="230">
        <v>3960600</v>
      </c>
      <c r="CS199" s="230">
        <v>4054050</v>
      </c>
      <c r="CT199" s="230">
        <v>-93450</v>
      </c>
      <c r="CU199" s="229">
        <v>-2.3099999999999999E-2</v>
      </c>
      <c r="CV199" s="230">
        <v>37362150</v>
      </c>
      <c r="CW199" s="230">
        <v>38336550</v>
      </c>
      <c r="CX199" s="230">
        <v>-974400</v>
      </c>
      <c r="CY199" s="229">
        <v>-2.5399999999999999E-2</v>
      </c>
      <c r="CZ199" s="228">
        <v>39.200000000000003</v>
      </c>
      <c r="DA199" s="228">
        <v>37.630000000000003</v>
      </c>
      <c r="DB199" s="228">
        <v>1.57</v>
      </c>
      <c r="DC199" s="228">
        <v>1.57</v>
      </c>
      <c r="DD199" s="228">
        <v>42.81</v>
      </c>
      <c r="DE199" s="228">
        <v>42.7</v>
      </c>
      <c r="DF199" s="228">
        <v>-3.61</v>
      </c>
      <c r="DG199" s="228">
        <v>0.11</v>
      </c>
      <c r="DH199" s="228">
        <v>39.590000000000003</v>
      </c>
      <c r="DI199" s="228">
        <v>37.770000000000003</v>
      </c>
      <c r="DJ199" s="228">
        <v>1.82</v>
      </c>
      <c r="DK199" s="228">
        <v>1.82</v>
      </c>
      <c r="DL199" s="228">
        <v>38.06</v>
      </c>
      <c r="DM199" s="228">
        <v>37.1</v>
      </c>
      <c r="DN199" s="228">
        <v>0.96</v>
      </c>
      <c r="DO199" s="228">
        <v>0.96</v>
      </c>
      <c r="DP199" s="228">
        <v>0.47</v>
      </c>
      <c r="DQ199" s="228">
        <v>0.46</v>
      </c>
      <c r="DR199" s="228">
        <v>0.01</v>
      </c>
      <c r="DS199" s="229">
        <v>2.1700000000000001E-2</v>
      </c>
      <c r="DT199" s="228">
        <v>490</v>
      </c>
      <c r="DU199" s="228">
        <v>480</v>
      </c>
      <c r="DV199" s="228">
        <v>0.34</v>
      </c>
      <c r="DW199" s="228">
        <v>0.25</v>
      </c>
      <c r="DX199" s="228">
        <v>0.09</v>
      </c>
      <c r="DY199" s="229">
        <v>0.36</v>
      </c>
      <c r="DZ199" s="229">
        <v>0.12770000000000001</v>
      </c>
      <c r="EA199" s="230">
        <v>2719500</v>
      </c>
      <c r="EB199" s="229">
        <v>-1.32E-2</v>
      </c>
      <c r="EC199" s="229">
        <v>0.12770000000000001</v>
      </c>
      <c r="ED199" s="228">
        <v>-5.21</v>
      </c>
      <c r="EE199" s="229">
        <v>-1.09E-2</v>
      </c>
      <c r="EF199" s="230">
        <v>1092369</v>
      </c>
      <c r="EG199" s="230">
        <v>2716765</v>
      </c>
      <c r="EH199" s="229">
        <v>-0.59789999999999999</v>
      </c>
      <c r="EI199" s="229">
        <v>0.42659999999999998</v>
      </c>
      <c r="EJ199" s="231">
        <v>54889.03</v>
      </c>
      <c r="EK199" s="231">
        <v>17597.91</v>
      </c>
      <c r="EL199" s="231">
        <v>30457.71</v>
      </c>
      <c r="EM199" s="228">
        <v>0</v>
      </c>
      <c r="EN199" s="231">
        <v>102944.65</v>
      </c>
      <c r="EO199" s="231">
        <v>225747.68</v>
      </c>
      <c r="EP199" s="231">
        <v>-122803.03</v>
      </c>
      <c r="EQ199" s="229">
        <v>-0.54400000000000004</v>
      </c>
      <c r="ER199" s="231">
        <v>42509</v>
      </c>
      <c r="ES199" s="231">
        <v>18247</v>
      </c>
      <c r="ET199" s="231">
        <v>118172</v>
      </c>
      <c r="EU199" s="231">
        <v>89501464</v>
      </c>
      <c r="EV199" s="231">
        <v>178929</v>
      </c>
      <c r="EW199" s="231">
        <v>187636</v>
      </c>
      <c r="EX199" s="231">
        <v>-8707</v>
      </c>
      <c r="EY199" s="229">
        <v>-4.6399999999999997E-2</v>
      </c>
      <c r="EZ199" s="229">
        <v>0.41739999999999999</v>
      </c>
      <c r="FA199" s="227" t="s">
        <v>568</v>
      </c>
      <c r="FB199" s="161">
        <f t="shared" si="5"/>
        <v>0</v>
      </c>
    </row>
    <row r="200" spans="1:158" ht="17.25" thickBot="1" x14ac:dyDescent="0.3">
      <c r="A200" s="226">
        <v>45860</v>
      </c>
      <c r="B200" s="227" t="s">
        <v>197</v>
      </c>
      <c r="C200" s="227" t="s">
        <v>286</v>
      </c>
      <c r="D200" s="228">
        <v>200</v>
      </c>
      <c r="E200" s="231">
        <v>3137.8</v>
      </c>
      <c r="F200" s="231">
        <v>3129</v>
      </c>
      <c r="G200" s="228">
        <v>8.8000000000000007</v>
      </c>
      <c r="H200" s="229">
        <v>2.8E-3</v>
      </c>
      <c r="I200" s="231">
        <v>3136.5</v>
      </c>
      <c r="J200" s="231">
        <v>3130.4</v>
      </c>
      <c r="K200" s="228">
        <v>6.1</v>
      </c>
      <c r="L200" s="229">
        <v>1.9E-3</v>
      </c>
      <c r="M200" s="231">
        <v>3137.8</v>
      </c>
      <c r="N200" s="231">
        <v>3129</v>
      </c>
      <c r="O200" s="228">
        <v>8.8000000000000007</v>
      </c>
      <c r="P200" s="229">
        <v>2.8E-3</v>
      </c>
      <c r="Q200" s="231">
        <v>3151.8</v>
      </c>
      <c r="R200" s="231">
        <v>3144</v>
      </c>
      <c r="S200" s="228">
        <v>7.8</v>
      </c>
      <c r="T200" s="229">
        <v>2.5000000000000001E-3</v>
      </c>
      <c r="U200" s="228">
        <v>0</v>
      </c>
      <c r="V200" s="228">
        <v>0</v>
      </c>
      <c r="W200" s="228">
        <v>0</v>
      </c>
      <c r="X200" s="229">
        <v>0</v>
      </c>
      <c r="Y200" s="228">
        <v>1.3</v>
      </c>
      <c r="Z200" s="228">
        <v>-1.4</v>
      </c>
      <c r="AA200" s="228">
        <v>2.7</v>
      </c>
      <c r="AB200" s="229">
        <v>4.0000000000000002E-4</v>
      </c>
      <c r="AC200" s="228">
        <v>1.3</v>
      </c>
      <c r="AD200" s="228">
        <v>-1.4</v>
      </c>
      <c r="AE200" s="228">
        <v>2.7</v>
      </c>
      <c r="AF200" s="229">
        <v>4.0000000000000002E-4</v>
      </c>
      <c r="AG200" s="228">
        <v>15.3</v>
      </c>
      <c r="AH200" s="228">
        <v>13.6</v>
      </c>
      <c r="AI200" s="228">
        <v>1.7</v>
      </c>
      <c r="AJ200" s="229">
        <v>4.8999999999999998E-3</v>
      </c>
      <c r="AK200" s="228">
        <v>0</v>
      </c>
      <c r="AL200" s="228">
        <v>0</v>
      </c>
      <c r="AM200" s="228">
        <v>0</v>
      </c>
      <c r="AN200" s="229">
        <v>0</v>
      </c>
      <c r="AO200" s="231">
        <v>3108.34</v>
      </c>
      <c r="AP200" s="231">
        <v>3125.43</v>
      </c>
      <c r="AQ200" s="228">
        <v>0</v>
      </c>
      <c r="AR200" s="230">
        <v>1465800</v>
      </c>
      <c r="AS200" s="230">
        <v>1618600</v>
      </c>
      <c r="AT200" s="230">
        <v>-152800</v>
      </c>
      <c r="AU200" s="229">
        <v>-9.4399999999999998E-2</v>
      </c>
      <c r="AV200" s="230">
        <v>1358200</v>
      </c>
      <c r="AW200" s="230">
        <v>1490800</v>
      </c>
      <c r="AX200" s="230">
        <v>-132600</v>
      </c>
      <c r="AY200" s="229">
        <v>-8.8900000000000007E-2</v>
      </c>
      <c r="AZ200" s="230">
        <v>103400</v>
      </c>
      <c r="BA200" s="230">
        <v>124800</v>
      </c>
      <c r="BB200" s="230">
        <v>-21400</v>
      </c>
      <c r="BC200" s="229">
        <v>-0.17150000000000001</v>
      </c>
      <c r="BD200" s="228">
        <v>0</v>
      </c>
      <c r="BE200" s="228">
        <v>0</v>
      </c>
      <c r="BF200" s="228">
        <v>0</v>
      </c>
      <c r="BG200" s="229">
        <v>0</v>
      </c>
      <c r="BH200" s="230">
        <v>3051400</v>
      </c>
      <c r="BI200" s="230">
        <v>2428800</v>
      </c>
      <c r="BJ200" s="230">
        <v>622600</v>
      </c>
      <c r="BK200" s="229">
        <v>0.25629999999999997</v>
      </c>
      <c r="BL200" s="230">
        <v>2017400</v>
      </c>
      <c r="BM200" s="230">
        <v>1785600</v>
      </c>
      <c r="BN200" s="230">
        <v>231800</v>
      </c>
      <c r="BO200" s="229">
        <v>0.1298</v>
      </c>
      <c r="BP200" s="230">
        <v>6534600</v>
      </c>
      <c r="BQ200" s="230">
        <v>5833000</v>
      </c>
      <c r="BR200" s="230">
        <v>701600</v>
      </c>
      <c r="BS200" s="229">
        <v>0.1203</v>
      </c>
      <c r="BT200" s="230">
        <v>545930</v>
      </c>
      <c r="BU200" s="230">
        <v>521027</v>
      </c>
      <c r="BV200" s="230">
        <v>24903</v>
      </c>
      <c r="BW200" s="229">
        <v>4.7800000000000002E-2</v>
      </c>
      <c r="BX200" s="230">
        <v>4325800</v>
      </c>
      <c r="BY200" s="230">
        <v>4344800</v>
      </c>
      <c r="BZ200" s="230">
        <v>-19000</v>
      </c>
      <c r="CA200" s="229">
        <v>-4.4000000000000003E-3</v>
      </c>
      <c r="CB200" s="230">
        <v>4179800</v>
      </c>
      <c r="CC200" s="230">
        <v>4222800</v>
      </c>
      <c r="CD200" s="230">
        <v>-43000</v>
      </c>
      <c r="CE200" s="229">
        <v>-1.0200000000000001E-2</v>
      </c>
      <c r="CF200" s="230">
        <v>134800</v>
      </c>
      <c r="CG200" s="230">
        <v>112200</v>
      </c>
      <c r="CH200" s="230">
        <v>22600</v>
      </c>
      <c r="CI200" s="229">
        <v>0.2014</v>
      </c>
      <c r="CJ200" s="228">
        <v>0</v>
      </c>
      <c r="CK200" s="228">
        <v>0</v>
      </c>
      <c r="CL200" s="228">
        <v>0</v>
      </c>
      <c r="CM200" s="229">
        <v>0</v>
      </c>
      <c r="CN200" s="230">
        <v>1714400</v>
      </c>
      <c r="CO200" s="230">
        <v>1658800</v>
      </c>
      <c r="CP200" s="230">
        <v>55600</v>
      </c>
      <c r="CQ200" s="229">
        <v>3.3500000000000002E-2</v>
      </c>
      <c r="CR200" s="230">
        <v>1117600</v>
      </c>
      <c r="CS200" s="230">
        <v>1125600</v>
      </c>
      <c r="CT200" s="230">
        <v>-8000</v>
      </c>
      <c r="CU200" s="229">
        <v>-7.1000000000000004E-3</v>
      </c>
      <c r="CV200" s="230">
        <v>7157800</v>
      </c>
      <c r="CW200" s="230">
        <v>7129200</v>
      </c>
      <c r="CX200" s="230">
        <v>28600</v>
      </c>
      <c r="CY200" s="229">
        <v>4.0000000000000001E-3</v>
      </c>
      <c r="CZ200" s="228">
        <v>36.14</v>
      </c>
      <c r="DA200" s="228">
        <v>34.26</v>
      </c>
      <c r="DB200" s="228">
        <v>1.88</v>
      </c>
      <c r="DC200" s="228">
        <v>1.88</v>
      </c>
      <c r="DD200" s="228">
        <v>33.880000000000003</v>
      </c>
      <c r="DE200" s="228">
        <v>33.96</v>
      </c>
      <c r="DF200" s="228">
        <v>2.2599999999999998</v>
      </c>
      <c r="DG200" s="228">
        <v>-0.08</v>
      </c>
      <c r="DH200" s="228">
        <v>36.21</v>
      </c>
      <c r="DI200" s="228">
        <v>34.5</v>
      </c>
      <c r="DJ200" s="228">
        <v>1.71</v>
      </c>
      <c r="DK200" s="228">
        <v>1.71</v>
      </c>
      <c r="DL200" s="228">
        <v>36.020000000000003</v>
      </c>
      <c r="DM200" s="228">
        <v>33.93</v>
      </c>
      <c r="DN200" s="228">
        <v>2.09</v>
      </c>
      <c r="DO200" s="228">
        <v>2.09</v>
      </c>
      <c r="DP200" s="228">
        <v>0.65</v>
      </c>
      <c r="DQ200" s="228">
        <v>0.68</v>
      </c>
      <c r="DR200" s="228">
        <v>-0.03</v>
      </c>
      <c r="DS200" s="229">
        <v>-4.41E-2</v>
      </c>
      <c r="DT200" s="231">
        <v>3300</v>
      </c>
      <c r="DU200" s="231">
        <v>3100</v>
      </c>
      <c r="DV200" s="228">
        <v>0.66</v>
      </c>
      <c r="DW200" s="228">
        <v>0.74</v>
      </c>
      <c r="DX200" s="228">
        <v>-0.08</v>
      </c>
      <c r="DY200" s="229">
        <v>-0.1081</v>
      </c>
      <c r="DZ200" s="229">
        <v>3.1199999999999999E-2</v>
      </c>
      <c r="EA200" s="230">
        <v>112200</v>
      </c>
      <c r="EB200" s="229">
        <v>4.4999999999999997E-3</v>
      </c>
      <c r="EC200" s="229">
        <v>3.1199999999999999E-2</v>
      </c>
      <c r="ED200" s="228">
        <v>17.09</v>
      </c>
      <c r="EE200" s="229">
        <v>5.4999999999999997E-3</v>
      </c>
      <c r="EF200" s="230">
        <v>328617</v>
      </c>
      <c r="EG200" s="230">
        <v>293502</v>
      </c>
      <c r="EH200" s="229">
        <v>0.1196</v>
      </c>
      <c r="EI200" s="229">
        <v>0.60189999999999999</v>
      </c>
      <c r="EJ200" s="231">
        <v>99201.4</v>
      </c>
      <c r="EK200" s="231">
        <v>62676.05</v>
      </c>
      <c r="EL200" s="231">
        <v>45580.53</v>
      </c>
      <c r="EM200" s="228">
        <v>0</v>
      </c>
      <c r="EN200" s="231">
        <v>207457.98</v>
      </c>
      <c r="EO200" s="231">
        <v>187479.97</v>
      </c>
      <c r="EP200" s="231">
        <v>19978.009999999998</v>
      </c>
      <c r="EQ200" s="229">
        <v>0.1066</v>
      </c>
      <c r="ER200" s="231">
        <v>56219</v>
      </c>
      <c r="ES200" s="231">
        <v>34083</v>
      </c>
      <c r="ET200" s="231">
        <v>135757</v>
      </c>
      <c r="EU200" s="231">
        <v>29488465</v>
      </c>
      <c r="EV200" s="231">
        <v>226059</v>
      </c>
      <c r="EW200" s="231">
        <v>224993</v>
      </c>
      <c r="EX200" s="231">
        <v>1066</v>
      </c>
      <c r="EY200" s="229">
        <v>4.7000000000000002E-3</v>
      </c>
      <c r="EZ200" s="229">
        <v>0.2427</v>
      </c>
      <c r="FA200" s="227" t="s">
        <v>556</v>
      </c>
      <c r="FB200" s="161">
        <f t="shared" si="5"/>
        <v>0</v>
      </c>
    </row>
    <row r="201" spans="1:158" ht="17.25" thickBot="1" x14ac:dyDescent="0.3">
      <c r="A201" s="226">
        <v>45860</v>
      </c>
      <c r="B201" s="227" t="s">
        <v>170</v>
      </c>
      <c r="C201" s="227" t="s">
        <v>288</v>
      </c>
      <c r="D201" s="228">
        <v>350</v>
      </c>
      <c r="E201" s="231">
        <v>1680.4</v>
      </c>
      <c r="F201" s="231">
        <v>1696.9</v>
      </c>
      <c r="G201" s="228">
        <v>-16.5</v>
      </c>
      <c r="H201" s="229">
        <v>-9.7000000000000003E-3</v>
      </c>
      <c r="I201" s="231">
        <v>1678</v>
      </c>
      <c r="J201" s="231">
        <v>1692.3</v>
      </c>
      <c r="K201" s="228">
        <v>-14.3</v>
      </c>
      <c r="L201" s="229">
        <v>-8.5000000000000006E-3</v>
      </c>
      <c r="M201" s="231">
        <v>1680.4</v>
      </c>
      <c r="N201" s="231">
        <v>1696.9</v>
      </c>
      <c r="O201" s="228">
        <v>-16.5</v>
      </c>
      <c r="P201" s="229">
        <v>-9.7000000000000003E-3</v>
      </c>
      <c r="Q201" s="231">
        <v>1689.3</v>
      </c>
      <c r="R201" s="231">
        <v>1704.9</v>
      </c>
      <c r="S201" s="228">
        <v>-15.6</v>
      </c>
      <c r="T201" s="229">
        <v>-9.1999999999999998E-3</v>
      </c>
      <c r="U201" s="228">
        <v>0</v>
      </c>
      <c r="V201" s="228">
        <v>0</v>
      </c>
      <c r="W201" s="228">
        <v>0</v>
      </c>
      <c r="X201" s="229">
        <v>0</v>
      </c>
      <c r="Y201" s="228">
        <v>2.4</v>
      </c>
      <c r="Z201" s="228">
        <v>4.5999999999999996</v>
      </c>
      <c r="AA201" s="228">
        <v>-2.2000000000000002</v>
      </c>
      <c r="AB201" s="229">
        <v>1.4E-3</v>
      </c>
      <c r="AC201" s="228">
        <v>2.4</v>
      </c>
      <c r="AD201" s="228">
        <v>4.5999999999999996</v>
      </c>
      <c r="AE201" s="228">
        <v>-2.2000000000000002</v>
      </c>
      <c r="AF201" s="229">
        <v>1.4E-3</v>
      </c>
      <c r="AG201" s="228">
        <v>11.3</v>
      </c>
      <c r="AH201" s="228">
        <v>12.6</v>
      </c>
      <c r="AI201" s="228">
        <v>-1.3</v>
      </c>
      <c r="AJ201" s="229">
        <v>6.7000000000000002E-3</v>
      </c>
      <c r="AK201" s="228">
        <v>0</v>
      </c>
      <c r="AL201" s="228">
        <v>0</v>
      </c>
      <c r="AM201" s="228">
        <v>0</v>
      </c>
      <c r="AN201" s="229">
        <v>0</v>
      </c>
      <c r="AO201" s="231">
        <v>1681.37</v>
      </c>
      <c r="AP201" s="231">
        <v>1690.34</v>
      </c>
      <c r="AQ201" s="228">
        <v>0</v>
      </c>
      <c r="AR201" s="230">
        <v>1239350</v>
      </c>
      <c r="AS201" s="230">
        <v>1319500</v>
      </c>
      <c r="AT201" s="230">
        <v>-80150</v>
      </c>
      <c r="AU201" s="229">
        <v>-6.0699999999999997E-2</v>
      </c>
      <c r="AV201" s="230">
        <v>1055950</v>
      </c>
      <c r="AW201" s="230">
        <v>1070650</v>
      </c>
      <c r="AX201" s="230">
        <v>-14700</v>
      </c>
      <c r="AY201" s="229">
        <v>-1.37E-2</v>
      </c>
      <c r="AZ201" s="230">
        <v>179550</v>
      </c>
      <c r="BA201" s="230">
        <v>243250</v>
      </c>
      <c r="BB201" s="230">
        <v>-63700</v>
      </c>
      <c r="BC201" s="229">
        <v>-0.26190000000000002</v>
      </c>
      <c r="BD201" s="228">
        <v>0</v>
      </c>
      <c r="BE201" s="228">
        <v>0</v>
      </c>
      <c r="BF201" s="228">
        <v>0</v>
      </c>
      <c r="BG201" s="229">
        <v>0</v>
      </c>
      <c r="BH201" s="230">
        <v>8208200</v>
      </c>
      <c r="BI201" s="230">
        <v>6748350</v>
      </c>
      <c r="BJ201" s="230">
        <v>1459850</v>
      </c>
      <c r="BK201" s="229">
        <v>0.21629999999999999</v>
      </c>
      <c r="BL201" s="230">
        <v>3116750</v>
      </c>
      <c r="BM201" s="230">
        <v>3188850</v>
      </c>
      <c r="BN201" s="230">
        <v>-72100</v>
      </c>
      <c r="BO201" s="229">
        <v>-2.2599999999999999E-2</v>
      </c>
      <c r="BP201" s="230">
        <v>12564300</v>
      </c>
      <c r="BQ201" s="230">
        <v>11256700</v>
      </c>
      <c r="BR201" s="230">
        <v>1307600</v>
      </c>
      <c r="BS201" s="229">
        <v>0.1162</v>
      </c>
      <c r="BT201" s="230">
        <v>1261541</v>
      </c>
      <c r="BU201" s="230">
        <v>2407461</v>
      </c>
      <c r="BV201" s="230">
        <v>-1145920</v>
      </c>
      <c r="BW201" s="229">
        <v>-0.47599999999999998</v>
      </c>
      <c r="BX201" s="230">
        <v>19297250</v>
      </c>
      <c r="BY201" s="230">
        <v>19447750</v>
      </c>
      <c r="BZ201" s="230">
        <v>-150500</v>
      </c>
      <c r="CA201" s="229">
        <v>-7.7000000000000002E-3</v>
      </c>
      <c r="CB201" s="230">
        <v>17419150</v>
      </c>
      <c r="CC201" s="230">
        <v>17661000</v>
      </c>
      <c r="CD201" s="230">
        <v>-241850</v>
      </c>
      <c r="CE201" s="229">
        <v>-1.37E-2</v>
      </c>
      <c r="CF201" s="230">
        <v>1840300</v>
      </c>
      <c r="CG201" s="230">
        <v>1749650</v>
      </c>
      <c r="CH201" s="230">
        <v>90650</v>
      </c>
      <c r="CI201" s="229">
        <v>5.1799999999999999E-2</v>
      </c>
      <c r="CJ201" s="228">
        <v>0</v>
      </c>
      <c r="CK201" s="228">
        <v>0</v>
      </c>
      <c r="CL201" s="228">
        <v>0</v>
      </c>
      <c r="CM201" s="229">
        <v>0</v>
      </c>
      <c r="CN201" s="230">
        <v>9725450</v>
      </c>
      <c r="CO201" s="230">
        <v>9931600</v>
      </c>
      <c r="CP201" s="230">
        <v>-206150</v>
      </c>
      <c r="CQ201" s="229">
        <v>-2.0799999999999999E-2</v>
      </c>
      <c r="CR201" s="230">
        <v>3614450</v>
      </c>
      <c r="CS201" s="230">
        <v>3622500</v>
      </c>
      <c r="CT201" s="230">
        <v>-8050</v>
      </c>
      <c r="CU201" s="229">
        <v>-2.2000000000000001E-3</v>
      </c>
      <c r="CV201" s="230">
        <v>32637150</v>
      </c>
      <c r="CW201" s="230">
        <v>33001850</v>
      </c>
      <c r="CX201" s="230">
        <v>-364700</v>
      </c>
      <c r="CY201" s="229">
        <v>-1.11E-2</v>
      </c>
      <c r="CZ201" s="228">
        <v>18.239999999999998</v>
      </c>
      <c r="DA201" s="228">
        <v>18.23</v>
      </c>
      <c r="DB201" s="228">
        <v>0.01</v>
      </c>
      <c r="DC201" s="228">
        <v>0.01</v>
      </c>
      <c r="DD201" s="228">
        <v>24.3</v>
      </c>
      <c r="DE201" s="228">
        <v>24.33</v>
      </c>
      <c r="DF201" s="228">
        <v>-6.06</v>
      </c>
      <c r="DG201" s="228">
        <v>-0.03</v>
      </c>
      <c r="DH201" s="228">
        <v>18.14</v>
      </c>
      <c r="DI201" s="228">
        <v>18.09</v>
      </c>
      <c r="DJ201" s="228">
        <v>0.05</v>
      </c>
      <c r="DK201" s="228">
        <v>0.05</v>
      </c>
      <c r="DL201" s="228">
        <v>18.510000000000002</v>
      </c>
      <c r="DM201" s="228">
        <v>18.52</v>
      </c>
      <c r="DN201" s="228">
        <v>-0.01</v>
      </c>
      <c r="DO201" s="228">
        <v>-0.01</v>
      </c>
      <c r="DP201" s="228">
        <v>0.37</v>
      </c>
      <c r="DQ201" s="228">
        <v>0.36</v>
      </c>
      <c r="DR201" s="228">
        <v>0.01</v>
      </c>
      <c r="DS201" s="229">
        <v>2.7799999999999998E-2</v>
      </c>
      <c r="DT201" s="231">
        <v>1720</v>
      </c>
      <c r="DU201" s="231">
        <v>1600</v>
      </c>
      <c r="DV201" s="228">
        <v>0.38</v>
      </c>
      <c r="DW201" s="228">
        <v>0.47</v>
      </c>
      <c r="DX201" s="228">
        <v>-0.09</v>
      </c>
      <c r="DY201" s="229">
        <v>-0.1915</v>
      </c>
      <c r="DZ201" s="229">
        <v>9.5399999999999999E-2</v>
      </c>
      <c r="EA201" s="230">
        <v>1749650</v>
      </c>
      <c r="EB201" s="229">
        <v>5.3E-3</v>
      </c>
      <c r="EC201" s="229">
        <v>9.5399999999999999E-2</v>
      </c>
      <c r="ED201" s="228">
        <v>8.9700000000000006</v>
      </c>
      <c r="EE201" s="229">
        <v>5.3E-3</v>
      </c>
      <c r="EF201" s="230">
        <v>849923</v>
      </c>
      <c r="EG201" s="230">
        <v>1609738</v>
      </c>
      <c r="EH201" s="229">
        <v>-0.47199999999999998</v>
      </c>
      <c r="EI201" s="229">
        <v>0.67369999999999997</v>
      </c>
      <c r="EJ201" s="231">
        <v>143901.54</v>
      </c>
      <c r="EK201" s="231">
        <v>52201.83</v>
      </c>
      <c r="EL201" s="231">
        <v>20854.89</v>
      </c>
      <c r="EM201" s="228">
        <v>0</v>
      </c>
      <c r="EN201" s="231">
        <v>216958.26</v>
      </c>
      <c r="EO201" s="231">
        <v>194287.5</v>
      </c>
      <c r="EP201" s="231">
        <v>22670.76</v>
      </c>
      <c r="EQ201" s="229">
        <v>0.1167</v>
      </c>
      <c r="ER201" s="231">
        <v>168955</v>
      </c>
      <c r="ES201" s="231">
        <v>58624</v>
      </c>
      <c r="ET201" s="231">
        <v>324441</v>
      </c>
      <c r="EU201" s="231">
        <v>218440087</v>
      </c>
      <c r="EV201" s="231">
        <v>552020</v>
      </c>
      <c r="EW201" s="231">
        <v>561692</v>
      </c>
      <c r="EX201" s="231">
        <v>-9672</v>
      </c>
      <c r="EY201" s="229">
        <v>-1.72E-2</v>
      </c>
      <c r="EZ201" s="229">
        <v>0.14940000000000001</v>
      </c>
      <c r="FA201" s="227" t="s">
        <v>568</v>
      </c>
      <c r="FB201" s="161">
        <f t="shared" si="5"/>
        <v>0</v>
      </c>
    </row>
    <row r="202" spans="1:158" ht="17.25" thickBot="1" x14ac:dyDescent="0.3">
      <c r="A202" s="226">
        <v>45860</v>
      </c>
      <c r="B202" s="227" t="s">
        <v>184</v>
      </c>
      <c r="C202" s="227" t="s">
        <v>575</v>
      </c>
      <c r="D202" s="228">
        <v>175</v>
      </c>
      <c r="E202" s="231">
        <v>4090.5</v>
      </c>
      <c r="F202" s="231">
        <v>4202.6000000000004</v>
      </c>
      <c r="G202" s="228">
        <v>-112.1</v>
      </c>
      <c r="H202" s="229">
        <v>-2.6700000000000002E-2</v>
      </c>
      <c r="I202" s="231">
        <v>4088.1</v>
      </c>
      <c r="J202" s="231">
        <v>4200.2</v>
      </c>
      <c r="K202" s="228">
        <v>-112.1</v>
      </c>
      <c r="L202" s="229">
        <v>-2.6700000000000002E-2</v>
      </c>
      <c r="M202" s="231">
        <v>4090.5</v>
      </c>
      <c r="N202" s="231">
        <v>4202.6000000000004</v>
      </c>
      <c r="O202" s="228">
        <v>-112.1</v>
      </c>
      <c r="P202" s="229">
        <v>-2.6700000000000002E-2</v>
      </c>
      <c r="Q202" s="231">
        <v>4117.1000000000004</v>
      </c>
      <c r="R202" s="231">
        <v>4216.6000000000004</v>
      </c>
      <c r="S202" s="228">
        <v>-99.5</v>
      </c>
      <c r="T202" s="229">
        <v>-2.3599999999999999E-2</v>
      </c>
      <c r="U202" s="228">
        <v>0</v>
      </c>
      <c r="V202" s="228">
        <v>0</v>
      </c>
      <c r="W202" s="228">
        <v>0</v>
      </c>
      <c r="X202" s="229">
        <v>0</v>
      </c>
      <c r="Y202" s="228">
        <v>2.4</v>
      </c>
      <c r="Z202" s="228">
        <v>2.4</v>
      </c>
      <c r="AA202" s="228">
        <v>0</v>
      </c>
      <c r="AB202" s="229">
        <v>5.9999999999999995E-4</v>
      </c>
      <c r="AC202" s="228">
        <v>2.4</v>
      </c>
      <c r="AD202" s="228">
        <v>2.4</v>
      </c>
      <c r="AE202" s="228">
        <v>0</v>
      </c>
      <c r="AF202" s="229">
        <v>5.9999999999999995E-4</v>
      </c>
      <c r="AG202" s="228">
        <v>29</v>
      </c>
      <c r="AH202" s="228">
        <v>16.399999999999999</v>
      </c>
      <c r="AI202" s="228">
        <v>12.6</v>
      </c>
      <c r="AJ202" s="229">
        <v>7.1000000000000004E-3</v>
      </c>
      <c r="AK202" s="228">
        <v>0</v>
      </c>
      <c r="AL202" s="228">
        <v>0</v>
      </c>
      <c r="AM202" s="228">
        <v>0</v>
      </c>
      <c r="AN202" s="229">
        <v>0</v>
      </c>
      <c r="AO202" s="231">
        <v>4113.55</v>
      </c>
      <c r="AP202" s="231">
        <v>4119.33</v>
      </c>
      <c r="AQ202" s="228">
        <v>0</v>
      </c>
      <c r="AR202" s="230">
        <v>982275</v>
      </c>
      <c r="AS202" s="230">
        <v>695975</v>
      </c>
      <c r="AT202" s="230">
        <v>286300</v>
      </c>
      <c r="AU202" s="229">
        <v>0.41139999999999999</v>
      </c>
      <c r="AV202" s="230">
        <v>880250</v>
      </c>
      <c r="AW202" s="230">
        <v>632275</v>
      </c>
      <c r="AX202" s="230">
        <v>247975</v>
      </c>
      <c r="AY202" s="229">
        <v>0.39219999999999999</v>
      </c>
      <c r="AZ202" s="230">
        <v>100100</v>
      </c>
      <c r="BA202" s="230">
        <v>60025</v>
      </c>
      <c r="BB202" s="230">
        <v>40075</v>
      </c>
      <c r="BC202" s="229">
        <v>0.66759999999999997</v>
      </c>
      <c r="BD202" s="228">
        <v>0</v>
      </c>
      <c r="BE202" s="228">
        <v>0</v>
      </c>
      <c r="BF202" s="228">
        <v>0</v>
      </c>
      <c r="BG202" s="229">
        <v>0</v>
      </c>
      <c r="BH202" s="230">
        <v>1219225</v>
      </c>
      <c r="BI202" s="230">
        <v>1845550</v>
      </c>
      <c r="BJ202" s="230">
        <v>-626325</v>
      </c>
      <c r="BK202" s="229">
        <v>-0.33939999999999998</v>
      </c>
      <c r="BL202" s="230">
        <v>733075</v>
      </c>
      <c r="BM202" s="230">
        <v>528150</v>
      </c>
      <c r="BN202" s="230">
        <v>204925</v>
      </c>
      <c r="BO202" s="229">
        <v>0.38800000000000001</v>
      </c>
      <c r="BP202" s="230">
        <v>2934575</v>
      </c>
      <c r="BQ202" s="230">
        <v>3069675</v>
      </c>
      <c r="BR202" s="230">
        <v>-135100</v>
      </c>
      <c r="BS202" s="229">
        <v>-4.3999999999999997E-2</v>
      </c>
      <c r="BT202" s="230">
        <v>442463</v>
      </c>
      <c r="BU202" s="230">
        <v>230872</v>
      </c>
      <c r="BV202" s="230">
        <v>211591</v>
      </c>
      <c r="BW202" s="229">
        <v>0.91649999999999998</v>
      </c>
      <c r="BX202" s="230">
        <v>1462650</v>
      </c>
      <c r="BY202" s="230">
        <v>1449700</v>
      </c>
      <c r="BZ202" s="230">
        <v>12950</v>
      </c>
      <c r="CA202" s="229">
        <v>8.8999999999999999E-3</v>
      </c>
      <c r="CB202" s="230">
        <v>1365525</v>
      </c>
      <c r="CC202" s="230">
        <v>1380400</v>
      </c>
      <c r="CD202" s="230">
        <v>-14875</v>
      </c>
      <c r="CE202" s="229">
        <v>-1.0800000000000001E-2</v>
      </c>
      <c r="CF202" s="230">
        <v>91525</v>
      </c>
      <c r="CG202" s="230">
        <v>64050</v>
      </c>
      <c r="CH202" s="230">
        <v>27475</v>
      </c>
      <c r="CI202" s="229">
        <v>0.42899999999999999</v>
      </c>
      <c r="CJ202" s="228">
        <v>0</v>
      </c>
      <c r="CK202" s="228">
        <v>0</v>
      </c>
      <c r="CL202" s="228">
        <v>0</v>
      </c>
      <c r="CM202" s="229">
        <v>0</v>
      </c>
      <c r="CN202" s="230">
        <v>520625</v>
      </c>
      <c r="CO202" s="230">
        <v>493150</v>
      </c>
      <c r="CP202" s="230">
        <v>27475</v>
      </c>
      <c r="CQ202" s="229">
        <v>5.57E-2</v>
      </c>
      <c r="CR202" s="230">
        <v>268450</v>
      </c>
      <c r="CS202" s="230">
        <v>261275</v>
      </c>
      <c r="CT202" s="230">
        <v>7175</v>
      </c>
      <c r="CU202" s="229">
        <v>2.75E-2</v>
      </c>
      <c r="CV202" s="230">
        <v>2251725</v>
      </c>
      <c r="CW202" s="230">
        <v>2204125</v>
      </c>
      <c r="CX202" s="230">
        <v>47600</v>
      </c>
      <c r="CY202" s="229">
        <v>2.1600000000000001E-2</v>
      </c>
      <c r="CZ202" s="228">
        <v>45.19</v>
      </c>
      <c r="DA202" s="228">
        <v>45.77</v>
      </c>
      <c r="DB202" s="228">
        <v>-0.57999999999999996</v>
      </c>
      <c r="DC202" s="228">
        <v>-0.57999999999999996</v>
      </c>
      <c r="DD202" s="228">
        <v>44.38</v>
      </c>
      <c r="DE202" s="228">
        <v>44.34</v>
      </c>
      <c r="DF202" s="228">
        <v>0.81</v>
      </c>
      <c r="DG202" s="228">
        <v>0.04</v>
      </c>
      <c r="DH202" s="228">
        <v>46.68</v>
      </c>
      <c r="DI202" s="228">
        <v>45.98</v>
      </c>
      <c r="DJ202" s="228">
        <v>0.7</v>
      </c>
      <c r="DK202" s="228">
        <v>0.7</v>
      </c>
      <c r="DL202" s="228">
        <v>42.73</v>
      </c>
      <c r="DM202" s="228">
        <v>45.04</v>
      </c>
      <c r="DN202" s="228">
        <v>-2.31</v>
      </c>
      <c r="DO202" s="228">
        <v>-2.31</v>
      </c>
      <c r="DP202" s="228">
        <v>0.52</v>
      </c>
      <c r="DQ202" s="228">
        <v>0.53</v>
      </c>
      <c r="DR202" s="228">
        <v>-0.01</v>
      </c>
      <c r="DS202" s="229">
        <v>-1.89E-2</v>
      </c>
      <c r="DT202" s="231">
        <v>4500</v>
      </c>
      <c r="DU202" s="231">
        <v>4000</v>
      </c>
      <c r="DV202" s="228">
        <v>0.6</v>
      </c>
      <c r="DW202" s="228">
        <v>0.28999999999999998</v>
      </c>
      <c r="DX202" s="228">
        <v>0.31</v>
      </c>
      <c r="DY202" s="229">
        <v>1.069</v>
      </c>
      <c r="DZ202" s="229">
        <v>6.2600000000000003E-2</v>
      </c>
      <c r="EA202" s="230">
        <v>64050</v>
      </c>
      <c r="EB202" s="229">
        <v>6.4999999999999997E-3</v>
      </c>
      <c r="EC202" s="229">
        <v>6.2600000000000003E-2</v>
      </c>
      <c r="ED202" s="228">
        <v>5.78</v>
      </c>
      <c r="EE202" s="229">
        <v>1.4E-3</v>
      </c>
      <c r="EF202" s="230">
        <v>213505</v>
      </c>
      <c r="EG202" s="230">
        <v>58280</v>
      </c>
      <c r="EH202" s="229">
        <v>2.6634000000000002</v>
      </c>
      <c r="EI202" s="229">
        <v>0.48249999999999998</v>
      </c>
      <c r="EJ202" s="231">
        <v>53856.01</v>
      </c>
      <c r="EK202" s="231">
        <v>30526.91</v>
      </c>
      <c r="EL202" s="231">
        <v>40412.61</v>
      </c>
      <c r="EM202" s="228">
        <v>0</v>
      </c>
      <c r="EN202" s="231">
        <v>124795.53</v>
      </c>
      <c r="EO202" s="231">
        <v>135022.88</v>
      </c>
      <c r="EP202" s="231">
        <v>-10227.35</v>
      </c>
      <c r="EQ202" s="229">
        <v>-7.5700000000000003E-2</v>
      </c>
      <c r="ER202" s="231">
        <v>23267</v>
      </c>
      <c r="ES202" s="231">
        <v>11189</v>
      </c>
      <c r="ET202" s="231">
        <v>59854</v>
      </c>
      <c r="EU202" s="231">
        <v>12994611</v>
      </c>
      <c r="EV202" s="231">
        <v>94311</v>
      </c>
      <c r="EW202" s="231">
        <v>94293</v>
      </c>
      <c r="EX202" s="228">
        <v>18</v>
      </c>
      <c r="EY202" s="229">
        <v>2.0000000000000001E-4</v>
      </c>
      <c r="EZ202" s="229">
        <v>0.17330000000000001</v>
      </c>
      <c r="FA202" s="227" t="s">
        <v>567</v>
      </c>
      <c r="FB202" s="161">
        <f t="shared" si="5"/>
        <v>0</v>
      </c>
    </row>
    <row r="203" spans="1:158" ht="17.25" thickBot="1" x14ac:dyDescent="0.3">
      <c r="A203" s="226">
        <v>45860</v>
      </c>
      <c r="B203" s="227" t="s">
        <v>170</v>
      </c>
      <c r="C203" s="227" t="s">
        <v>520</v>
      </c>
      <c r="D203" s="228">
        <v>1000</v>
      </c>
      <c r="E203" s="228">
        <v>676.7</v>
      </c>
      <c r="F203" s="228">
        <v>673.25</v>
      </c>
      <c r="G203" s="228">
        <v>3.45</v>
      </c>
      <c r="H203" s="229">
        <v>5.1000000000000004E-3</v>
      </c>
      <c r="I203" s="228">
        <v>676</v>
      </c>
      <c r="J203" s="228">
        <v>671.05</v>
      </c>
      <c r="K203" s="228">
        <v>4.95</v>
      </c>
      <c r="L203" s="229">
        <v>7.4000000000000003E-3</v>
      </c>
      <c r="M203" s="228">
        <v>676.7</v>
      </c>
      <c r="N203" s="228">
        <v>673.25</v>
      </c>
      <c r="O203" s="228">
        <v>3.45</v>
      </c>
      <c r="P203" s="229">
        <v>5.1000000000000004E-3</v>
      </c>
      <c r="Q203" s="228">
        <v>680.15</v>
      </c>
      <c r="R203" s="228">
        <v>675.35</v>
      </c>
      <c r="S203" s="228">
        <v>4.8</v>
      </c>
      <c r="T203" s="229">
        <v>7.1000000000000004E-3</v>
      </c>
      <c r="U203" s="228">
        <v>0</v>
      </c>
      <c r="V203" s="228">
        <v>0</v>
      </c>
      <c r="W203" s="228">
        <v>0</v>
      </c>
      <c r="X203" s="229">
        <v>0</v>
      </c>
      <c r="Y203" s="228">
        <v>0.7</v>
      </c>
      <c r="Z203" s="228">
        <v>2.2000000000000002</v>
      </c>
      <c r="AA203" s="228">
        <v>-1.5</v>
      </c>
      <c r="AB203" s="229">
        <v>1E-3</v>
      </c>
      <c r="AC203" s="228">
        <v>0.7</v>
      </c>
      <c r="AD203" s="228">
        <v>2.2000000000000002</v>
      </c>
      <c r="AE203" s="228">
        <v>-1.5</v>
      </c>
      <c r="AF203" s="229">
        <v>1E-3</v>
      </c>
      <c r="AG203" s="228">
        <v>4.1500000000000004</v>
      </c>
      <c r="AH203" s="228">
        <v>4.3</v>
      </c>
      <c r="AI203" s="228">
        <v>-0.15</v>
      </c>
      <c r="AJ203" s="229">
        <v>6.1000000000000004E-3</v>
      </c>
      <c r="AK203" s="228">
        <v>0</v>
      </c>
      <c r="AL203" s="228">
        <v>0</v>
      </c>
      <c r="AM203" s="228">
        <v>0</v>
      </c>
      <c r="AN203" s="229">
        <v>0</v>
      </c>
      <c r="AO203" s="228">
        <v>677.44</v>
      </c>
      <c r="AP203" s="228">
        <v>680.67</v>
      </c>
      <c r="AQ203" s="228">
        <v>0</v>
      </c>
      <c r="AR203" s="230">
        <v>8832000</v>
      </c>
      <c r="AS203" s="230">
        <v>4594000</v>
      </c>
      <c r="AT203" s="230">
        <v>4238000</v>
      </c>
      <c r="AU203" s="229">
        <v>0.92249999999999999</v>
      </c>
      <c r="AV203" s="230">
        <v>7340000</v>
      </c>
      <c r="AW203" s="230">
        <v>4212000</v>
      </c>
      <c r="AX203" s="230">
        <v>3128000</v>
      </c>
      <c r="AY203" s="229">
        <v>0.74260000000000004</v>
      </c>
      <c r="AZ203" s="230">
        <v>1386000</v>
      </c>
      <c r="BA203" s="230">
        <v>367000</v>
      </c>
      <c r="BB203" s="230">
        <v>1019000</v>
      </c>
      <c r="BC203" s="229">
        <v>2.7766000000000002</v>
      </c>
      <c r="BD203" s="228">
        <v>0</v>
      </c>
      <c r="BE203" s="228">
        <v>0</v>
      </c>
      <c r="BF203" s="228">
        <v>0</v>
      </c>
      <c r="BG203" s="229">
        <v>0</v>
      </c>
      <c r="BH203" s="230">
        <v>12481000</v>
      </c>
      <c r="BI203" s="230">
        <v>9638000</v>
      </c>
      <c r="BJ203" s="230">
        <v>2843000</v>
      </c>
      <c r="BK203" s="229">
        <v>0.29499999999999998</v>
      </c>
      <c r="BL203" s="230">
        <v>5209000</v>
      </c>
      <c r="BM203" s="230">
        <v>4068000</v>
      </c>
      <c r="BN203" s="230">
        <v>1141000</v>
      </c>
      <c r="BO203" s="229">
        <v>0.28050000000000003</v>
      </c>
      <c r="BP203" s="230">
        <v>26522000</v>
      </c>
      <c r="BQ203" s="230">
        <v>18300000</v>
      </c>
      <c r="BR203" s="230">
        <v>8222000</v>
      </c>
      <c r="BS203" s="229">
        <v>0.44929999999999998</v>
      </c>
      <c r="BT203" s="230">
        <v>1761189</v>
      </c>
      <c r="BU203" s="230">
        <v>1014394</v>
      </c>
      <c r="BV203" s="230">
        <v>746795</v>
      </c>
      <c r="BW203" s="229">
        <v>0.73619999999999997</v>
      </c>
      <c r="BX203" s="230">
        <v>11163000</v>
      </c>
      <c r="BY203" s="230">
        <v>10823000</v>
      </c>
      <c r="BZ203" s="230">
        <v>340000</v>
      </c>
      <c r="CA203" s="229">
        <v>3.1399999999999997E-2</v>
      </c>
      <c r="CB203" s="230">
        <v>10534000</v>
      </c>
      <c r="CC203" s="230">
        <v>10226000</v>
      </c>
      <c r="CD203" s="230">
        <v>308000</v>
      </c>
      <c r="CE203" s="229">
        <v>3.0099999999999998E-2</v>
      </c>
      <c r="CF203" s="230">
        <v>524000</v>
      </c>
      <c r="CG203" s="230">
        <v>481000</v>
      </c>
      <c r="CH203" s="230">
        <v>43000</v>
      </c>
      <c r="CI203" s="229">
        <v>8.9399999999999993E-2</v>
      </c>
      <c r="CJ203" s="228">
        <v>0</v>
      </c>
      <c r="CK203" s="228">
        <v>0</v>
      </c>
      <c r="CL203" s="228">
        <v>0</v>
      </c>
      <c r="CM203" s="229">
        <v>0</v>
      </c>
      <c r="CN203" s="230">
        <v>3160000</v>
      </c>
      <c r="CO203" s="230">
        <v>2966000</v>
      </c>
      <c r="CP203" s="230">
        <v>194000</v>
      </c>
      <c r="CQ203" s="229">
        <v>6.54E-2</v>
      </c>
      <c r="CR203" s="230">
        <v>2320000</v>
      </c>
      <c r="CS203" s="230">
        <v>2168000</v>
      </c>
      <c r="CT203" s="230">
        <v>152000</v>
      </c>
      <c r="CU203" s="229">
        <v>7.0099999999999996E-2</v>
      </c>
      <c r="CV203" s="230">
        <v>16643000</v>
      </c>
      <c r="CW203" s="230">
        <v>15957000</v>
      </c>
      <c r="CX203" s="230">
        <v>686000</v>
      </c>
      <c r="CY203" s="229">
        <v>4.2999999999999997E-2</v>
      </c>
      <c r="CZ203" s="228">
        <v>35.22</v>
      </c>
      <c r="DA203" s="228">
        <v>32.630000000000003</v>
      </c>
      <c r="DB203" s="228">
        <v>2.59</v>
      </c>
      <c r="DC203" s="228">
        <v>2.59</v>
      </c>
      <c r="DD203" s="228">
        <v>34.119999999999997</v>
      </c>
      <c r="DE203" s="228">
        <v>34.19</v>
      </c>
      <c r="DF203" s="228">
        <v>1.1000000000000001</v>
      </c>
      <c r="DG203" s="228">
        <v>-7.0000000000000007E-2</v>
      </c>
      <c r="DH203" s="228">
        <v>35.1</v>
      </c>
      <c r="DI203" s="228">
        <v>32.11</v>
      </c>
      <c r="DJ203" s="228">
        <v>2.99</v>
      </c>
      <c r="DK203" s="228">
        <v>2.99</v>
      </c>
      <c r="DL203" s="228">
        <v>35.51</v>
      </c>
      <c r="DM203" s="228">
        <v>33.869999999999997</v>
      </c>
      <c r="DN203" s="228">
        <v>1.64</v>
      </c>
      <c r="DO203" s="228">
        <v>1.64</v>
      </c>
      <c r="DP203" s="228">
        <v>0.73</v>
      </c>
      <c r="DQ203" s="228">
        <v>0.73</v>
      </c>
      <c r="DR203" s="228">
        <v>0</v>
      </c>
      <c r="DS203" s="229">
        <v>0</v>
      </c>
      <c r="DT203" s="228">
        <v>680</v>
      </c>
      <c r="DU203" s="228">
        <v>650</v>
      </c>
      <c r="DV203" s="228">
        <v>0.42</v>
      </c>
      <c r="DW203" s="228">
        <v>0.42</v>
      </c>
      <c r="DX203" s="228">
        <v>0</v>
      </c>
      <c r="DY203" s="229">
        <v>0</v>
      </c>
      <c r="DZ203" s="229">
        <v>4.6899999999999997E-2</v>
      </c>
      <c r="EA203" s="230">
        <v>481000</v>
      </c>
      <c r="EB203" s="229">
        <v>5.1000000000000004E-3</v>
      </c>
      <c r="EC203" s="229">
        <v>4.6899999999999997E-2</v>
      </c>
      <c r="ED203" s="228">
        <v>3.23</v>
      </c>
      <c r="EE203" s="229">
        <v>4.7999999999999996E-3</v>
      </c>
      <c r="EF203" s="230">
        <v>672342</v>
      </c>
      <c r="EG203" s="230">
        <v>468542</v>
      </c>
      <c r="EH203" s="229">
        <v>0.435</v>
      </c>
      <c r="EI203" s="229">
        <v>0.38179999999999997</v>
      </c>
      <c r="EJ203" s="231">
        <v>87216.4</v>
      </c>
      <c r="EK203" s="231">
        <v>35217.14</v>
      </c>
      <c r="EL203" s="231">
        <v>59880.52</v>
      </c>
      <c r="EM203" s="228">
        <v>0</v>
      </c>
      <c r="EN203" s="231">
        <v>182314.06</v>
      </c>
      <c r="EO203" s="231">
        <v>123948.27</v>
      </c>
      <c r="EP203" s="231">
        <v>58365.79</v>
      </c>
      <c r="EQ203" s="229">
        <v>0.47089999999999999</v>
      </c>
      <c r="ER203" s="231">
        <v>21520</v>
      </c>
      <c r="ES203" s="231">
        <v>14979</v>
      </c>
      <c r="ET203" s="231">
        <v>75565</v>
      </c>
      <c r="EU203" s="231">
        <v>37816323</v>
      </c>
      <c r="EV203" s="231">
        <v>112064</v>
      </c>
      <c r="EW203" s="231">
        <v>106773</v>
      </c>
      <c r="EX203" s="231">
        <v>5291</v>
      </c>
      <c r="EY203" s="229">
        <v>4.9599999999999998E-2</v>
      </c>
      <c r="EZ203" s="229">
        <v>0.44009999999999999</v>
      </c>
      <c r="FA203" s="227" t="s">
        <v>555</v>
      </c>
      <c r="FB203" s="161">
        <f t="shared" si="5"/>
        <v>0</v>
      </c>
    </row>
    <row r="204" spans="1:158" ht="17.25" thickBot="1" x14ac:dyDescent="0.3">
      <c r="A204" s="226">
        <v>45860</v>
      </c>
      <c r="B204" s="227" t="s">
        <v>498</v>
      </c>
      <c r="C204" s="227" t="s">
        <v>290</v>
      </c>
      <c r="D204" s="228">
        <v>650</v>
      </c>
      <c r="E204" s="228">
        <v>964</v>
      </c>
      <c r="F204" s="228">
        <v>944.05</v>
      </c>
      <c r="G204" s="228">
        <v>19.95</v>
      </c>
      <c r="H204" s="229">
        <v>2.1100000000000001E-2</v>
      </c>
      <c r="I204" s="228">
        <v>962.65</v>
      </c>
      <c r="J204" s="228">
        <v>940.4</v>
      </c>
      <c r="K204" s="228">
        <v>22.25</v>
      </c>
      <c r="L204" s="229">
        <v>2.3699999999999999E-2</v>
      </c>
      <c r="M204" s="228">
        <v>964</v>
      </c>
      <c r="N204" s="228">
        <v>944.05</v>
      </c>
      <c r="O204" s="228">
        <v>19.95</v>
      </c>
      <c r="P204" s="229">
        <v>2.1100000000000001E-2</v>
      </c>
      <c r="Q204" s="228">
        <v>969.15</v>
      </c>
      <c r="R204" s="228">
        <v>948.5</v>
      </c>
      <c r="S204" s="228">
        <v>20.65</v>
      </c>
      <c r="T204" s="229">
        <v>2.18E-2</v>
      </c>
      <c r="U204" s="228">
        <v>0</v>
      </c>
      <c r="V204" s="228">
        <v>0</v>
      </c>
      <c r="W204" s="228">
        <v>0</v>
      </c>
      <c r="X204" s="229">
        <v>0</v>
      </c>
      <c r="Y204" s="228">
        <v>1.35</v>
      </c>
      <c r="Z204" s="228">
        <v>3.65</v>
      </c>
      <c r="AA204" s="228">
        <v>-2.2999999999999998</v>
      </c>
      <c r="AB204" s="229">
        <v>1.4E-3</v>
      </c>
      <c r="AC204" s="228">
        <v>1.35</v>
      </c>
      <c r="AD204" s="228">
        <v>3.65</v>
      </c>
      <c r="AE204" s="228">
        <v>-2.2999999999999998</v>
      </c>
      <c r="AF204" s="229">
        <v>1.4E-3</v>
      </c>
      <c r="AG204" s="228">
        <v>6.5</v>
      </c>
      <c r="AH204" s="228">
        <v>8.1</v>
      </c>
      <c r="AI204" s="228">
        <v>-1.6</v>
      </c>
      <c r="AJ204" s="229">
        <v>6.7999999999999996E-3</v>
      </c>
      <c r="AK204" s="228">
        <v>0</v>
      </c>
      <c r="AL204" s="228">
        <v>0</v>
      </c>
      <c r="AM204" s="228">
        <v>0</v>
      </c>
      <c r="AN204" s="229">
        <v>0</v>
      </c>
      <c r="AO204" s="228">
        <v>956.93</v>
      </c>
      <c r="AP204" s="228">
        <v>961.09</v>
      </c>
      <c r="AQ204" s="228">
        <v>0</v>
      </c>
      <c r="AR204" s="230">
        <v>4159350</v>
      </c>
      <c r="AS204" s="230">
        <v>1593800</v>
      </c>
      <c r="AT204" s="230">
        <v>2565550</v>
      </c>
      <c r="AU204" s="229">
        <v>1.6096999999999999</v>
      </c>
      <c r="AV204" s="230">
        <v>3455400</v>
      </c>
      <c r="AW204" s="230">
        <v>1352650</v>
      </c>
      <c r="AX204" s="230">
        <v>2102750</v>
      </c>
      <c r="AY204" s="229">
        <v>1.5545</v>
      </c>
      <c r="AZ204" s="230">
        <v>666250</v>
      </c>
      <c r="BA204" s="230">
        <v>231400</v>
      </c>
      <c r="BB204" s="230">
        <v>434850</v>
      </c>
      <c r="BC204" s="229">
        <v>1.8792</v>
      </c>
      <c r="BD204" s="228">
        <v>0</v>
      </c>
      <c r="BE204" s="228">
        <v>0</v>
      </c>
      <c r="BF204" s="228">
        <v>0</v>
      </c>
      <c r="BG204" s="229">
        <v>0</v>
      </c>
      <c r="BH204" s="230">
        <v>13181350</v>
      </c>
      <c r="BI204" s="230">
        <v>4610450</v>
      </c>
      <c r="BJ204" s="230">
        <v>8570900</v>
      </c>
      <c r="BK204" s="229">
        <v>1.859</v>
      </c>
      <c r="BL204" s="230">
        <v>3268850</v>
      </c>
      <c r="BM204" s="230">
        <v>1478750</v>
      </c>
      <c r="BN204" s="230">
        <v>1790100</v>
      </c>
      <c r="BO204" s="229">
        <v>1.2104999999999999</v>
      </c>
      <c r="BP204" s="230">
        <v>20609550</v>
      </c>
      <c r="BQ204" s="230">
        <v>7683000</v>
      </c>
      <c r="BR204" s="230">
        <v>12926550</v>
      </c>
      <c r="BS204" s="229">
        <v>1.6825000000000001</v>
      </c>
      <c r="BT204" s="230">
        <v>1208144</v>
      </c>
      <c r="BU204" s="230">
        <v>416866</v>
      </c>
      <c r="BV204" s="230">
        <v>791278</v>
      </c>
      <c r="BW204" s="229">
        <v>1.8982000000000001</v>
      </c>
      <c r="BX204" s="230">
        <v>9259900</v>
      </c>
      <c r="BY204" s="230">
        <v>9374300</v>
      </c>
      <c r="BZ204" s="230">
        <v>-114400</v>
      </c>
      <c r="CA204" s="229">
        <v>-1.2200000000000001E-2</v>
      </c>
      <c r="CB204" s="230">
        <v>8273200</v>
      </c>
      <c r="CC204" s="230">
        <v>8550750</v>
      </c>
      <c r="CD204" s="230">
        <v>-277550</v>
      </c>
      <c r="CE204" s="229">
        <v>-3.2500000000000001E-2</v>
      </c>
      <c r="CF204" s="230">
        <v>935350</v>
      </c>
      <c r="CG204" s="230">
        <v>780000</v>
      </c>
      <c r="CH204" s="230">
        <v>155350</v>
      </c>
      <c r="CI204" s="229">
        <v>0.19919999999999999</v>
      </c>
      <c r="CJ204" s="228">
        <v>0</v>
      </c>
      <c r="CK204" s="228">
        <v>0</v>
      </c>
      <c r="CL204" s="228">
        <v>0</v>
      </c>
      <c r="CM204" s="229">
        <v>0</v>
      </c>
      <c r="CN204" s="230">
        <v>6290700</v>
      </c>
      <c r="CO204" s="230">
        <v>6079450</v>
      </c>
      <c r="CP204" s="230">
        <v>211250</v>
      </c>
      <c r="CQ204" s="229">
        <v>3.4700000000000002E-2</v>
      </c>
      <c r="CR204" s="230">
        <v>3673800</v>
      </c>
      <c r="CS204" s="230">
        <v>3706300</v>
      </c>
      <c r="CT204" s="230">
        <v>-32500</v>
      </c>
      <c r="CU204" s="229">
        <v>-8.8000000000000005E-3</v>
      </c>
      <c r="CV204" s="230">
        <v>19224400</v>
      </c>
      <c r="CW204" s="230">
        <v>19160050</v>
      </c>
      <c r="CX204" s="230">
        <v>64350</v>
      </c>
      <c r="CY204" s="229">
        <v>3.3999999999999998E-3</v>
      </c>
      <c r="CZ204" s="228">
        <v>32.64</v>
      </c>
      <c r="DA204" s="228">
        <v>30.65</v>
      </c>
      <c r="DB204" s="228">
        <v>1.99</v>
      </c>
      <c r="DC204" s="228">
        <v>1.99</v>
      </c>
      <c r="DD204" s="228">
        <v>35.659999999999997</v>
      </c>
      <c r="DE204" s="228">
        <v>35.630000000000003</v>
      </c>
      <c r="DF204" s="228">
        <v>-3.02</v>
      </c>
      <c r="DG204" s="228">
        <v>0.03</v>
      </c>
      <c r="DH204" s="228">
        <v>32.61</v>
      </c>
      <c r="DI204" s="228">
        <v>30.63</v>
      </c>
      <c r="DJ204" s="228">
        <v>1.98</v>
      </c>
      <c r="DK204" s="228">
        <v>1.98</v>
      </c>
      <c r="DL204" s="228">
        <v>32.75</v>
      </c>
      <c r="DM204" s="228">
        <v>30.73</v>
      </c>
      <c r="DN204" s="228">
        <v>2.02</v>
      </c>
      <c r="DO204" s="228">
        <v>2.02</v>
      </c>
      <c r="DP204" s="228">
        <v>0.57999999999999996</v>
      </c>
      <c r="DQ204" s="228">
        <v>0.61</v>
      </c>
      <c r="DR204" s="228">
        <v>-0.03</v>
      </c>
      <c r="DS204" s="229">
        <v>-4.9200000000000001E-2</v>
      </c>
      <c r="DT204" s="231">
        <v>1000</v>
      </c>
      <c r="DU204" s="228">
        <v>900</v>
      </c>
      <c r="DV204" s="228">
        <v>0.25</v>
      </c>
      <c r="DW204" s="228">
        <v>0.32</v>
      </c>
      <c r="DX204" s="228">
        <v>-7.0000000000000007E-2</v>
      </c>
      <c r="DY204" s="229">
        <v>-0.21879999999999999</v>
      </c>
      <c r="DZ204" s="229">
        <v>0.10100000000000001</v>
      </c>
      <c r="EA204" s="230">
        <v>780000</v>
      </c>
      <c r="EB204" s="229">
        <v>5.3E-3</v>
      </c>
      <c r="EC204" s="229">
        <v>0.10100000000000001</v>
      </c>
      <c r="ED204" s="228">
        <v>4.16</v>
      </c>
      <c r="EE204" s="229">
        <v>4.3E-3</v>
      </c>
      <c r="EF204" s="230">
        <v>567913</v>
      </c>
      <c r="EG204" s="230">
        <v>173072</v>
      </c>
      <c r="EH204" s="229">
        <v>2.2814000000000001</v>
      </c>
      <c r="EI204" s="229">
        <v>0.47010000000000002</v>
      </c>
      <c r="EJ204" s="231">
        <v>130417.53</v>
      </c>
      <c r="EK204" s="231">
        <v>30833.79</v>
      </c>
      <c r="EL204" s="231">
        <v>39834.78</v>
      </c>
      <c r="EM204" s="228">
        <v>0</v>
      </c>
      <c r="EN204" s="231">
        <v>201086.1</v>
      </c>
      <c r="EO204" s="231">
        <v>73982.11</v>
      </c>
      <c r="EP204" s="231">
        <v>127103.99</v>
      </c>
      <c r="EQ204" s="229">
        <v>1.718</v>
      </c>
      <c r="ER204" s="231">
        <v>61726</v>
      </c>
      <c r="ES204" s="231">
        <v>33750</v>
      </c>
      <c r="ET204" s="231">
        <v>89320</v>
      </c>
      <c r="EU204" s="231">
        <v>31601465</v>
      </c>
      <c r="EV204" s="231">
        <v>184796</v>
      </c>
      <c r="EW204" s="231">
        <v>181921</v>
      </c>
      <c r="EX204" s="231">
        <v>2875</v>
      </c>
      <c r="EY204" s="229">
        <v>1.5800000000000002E-2</v>
      </c>
      <c r="EZ204" s="229">
        <v>0.60829999999999995</v>
      </c>
      <c r="FA204" s="227" t="s">
        <v>556</v>
      </c>
      <c r="FB204" s="161">
        <f t="shared" si="5"/>
        <v>0</v>
      </c>
    </row>
    <row r="205" spans="1:158" ht="17.25" thickBot="1" x14ac:dyDescent="0.3">
      <c r="A205" s="226">
        <v>45860</v>
      </c>
      <c r="B205" s="227" t="s">
        <v>188</v>
      </c>
      <c r="C205" s="227" t="s">
        <v>552</v>
      </c>
      <c r="D205" s="228">
        <v>350</v>
      </c>
      <c r="E205" s="231">
        <v>1742.9</v>
      </c>
      <c r="F205" s="231">
        <v>1774</v>
      </c>
      <c r="G205" s="228">
        <v>-31.1</v>
      </c>
      <c r="H205" s="229">
        <v>-1.7500000000000002E-2</v>
      </c>
      <c r="I205" s="231">
        <v>1736.7</v>
      </c>
      <c r="J205" s="231">
        <v>1771.2</v>
      </c>
      <c r="K205" s="228">
        <v>-34.5</v>
      </c>
      <c r="L205" s="229">
        <v>-1.95E-2</v>
      </c>
      <c r="M205" s="231">
        <v>1742.9</v>
      </c>
      <c r="N205" s="231">
        <v>1774</v>
      </c>
      <c r="O205" s="228">
        <v>-31.1</v>
      </c>
      <c r="P205" s="229">
        <v>-1.7500000000000002E-2</v>
      </c>
      <c r="Q205" s="228">
        <v>0</v>
      </c>
      <c r="R205" s="228">
        <v>0</v>
      </c>
      <c r="S205" s="228">
        <v>0</v>
      </c>
      <c r="T205" s="229">
        <v>0</v>
      </c>
      <c r="U205" s="228">
        <v>0</v>
      </c>
      <c r="V205" s="228">
        <v>0</v>
      </c>
      <c r="W205" s="228">
        <v>0</v>
      </c>
      <c r="X205" s="229">
        <v>0</v>
      </c>
      <c r="Y205" s="228">
        <v>6.2</v>
      </c>
      <c r="Z205" s="228">
        <v>2.8</v>
      </c>
      <c r="AA205" s="228">
        <v>3.4</v>
      </c>
      <c r="AB205" s="229">
        <v>3.5999999999999999E-3</v>
      </c>
      <c r="AC205" s="228">
        <v>6.2</v>
      </c>
      <c r="AD205" s="228">
        <v>2.8</v>
      </c>
      <c r="AE205" s="228">
        <v>3.4</v>
      </c>
      <c r="AF205" s="229">
        <v>3.5999999999999999E-3</v>
      </c>
      <c r="AG205" s="228">
        <v>0</v>
      </c>
      <c r="AH205" s="228">
        <v>0</v>
      </c>
      <c r="AI205" s="228">
        <v>0</v>
      </c>
      <c r="AJ205" s="229">
        <v>0</v>
      </c>
      <c r="AK205" s="228">
        <v>0</v>
      </c>
      <c r="AL205" s="228">
        <v>0</v>
      </c>
      <c r="AM205" s="228">
        <v>0</v>
      </c>
      <c r="AN205" s="229">
        <v>0</v>
      </c>
      <c r="AO205" s="231">
        <v>1755.52</v>
      </c>
      <c r="AP205" s="228">
        <v>0</v>
      </c>
      <c r="AQ205" s="228">
        <v>0</v>
      </c>
      <c r="AR205" s="230">
        <v>864500</v>
      </c>
      <c r="AS205" s="230">
        <v>1428000</v>
      </c>
      <c r="AT205" s="230">
        <v>-563500</v>
      </c>
      <c r="AU205" s="229">
        <v>-0.39460000000000001</v>
      </c>
      <c r="AV205" s="230">
        <v>864500</v>
      </c>
      <c r="AW205" s="230">
        <v>1428000</v>
      </c>
      <c r="AX205" s="230">
        <v>-563500</v>
      </c>
      <c r="AY205" s="229">
        <v>-0.39460000000000001</v>
      </c>
      <c r="AZ205" s="228">
        <v>0</v>
      </c>
      <c r="BA205" s="228">
        <v>0</v>
      </c>
      <c r="BB205" s="228">
        <v>0</v>
      </c>
      <c r="BC205" s="229">
        <v>0</v>
      </c>
      <c r="BD205" s="228">
        <v>0</v>
      </c>
      <c r="BE205" s="228">
        <v>0</v>
      </c>
      <c r="BF205" s="228">
        <v>0</v>
      </c>
      <c r="BG205" s="229">
        <v>0</v>
      </c>
      <c r="BH205" s="230">
        <v>3843350</v>
      </c>
      <c r="BI205" s="230">
        <v>9557450</v>
      </c>
      <c r="BJ205" s="230">
        <v>-5714100</v>
      </c>
      <c r="BK205" s="229">
        <v>-0.59789999999999999</v>
      </c>
      <c r="BL205" s="230">
        <v>2024750</v>
      </c>
      <c r="BM205" s="230">
        <v>3105550</v>
      </c>
      <c r="BN205" s="230">
        <v>-1080800</v>
      </c>
      <c r="BO205" s="229">
        <v>-0.34799999999999998</v>
      </c>
      <c r="BP205" s="230">
        <v>6732600</v>
      </c>
      <c r="BQ205" s="230">
        <v>14091000</v>
      </c>
      <c r="BR205" s="230">
        <v>-7358400</v>
      </c>
      <c r="BS205" s="229">
        <v>-0.5222</v>
      </c>
      <c r="BT205" s="230">
        <v>471818</v>
      </c>
      <c r="BU205" s="230">
        <v>688015</v>
      </c>
      <c r="BV205" s="230">
        <v>-216197</v>
      </c>
      <c r="BW205" s="229">
        <v>-0.31419999999999998</v>
      </c>
      <c r="BX205" s="230">
        <v>1944600</v>
      </c>
      <c r="BY205" s="230">
        <v>2030350</v>
      </c>
      <c r="BZ205" s="230">
        <v>-85750</v>
      </c>
      <c r="CA205" s="229">
        <v>-4.2200000000000001E-2</v>
      </c>
      <c r="CB205" s="230">
        <v>1944600</v>
      </c>
      <c r="CC205" s="230">
        <v>2030350</v>
      </c>
      <c r="CD205" s="230">
        <v>-85750</v>
      </c>
      <c r="CE205" s="229">
        <v>-4.2200000000000001E-2</v>
      </c>
      <c r="CF205" s="228">
        <v>0</v>
      </c>
      <c r="CG205" s="228">
        <v>0</v>
      </c>
      <c r="CH205" s="228">
        <v>0</v>
      </c>
      <c r="CI205" s="229">
        <v>0</v>
      </c>
      <c r="CJ205" s="228">
        <v>0</v>
      </c>
      <c r="CK205" s="228">
        <v>0</v>
      </c>
      <c r="CL205" s="228">
        <v>0</v>
      </c>
      <c r="CM205" s="229">
        <v>0</v>
      </c>
      <c r="CN205" s="230">
        <v>3162600</v>
      </c>
      <c r="CO205" s="230">
        <v>3224200</v>
      </c>
      <c r="CP205" s="230">
        <v>-61600</v>
      </c>
      <c r="CQ205" s="229">
        <v>-1.9099999999999999E-2</v>
      </c>
      <c r="CR205" s="230">
        <v>1599500</v>
      </c>
      <c r="CS205" s="230">
        <v>1869000</v>
      </c>
      <c r="CT205" s="230">
        <v>-269500</v>
      </c>
      <c r="CU205" s="229">
        <v>-0.14419999999999999</v>
      </c>
      <c r="CV205" s="230">
        <v>6706700</v>
      </c>
      <c r="CW205" s="230">
        <v>7123550</v>
      </c>
      <c r="CX205" s="230">
        <v>-416850</v>
      </c>
      <c r="CY205" s="229">
        <v>-5.8500000000000003E-2</v>
      </c>
      <c r="CZ205" s="228">
        <v>27.42</v>
      </c>
      <c r="DA205" s="228">
        <v>27.41</v>
      </c>
      <c r="DB205" s="228">
        <v>0.01</v>
      </c>
      <c r="DC205" s="228">
        <v>0.01</v>
      </c>
      <c r="DD205" s="228">
        <v>33.39</v>
      </c>
      <c r="DE205" s="228">
        <v>33.39</v>
      </c>
      <c r="DF205" s="228">
        <v>-5.97</v>
      </c>
      <c r="DG205" s="228">
        <v>0</v>
      </c>
      <c r="DH205" s="228">
        <v>28</v>
      </c>
      <c r="DI205" s="228">
        <v>27.13</v>
      </c>
      <c r="DJ205" s="228">
        <v>0.87</v>
      </c>
      <c r="DK205" s="228">
        <v>0.87</v>
      </c>
      <c r="DL205" s="228">
        <v>26.32</v>
      </c>
      <c r="DM205" s="228">
        <v>28.27</v>
      </c>
      <c r="DN205" s="228">
        <v>-1.95</v>
      </c>
      <c r="DO205" s="228">
        <v>-1.95</v>
      </c>
      <c r="DP205" s="228">
        <v>0.51</v>
      </c>
      <c r="DQ205" s="228">
        <v>0.57999999999999996</v>
      </c>
      <c r="DR205" s="228">
        <v>-7.0000000000000007E-2</v>
      </c>
      <c r="DS205" s="229">
        <v>-0.1207</v>
      </c>
      <c r="DT205" s="231">
        <v>1800</v>
      </c>
      <c r="DU205" s="231">
        <v>1680</v>
      </c>
      <c r="DV205" s="228">
        <v>0.53</v>
      </c>
      <c r="DW205" s="228">
        <v>0.32</v>
      </c>
      <c r="DX205" s="228">
        <v>0.21</v>
      </c>
      <c r="DY205" s="229">
        <v>0.65629999999999999</v>
      </c>
      <c r="DZ205" s="229">
        <v>0</v>
      </c>
      <c r="EA205" s="228">
        <v>0</v>
      </c>
      <c r="EB205" s="229">
        <v>0</v>
      </c>
      <c r="EC205" s="229">
        <v>0</v>
      </c>
      <c r="ED205" s="228">
        <v>0</v>
      </c>
      <c r="EE205" s="229">
        <v>0</v>
      </c>
      <c r="EF205" s="230">
        <v>235495</v>
      </c>
      <c r="EG205" s="230">
        <v>174787</v>
      </c>
      <c r="EH205" s="229">
        <v>0.3473</v>
      </c>
      <c r="EI205" s="229">
        <v>0.49909999999999999</v>
      </c>
      <c r="EJ205" s="231">
        <v>70486.02</v>
      </c>
      <c r="EK205" s="231">
        <v>35322.720000000001</v>
      </c>
      <c r="EL205" s="231">
        <v>15176.43</v>
      </c>
      <c r="EM205" s="228">
        <v>0</v>
      </c>
      <c r="EN205" s="231">
        <v>120985.17</v>
      </c>
      <c r="EO205" s="231">
        <v>256284.72</v>
      </c>
      <c r="EP205" s="231">
        <v>-135299.54999999999</v>
      </c>
      <c r="EQ205" s="229">
        <v>-0.52790000000000004</v>
      </c>
      <c r="ER205" s="231">
        <v>58141</v>
      </c>
      <c r="ES205" s="231">
        <v>27132</v>
      </c>
      <c r="ET205" s="231">
        <v>33892</v>
      </c>
      <c r="EU205" s="231">
        <v>23447901</v>
      </c>
      <c r="EV205" s="231">
        <v>119165</v>
      </c>
      <c r="EW205" s="231">
        <v>127276</v>
      </c>
      <c r="EX205" s="231">
        <v>-8111</v>
      </c>
      <c r="EY205" s="229">
        <v>-6.3700000000000007E-2</v>
      </c>
      <c r="EZ205" s="229">
        <v>0.28599999999999998</v>
      </c>
      <c r="FA205" s="227" t="s">
        <v>568</v>
      </c>
      <c r="FB205" s="161">
        <f t="shared" si="5"/>
        <v>0</v>
      </c>
    </row>
    <row r="206" spans="1:158" ht="17.25" thickBot="1" x14ac:dyDescent="0.3">
      <c r="A206" s="226">
        <v>45860</v>
      </c>
      <c r="B206" s="227" t="s">
        <v>168</v>
      </c>
      <c r="C206" s="227" t="s">
        <v>291</v>
      </c>
      <c r="D206" s="228">
        <v>550</v>
      </c>
      <c r="E206" s="231">
        <v>1085.2</v>
      </c>
      <c r="F206" s="231">
        <v>1091.0999999999999</v>
      </c>
      <c r="G206" s="228">
        <v>-5.9</v>
      </c>
      <c r="H206" s="229">
        <v>-5.4000000000000003E-3</v>
      </c>
      <c r="I206" s="231">
        <v>1084.8</v>
      </c>
      <c r="J206" s="231">
        <v>1090.3</v>
      </c>
      <c r="K206" s="228">
        <v>-5.5</v>
      </c>
      <c r="L206" s="229">
        <v>-5.0000000000000001E-3</v>
      </c>
      <c r="M206" s="231">
        <v>1085.2</v>
      </c>
      <c r="N206" s="231">
        <v>1091.0999999999999</v>
      </c>
      <c r="O206" s="228">
        <v>-5.9</v>
      </c>
      <c r="P206" s="229">
        <v>-5.4000000000000003E-3</v>
      </c>
      <c r="Q206" s="231">
        <v>1091.2</v>
      </c>
      <c r="R206" s="231">
        <v>1096.8</v>
      </c>
      <c r="S206" s="228">
        <v>-5.6</v>
      </c>
      <c r="T206" s="229">
        <v>-5.1000000000000004E-3</v>
      </c>
      <c r="U206" s="228">
        <v>0</v>
      </c>
      <c r="V206" s="228">
        <v>0</v>
      </c>
      <c r="W206" s="228">
        <v>0</v>
      </c>
      <c r="X206" s="229">
        <v>0</v>
      </c>
      <c r="Y206" s="228">
        <v>0.4</v>
      </c>
      <c r="Z206" s="228">
        <v>0.8</v>
      </c>
      <c r="AA206" s="228">
        <v>-0.4</v>
      </c>
      <c r="AB206" s="229">
        <v>4.0000000000000002E-4</v>
      </c>
      <c r="AC206" s="228">
        <v>0.4</v>
      </c>
      <c r="AD206" s="228">
        <v>0.8</v>
      </c>
      <c r="AE206" s="228">
        <v>-0.4</v>
      </c>
      <c r="AF206" s="229">
        <v>4.0000000000000002E-4</v>
      </c>
      <c r="AG206" s="228">
        <v>6.4</v>
      </c>
      <c r="AH206" s="228">
        <v>6.5</v>
      </c>
      <c r="AI206" s="228">
        <v>-0.1</v>
      </c>
      <c r="AJ206" s="229">
        <v>5.8999999999999999E-3</v>
      </c>
      <c r="AK206" s="228">
        <v>0</v>
      </c>
      <c r="AL206" s="228">
        <v>0</v>
      </c>
      <c r="AM206" s="228">
        <v>0</v>
      </c>
      <c r="AN206" s="229">
        <v>0</v>
      </c>
      <c r="AO206" s="231">
        <v>1083.57</v>
      </c>
      <c r="AP206" s="231">
        <v>1089.48</v>
      </c>
      <c r="AQ206" s="228">
        <v>0</v>
      </c>
      <c r="AR206" s="230">
        <v>1620300</v>
      </c>
      <c r="AS206" s="230">
        <v>2207150</v>
      </c>
      <c r="AT206" s="230">
        <v>-586850</v>
      </c>
      <c r="AU206" s="229">
        <v>-0.26590000000000003</v>
      </c>
      <c r="AV206" s="230">
        <v>1357400</v>
      </c>
      <c r="AW206" s="230">
        <v>2057000</v>
      </c>
      <c r="AX206" s="230">
        <v>-699600</v>
      </c>
      <c r="AY206" s="229">
        <v>-0.34010000000000001</v>
      </c>
      <c r="AZ206" s="230">
        <v>257950</v>
      </c>
      <c r="BA206" s="230">
        <v>145750</v>
      </c>
      <c r="BB206" s="230">
        <v>112200</v>
      </c>
      <c r="BC206" s="229">
        <v>0.76980000000000004</v>
      </c>
      <c r="BD206" s="228">
        <v>0</v>
      </c>
      <c r="BE206" s="228">
        <v>0</v>
      </c>
      <c r="BF206" s="228">
        <v>0</v>
      </c>
      <c r="BG206" s="229">
        <v>0</v>
      </c>
      <c r="BH206" s="230">
        <v>2963400</v>
      </c>
      <c r="BI206" s="230">
        <v>4099150</v>
      </c>
      <c r="BJ206" s="230">
        <v>-1135750</v>
      </c>
      <c r="BK206" s="229">
        <v>-0.27710000000000001</v>
      </c>
      <c r="BL206" s="230">
        <v>2108150</v>
      </c>
      <c r="BM206" s="230">
        <v>3455650</v>
      </c>
      <c r="BN206" s="230">
        <v>-1347500</v>
      </c>
      <c r="BO206" s="229">
        <v>-0.38990000000000002</v>
      </c>
      <c r="BP206" s="230">
        <v>6691850</v>
      </c>
      <c r="BQ206" s="230">
        <v>9761950</v>
      </c>
      <c r="BR206" s="230">
        <v>-3070100</v>
      </c>
      <c r="BS206" s="229">
        <v>-0.3145</v>
      </c>
      <c r="BT206" s="230">
        <v>984220</v>
      </c>
      <c r="BU206" s="230">
        <v>839483</v>
      </c>
      <c r="BV206" s="230">
        <v>144737</v>
      </c>
      <c r="BW206" s="229">
        <v>0.1724</v>
      </c>
      <c r="BX206" s="230">
        <v>15420900</v>
      </c>
      <c r="BY206" s="230">
        <v>15385150</v>
      </c>
      <c r="BZ206" s="230">
        <v>35750</v>
      </c>
      <c r="CA206" s="229">
        <v>2.3E-3</v>
      </c>
      <c r="CB206" s="230">
        <v>14523300</v>
      </c>
      <c r="CC206" s="230">
        <v>14672900</v>
      </c>
      <c r="CD206" s="230">
        <v>-149600</v>
      </c>
      <c r="CE206" s="229">
        <v>-1.0200000000000001E-2</v>
      </c>
      <c r="CF206" s="230">
        <v>850850</v>
      </c>
      <c r="CG206" s="230">
        <v>667150</v>
      </c>
      <c r="CH206" s="230">
        <v>183700</v>
      </c>
      <c r="CI206" s="229">
        <v>0.27539999999999998</v>
      </c>
      <c r="CJ206" s="228">
        <v>0</v>
      </c>
      <c r="CK206" s="228">
        <v>0</v>
      </c>
      <c r="CL206" s="228">
        <v>0</v>
      </c>
      <c r="CM206" s="229">
        <v>0</v>
      </c>
      <c r="CN206" s="230">
        <v>5574250</v>
      </c>
      <c r="CO206" s="230">
        <v>5537950</v>
      </c>
      <c r="CP206" s="230">
        <v>36300</v>
      </c>
      <c r="CQ206" s="229">
        <v>6.6E-3</v>
      </c>
      <c r="CR206" s="230">
        <v>3764750</v>
      </c>
      <c r="CS206" s="230">
        <v>3595350</v>
      </c>
      <c r="CT206" s="230">
        <v>169400</v>
      </c>
      <c r="CU206" s="229">
        <v>4.7100000000000003E-2</v>
      </c>
      <c r="CV206" s="230">
        <v>24759900</v>
      </c>
      <c r="CW206" s="230">
        <v>24518450</v>
      </c>
      <c r="CX206" s="230">
        <v>241450</v>
      </c>
      <c r="CY206" s="229">
        <v>9.7999999999999997E-3</v>
      </c>
      <c r="CZ206" s="228">
        <v>30.68</v>
      </c>
      <c r="DA206" s="228">
        <v>28.77</v>
      </c>
      <c r="DB206" s="228">
        <v>1.91</v>
      </c>
      <c r="DC206" s="228">
        <v>1.91</v>
      </c>
      <c r="DD206" s="228">
        <v>28.18</v>
      </c>
      <c r="DE206" s="228">
        <v>28.24</v>
      </c>
      <c r="DF206" s="228">
        <v>2.5</v>
      </c>
      <c r="DG206" s="228">
        <v>-0.06</v>
      </c>
      <c r="DH206" s="228">
        <v>30.92</v>
      </c>
      <c r="DI206" s="228">
        <v>29.05</v>
      </c>
      <c r="DJ206" s="228">
        <v>1.87</v>
      </c>
      <c r="DK206" s="228">
        <v>1.87</v>
      </c>
      <c r="DL206" s="228">
        <v>30.33</v>
      </c>
      <c r="DM206" s="228">
        <v>28.45</v>
      </c>
      <c r="DN206" s="228">
        <v>1.88</v>
      </c>
      <c r="DO206" s="228">
        <v>1.88</v>
      </c>
      <c r="DP206" s="228">
        <v>0.68</v>
      </c>
      <c r="DQ206" s="228">
        <v>0.65</v>
      </c>
      <c r="DR206" s="228">
        <v>0.03</v>
      </c>
      <c r="DS206" s="229">
        <v>4.6199999999999998E-2</v>
      </c>
      <c r="DT206" s="231">
        <v>1230</v>
      </c>
      <c r="DU206" s="228">
        <v>980</v>
      </c>
      <c r="DV206" s="228">
        <v>0.71</v>
      </c>
      <c r="DW206" s="228">
        <v>0.84</v>
      </c>
      <c r="DX206" s="228">
        <v>-0.13</v>
      </c>
      <c r="DY206" s="229">
        <v>-0.15479999999999999</v>
      </c>
      <c r="DZ206" s="229">
        <v>5.5199999999999999E-2</v>
      </c>
      <c r="EA206" s="230">
        <v>667150</v>
      </c>
      <c r="EB206" s="229">
        <v>5.4999999999999997E-3</v>
      </c>
      <c r="EC206" s="229">
        <v>5.5199999999999999E-2</v>
      </c>
      <c r="ED206" s="228">
        <v>5.91</v>
      </c>
      <c r="EE206" s="229">
        <v>5.4999999999999997E-3</v>
      </c>
      <c r="EF206" s="230">
        <v>661307</v>
      </c>
      <c r="EG206" s="230">
        <v>524736</v>
      </c>
      <c r="EH206" s="229">
        <v>0.26029999999999998</v>
      </c>
      <c r="EI206" s="229">
        <v>0.67190000000000005</v>
      </c>
      <c r="EJ206" s="231">
        <v>33583.82</v>
      </c>
      <c r="EK206" s="231">
        <v>22591.07</v>
      </c>
      <c r="EL206" s="231">
        <v>17572.88</v>
      </c>
      <c r="EM206" s="228">
        <v>0</v>
      </c>
      <c r="EN206" s="231">
        <v>73747.77</v>
      </c>
      <c r="EO206" s="231">
        <v>107851.63</v>
      </c>
      <c r="EP206" s="231">
        <v>-34103.86</v>
      </c>
      <c r="EQ206" s="229">
        <v>-0.31619999999999998</v>
      </c>
      <c r="ER206" s="231">
        <v>64720</v>
      </c>
      <c r="ES206" s="231">
        <v>39148</v>
      </c>
      <c r="ET206" s="231">
        <v>167404</v>
      </c>
      <c r="EU206" s="231">
        <v>130936945</v>
      </c>
      <c r="EV206" s="231">
        <v>271272</v>
      </c>
      <c r="EW206" s="231">
        <v>269651</v>
      </c>
      <c r="EX206" s="231">
        <v>1621</v>
      </c>
      <c r="EY206" s="229">
        <v>6.0000000000000001E-3</v>
      </c>
      <c r="EZ206" s="229">
        <v>0.18909999999999999</v>
      </c>
      <c r="FA206" s="227" t="s">
        <v>567</v>
      </c>
      <c r="FB206" s="161">
        <f t="shared" si="5"/>
        <v>0</v>
      </c>
    </row>
    <row r="207" spans="1:158" ht="17.25" thickBot="1" x14ac:dyDescent="0.3">
      <c r="A207" s="226">
        <v>45860</v>
      </c>
      <c r="B207" s="227" t="s">
        <v>221</v>
      </c>
      <c r="C207" s="227" t="s">
        <v>605</v>
      </c>
      <c r="D207" s="228">
        <v>100</v>
      </c>
      <c r="E207" s="231">
        <v>6209.5</v>
      </c>
      <c r="F207" s="231">
        <v>6207.5</v>
      </c>
      <c r="G207" s="228">
        <v>2</v>
      </c>
      <c r="H207" s="229">
        <v>2.9999999999999997E-4</v>
      </c>
      <c r="I207" s="231">
        <v>6210</v>
      </c>
      <c r="J207" s="231">
        <v>6198.5</v>
      </c>
      <c r="K207" s="228">
        <v>11.5</v>
      </c>
      <c r="L207" s="229">
        <v>1.9E-3</v>
      </c>
      <c r="M207" s="231">
        <v>6209.5</v>
      </c>
      <c r="N207" s="231">
        <v>6207.5</v>
      </c>
      <c r="O207" s="228">
        <v>2</v>
      </c>
      <c r="P207" s="229">
        <v>2.9999999999999997E-4</v>
      </c>
      <c r="Q207" s="231">
        <v>6189.5</v>
      </c>
      <c r="R207" s="231">
        <v>6175</v>
      </c>
      <c r="S207" s="228">
        <v>14.5</v>
      </c>
      <c r="T207" s="229">
        <v>2.3E-3</v>
      </c>
      <c r="U207" s="228">
        <v>0</v>
      </c>
      <c r="V207" s="228">
        <v>0</v>
      </c>
      <c r="W207" s="228">
        <v>0</v>
      </c>
      <c r="X207" s="229">
        <v>0</v>
      </c>
      <c r="Y207" s="228">
        <v>-0.5</v>
      </c>
      <c r="Z207" s="228">
        <v>9</v>
      </c>
      <c r="AA207" s="228">
        <v>-9.5</v>
      </c>
      <c r="AB207" s="229">
        <v>-1E-4</v>
      </c>
      <c r="AC207" s="228">
        <v>-0.5</v>
      </c>
      <c r="AD207" s="228">
        <v>9</v>
      </c>
      <c r="AE207" s="228">
        <v>-9.5</v>
      </c>
      <c r="AF207" s="229">
        <v>-1E-4</v>
      </c>
      <c r="AG207" s="228">
        <v>-20.5</v>
      </c>
      <c r="AH207" s="228">
        <v>-23.5</v>
      </c>
      <c r="AI207" s="228">
        <v>3</v>
      </c>
      <c r="AJ207" s="229">
        <v>-3.3E-3</v>
      </c>
      <c r="AK207" s="228">
        <v>0</v>
      </c>
      <c r="AL207" s="228">
        <v>0</v>
      </c>
      <c r="AM207" s="228">
        <v>0</v>
      </c>
      <c r="AN207" s="229">
        <v>0</v>
      </c>
      <c r="AO207" s="231">
        <v>6208.56</v>
      </c>
      <c r="AP207" s="231">
        <v>6184.49</v>
      </c>
      <c r="AQ207" s="228">
        <v>0</v>
      </c>
      <c r="AR207" s="230">
        <v>207900</v>
      </c>
      <c r="AS207" s="230">
        <v>202400</v>
      </c>
      <c r="AT207" s="230">
        <v>5500</v>
      </c>
      <c r="AU207" s="229">
        <v>2.7199999999999998E-2</v>
      </c>
      <c r="AV207" s="230">
        <v>146200</v>
      </c>
      <c r="AW207" s="230">
        <v>159500</v>
      </c>
      <c r="AX207" s="230">
        <v>-13300</v>
      </c>
      <c r="AY207" s="229">
        <v>-8.3400000000000002E-2</v>
      </c>
      <c r="AZ207" s="230">
        <v>61700</v>
      </c>
      <c r="BA207" s="230">
        <v>42000</v>
      </c>
      <c r="BB207" s="230">
        <v>19700</v>
      </c>
      <c r="BC207" s="229">
        <v>0.46899999999999997</v>
      </c>
      <c r="BD207" s="228">
        <v>0</v>
      </c>
      <c r="BE207" s="228">
        <v>0</v>
      </c>
      <c r="BF207" s="228">
        <v>0</v>
      </c>
      <c r="BG207" s="229">
        <v>0</v>
      </c>
      <c r="BH207" s="230">
        <v>454200</v>
      </c>
      <c r="BI207" s="230">
        <v>780500</v>
      </c>
      <c r="BJ207" s="230">
        <v>-326300</v>
      </c>
      <c r="BK207" s="229">
        <v>-0.41810000000000003</v>
      </c>
      <c r="BL207" s="230">
        <v>297000</v>
      </c>
      <c r="BM207" s="230">
        <v>395700</v>
      </c>
      <c r="BN207" s="230">
        <v>-98700</v>
      </c>
      <c r="BO207" s="229">
        <v>-0.24940000000000001</v>
      </c>
      <c r="BP207" s="230">
        <v>959100</v>
      </c>
      <c r="BQ207" s="230">
        <v>1378600</v>
      </c>
      <c r="BR207" s="230">
        <v>-419500</v>
      </c>
      <c r="BS207" s="229">
        <v>-0.30430000000000001</v>
      </c>
      <c r="BT207" s="230">
        <v>135022</v>
      </c>
      <c r="BU207" s="230">
        <v>101138</v>
      </c>
      <c r="BV207" s="230">
        <v>33884</v>
      </c>
      <c r="BW207" s="229">
        <v>0.33500000000000002</v>
      </c>
      <c r="BX207" s="230">
        <v>2349100</v>
      </c>
      <c r="BY207" s="230">
        <v>2333100</v>
      </c>
      <c r="BZ207" s="230">
        <v>16000</v>
      </c>
      <c r="CA207" s="229">
        <v>6.8999999999999999E-3</v>
      </c>
      <c r="CB207" s="230">
        <v>1741600</v>
      </c>
      <c r="CC207" s="230">
        <v>1758200</v>
      </c>
      <c r="CD207" s="230">
        <v>-16600</v>
      </c>
      <c r="CE207" s="229">
        <v>-9.4000000000000004E-3</v>
      </c>
      <c r="CF207" s="230">
        <v>595200</v>
      </c>
      <c r="CG207" s="230">
        <v>562600</v>
      </c>
      <c r="CH207" s="230">
        <v>32600</v>
      </c>
      <c r="CI207" s="229">
        <v>5.79E-2</v>
      </c>
      <c r="CJ207" s="228">
        <v>0</v>
      </c>
      <c r="CK207" s="228">
        <v>0</v>
      </c>
      <c r="CL207" s="228">
        <v>0</v>
      </c>
      <c r="CM207" s="229">
        <v>0</v>
      </c>
      <c r="CN207" s="230">
        <v>822200</v>
      </c>
      <c r="CO207" s="230">
        <v>891100</v>
      </c>
      <c r="CP207" s="230">
        <v>-68900</v>
      </c>
      <c r="CQ207" s="229">
        <v>-7.7299999999999994E-2</v>
      </c>
      <c r="CR207" s="230">
        <v>725600</v>
      </c>
      <c r="CS207" s="230">
        <v>796500</v>
      </c>
      <c r="CT207" s="230">
        <v>-70900</v>
      </c>
      <c r="CU207" s="229">
        <v>-8.8999999999999996E-2</v>
      </c>
      <c r="CV207" s="230">
        <v>3896900</v>
      </c>
      <c r="CW207" s="230">
        <v>4020700</v>
      </c>
      <c r="CX207" s="230">
        <v>-123800</v>
      </c>
      <c r="CY207" s="229">
        <v>-3.0800000000000001E-2</v>
      </c>
      <c r="CZ207" s="228">
        <v>30</v>
      </c>
      <c r="DA207" s="228">
        <v>31.37</v>
      </c>
      <c r="DB207" s="228">
        <v>-1.37</v>
      </c>
      <c r="DC207" s="228">
        <v>-1.37</v>
      </c>
      <c r="DD207" s="228">
        <v>38.74</v>
      </c>
      <c r="DE207" s="228">
        <v>38.840000000000003</v>
      </c>
      <c r="DF207" s="228">
        <v>-8.74</v>
      </c>
      <c r="DG207" s="228">
        <v>-0.1</v>
      </c>
      <c r="DH207" s="228">
        <v>29.1</v>
      </c>
      <c r="DI207" s="228">
        <v>29.83</v>
      </c>
      <c r="DJ207" s="228">
        <v>-0.73</v>
      </c>
      <c r="DK207" s="228">
        <v>-0.73</v>
      </c>
      <c r="DL207" s="228">
        <v>31.37</v>
      </c>
      <c r="DM207" s="228">
        <v>34.4</v>
      </c>
      <c r="DN207" s="228">
        <v>-3.03</v>
      </c>
      <c r="DO207" s="228">
        <v>-3.03</v>
      </c>
      <c r="DP207" s="228">
        <v>0.88</v>
      </c>
      <c r="DQ207" s="228">
        <v>0.89</v>
      </c>
      <c r="DR207" s="228">
        <v>-0.01</v>
      </c>
      <c r="DS207" s="229">
        <v>-1.12E-2</v>
      </c>
      <c r="DT207" s="231">
        <v>6500</v>
      </c>
      <c r="DU207" s="231">
        <v>6000</v>
      </c>
      <c r="DV207" s="228">
        <v>0.65</v>
      </c>
      <c r="DW207" s="228">
        <v>0.51</v>
      </c>
      <c r="DX207" s="228">
        <v>0.14000000000000001</v>
      </c>
      <c r="DY207" s="229">
        <v>0.27450000000000002</v>
      </c>
      <c r="DZ207" s="229">
        <v>0.25340000000000001</v>
      </c>
      <c r="EA207" s="230">
        <v>562600</v>
      </c>
      <c r="EB207" s="229">
        <v>-3.2000000000000002E-3</v>
      </c>
      <c r="EC207" s="229">
        <v>0.25340000000000001</v>
      </c>
      <c r="ED207" s="228">
        <v>-24.07</v>
      </c>
      <c r="EE207" s="229">
        <v>-3.8999999999999998E-3</v>
      </c>
      <c r="EF207" s="230">
        <v>71645</v>
      </c>
      <c r="EG207" s="230">
        <v>31358</v>
      </c>
      <c r="EH207" s="229">
        <v>1.2847</v>
      </c>
      <c r="EI207" s="229">
        <v>0.53059999999999996</v>
      </c>
      <c r="EJ207" s="231">
        <v>29752.17</v>
      </c>
      <c r="EK207" s="231">
        <v>17457.560000000001</v>
      </c>
      <c r="EL207" s="231">
        <v>12892.74</v>
      </c>
      <c r="EM207" s="228">
        <v>0</v>
      </c>
      <c r="EN207" s="231">
        <v>60102.47</v>
      </c>
      <c r="EO207" s="231">
        <v>86597.82</v>
      </c>
      <c r="EP207" s="231">
        <v>-26495.35</v>
      </c>
      <c r="EQ207" s="229">
        <v>-0.30599999999999999</v>
      </c>
      <c r="ER207" s="231">
        <v>53169</v>
      </c>
      <c r="ES207" s="231">
        <v>42690</v>
      </c>
      <c r="ET207" s="231">
        <v>145740</v>
      </c>
      <c r="EU207" s="231">
        <v>6987041</v>
      </c>
      <c r="EV207" s="231">
        <v>241600</v>
      </c>
      <c r="EW207" s="231">
        <v>249000</v>
      </c>
      <c r="EX207" s="231">
        <v>-7400</v>
      </c>
      <c r="EY207" s="229">
        <v>-2.9700000000000001E-2</v>
      </c>
      <c r="EZ207" s="229">
        <v>0.55769999999999997</v>
      </c>
      <c r="FA207" s="227" t="s">
        <v>555</v>
      </c>
      <c r="FB207" s="161">
        <f t="shared" si="5"/>
        <v>0</v>
      </c>
    </row>
    <row r="208" spans="1:158" ht="17.25" thickBot="1" x14ac:dyDescent="0.3">
      <c r="A208" s="226">
        <v>45860</v>
      </c>
      <c r="B208" s="227" t="s">
        <v>162</v>
      </c>
      <c r="C208" s="227" t="s">
        <v>292</v>
      </c>
      <c r="D208" s="228">
        <v>800</v>
      </c>
      <c r="E208" s="228">
        <v>674.75</v>
      </c>
      <c r="F208" s="228">
        <v>688.4</v>
      </c>
      <c r="G208" s="228">
        <v>-13.65</v>
      </c>
      <c r="H208" s="229">
        <v>-1.9800000000000002E-2</v>
      </c>
      <c r="I208" s="228">
        <v>673.4</v>
      </c>
      <c r="J208" s="228">
        <v>687.45</v>
      </c>
      <c r="K208" s="228">
        <v>-14.05</v>
      </c>
      <c r="L208" s="229">
        <v>-2.0400000000000001E-2</v>
      </c>
      <c r="M208" s="228">
        <v>674.75</v>
      </c>
      <c r="N208" s="228">
        <v>688.4</v>
      </c>
      <c r="O208" s="228">
        <v>-13.65</v>
      </c>
      <c r="P208" s="229">
        <v>-1.9800000000000002E-2</v>
      </c>
      <c r="Q208" s="228">
        <v>678.05</v>
      </c>
      <c r="R208" s="228">
        <v>691.9</v>
      </c>
      <c r="S208" s="228">
        <v>-13.85</v>
      </c>
      <c r="T208" s="229">
        <v>-0.02</v>
      </c>
      <c r="U208" s="228">
        <v>0</v>
      </c>
      <c r="V208" s="228">
        <v>0</v>
      </c>
      <c r="W208" s="228">
        <v>0</v>
      </c>
      <c r="X208" s="229">
        <v>0</v>
      </c>
      <c r="Y208" s="228">
        <v>1.35</v>
      </c>
      <c r="Z208" s="228">
        <v>0.95</v>
      </c>
      <c r="AA208" s="228">
        <v>0.4</v>
      </c>
      <c r="AB208" s="229">
        <v>2E-3</v>
      </c>
      <c r="AC208" s="228">
        <v>1.35</v>
      </c>
      <c r="AD208" s="228">
        <v>0.95</v>
      </c>
      <c r="AE208" s="228">
        <v>0.4</v>
      </c>
      <c r="AF208" s="229">
        <v>2E-3</v>
      </c>
      <c r="AG208" s="228">
        <v>4.6500000000000004</v>
      </c>
      <c r="AH208" s="228">
        <v>4.45</v>
      </c>
      <c r="AI208" s="228">
        <v>0.2</v>
      </c>
      <c r="AJ208" s="229">
        <v>6.8999999999999999E-3</v>
      </c>
      <c r="AK208" s="228">
        <v>0</v>
      </c>
      <c r="AL208" s="228">
        <v>0</v>
      </c>
      <c r="AM208" s="228">
        <v>0</v>
      </c>
      <c r="AN208" s="229">
        <v>0</v>
      </c>
      <c r="AO208" s="228">
        <v>678.42</v>
      </c>
      <c r="AP208" s="228">
        <v>681.91</v>
      </c>
      <c r="AQ208" s="228">
        <v>0</v>
      </c>
      <c r="AR208" s="230">
        <v>13064800</v>
      </c>
      <c r="AS208" s="230">
        <v>13420000</v>
      </c>
      <c r="AT208" s="230">
        <v>-355200</v>
      </c>
      <c r="AU208" s="229">
        <v>-2.6499999999999999E-2</v>
      </c>
      <c r="AV208" s="230">
        <v>9727200</v>
      </c>
      <c r="AW208" s="230">
        <v>11250400</v>
      </c>
      <c r="AX208" s="230">
        <v>-1523200</v>
      </c>
      <c r="AY208" s="229">
        <v>-0.13539999999999999</v>
      </c>
      <c r="AZ208" s="230">
        <v>2985600</v>
      </c>
      <c r="BA208" s="230">
        <v>1855200</v>
      </c>
      <c r="BB208" s="230">
        <v>1130400</v>
      </c>
      <c r="BC208" s="229">
        <v>0.60929999999999995</v>
      </c>
      <c r="BD208" s="228">
        <v>0</v>
      </c>
      <c r="BE208" s="228">
        <v>0</v>
      </c>
      <c r="BF208" s="228">
        <v>0</v>
      </c>
      <c r="BG208" s="229">
        <v>0</v>
      </c>
      <c r="BH208" s="230">
        <v>48150400</v>
      </c>
      <c r="BI208" s="230">
        <v>69850400</v>
      </c>
      <c r="BJ208" s="230">
        <v>-21700000</v>
      </c>
      <c r="BK208" s="229">
        <v>-0.31069999999999998</v>
      </c>
      <c r="BL208" s="230">
        <v>25701600</v>
      </c>
      <c r="BM208" s="230">
        <v>39112000</v>
      </c>
      <c r="BN208" s="230">
        <v>-13410400</v>
      </c>
      <c r="BO208" s="229">
        <v>-0.34289999999999998</v>
      </c>
      <c r="BP208" s="230">
        <v>86916800</v>
      </c>
      <c r="BQ208" s="230">
        <v>122382400</v>
      </c>
      <c r="BR208" s="230">
        <v>-35465600</v>
      </c>
      <c r="BS208" s="229">
        <v>-0.2898</v>
      </c>
      <c r="BT208" s="230">
        <v>8138472</v>
      </c>
      <c r="BU208" s="230">
        <v>7084041</v>
      </c>
      <c r="BV208" s="230">
        <v>1054431</v>
      </c>
      <c r="BW208" s="229">
        <v>0.14879999999999999</v>
      </c>
      <c r="BX208" s="230">
        <v>80456800</v>
      </c>
      <c r="BY208" s="230">
        <v>78652800</v>
      </c>
      <c r="BZ208" s="230">
        <v>1804000</v>
      </c>
      <c r="CA208" s="229">
        <v>2.29E-2</v>
      </c>
      <c r="CB208" s="230">
        <v>67232800</v>
      </c>
      <c r="CC208" s="230">
        <v>67736800</v>
      </c>
      <c r="CD208" s="230">
        <v>-504000</v>
      </c>
      <c r="CE208" s="229">
        <v>-7.4000000000000003E-3</v>
      </c>
      <c r="CF208" s="230">
        <v>11396800</v>
      </c>
      <c r="CG208" s="230">
        <v>9261600</v>
      </c>
      <c r="CH208" s="230">
        <v>2135200</v>
      </c>
      <c r="CI208" s="229">
        <v>0.23050000000000001</v>
      </c>
      <c r="CJ208" s="228">
        <v>0</v>
      </c>
      <c r="CK208" s="228">
        <v>0</v>
      </c>
      <c r="CL208" s="228">
        <v>0</v>
      </c>
      <c r="CM208" s="229">
        <v>0</v>
      </c>
      <c r="CN208" s="230">
        <v>48833600</v>
      </c>
      <c r="CO208" s="230">
        <v>46570400</v>
      </c>
      <c r="CP208" s="230">
        <v>2263200</v>
      </c>
      <c r="CQ208" s="229">
        <v>4.8599999999999997E-2</v>
      </c>
      <c r="CR208" s="230">
        <v>29804000</v>
      </c>
      <c r="CS208" s="230">
        <v>29654400</v>
      </c>
      <c r="CT208" s="230">
        <v>149600</v>
      </c>
      <c r="CU208" s="229">
        <v>5.0000000000000001E-3</v>
      </c>
      <c r="CV208" s="230">
        <v>159094400</v>
      </c>
      <c r="CW208" s="230">
        <v>154877600</v>
      </c>
      <c r="CX208" s="230">
        <v>4216800</v>
      </c>
      <c r="CY208" s="229">
        <v>2.7199999999999998E-2</v>
      </c>
      <c r="CZ208" s="228">
        <v>27.76</v>
      </c>
      <c r="DA208" s="228">
        <v>27.43</v>
      </c>
      <c r="DB208" s="228">
        <v>0.33</v>
      </c>
      <c r="DC208" s="228">
        <v>0.33</v>
      </c>
      <c r="DD208" s="228">
        <v>36.369999999999997</v>
      </c>
      <c r="DE208" s="228">
        <v>36.36</v>
      </c>
      <c r="DF208" s="228">
        <v>-8.61</v>
      </c>
      <c r="DG208" s="228">
        <v>0.01</v>
      </c>
      <c r="DH208" s="228">
        <v>28.37</v>
      </c>
      <c r="DI208" s="228">
        <v>27.33</v>
      </c>
      <c r="DJ208" s="228">
        <v>1.04</v>
      </c>
      <c r="DK208" s="228">
        <v>1.04</v>
      </c>
      <c r="DL208" s="228">
        <v>26.63</v>
      </c>
      <c r="DM208" s="228">
        <v>27.61</v>
      </c>
      <c r="DN208" s="228">
        <v>-0.98</v>
      </c>
      <c r="DO208" s="228">
        <v>-0.98</v>
      </c>
      <c r="DP208" s="228">
        <v>0.61</v>
      </c>
      <c r="DQ208" s="228">
        <v>0.64</v>
      </c>
      <c r="DR208" s="228">
        <v>-0.03</v>
      </c>
      <c r="DS208" s="229">
        <v>-4.6899999999999997E-2</v>
      </c>
      <c r="DT208" s="228">
        <v>700</v>
      </c>
      <c r="DU208" s="228">
        <v>680</v>
      </c>
      <c r="DV208" s="228">
        <v>0.53</v>
      </c>
      <c r="DW208" s="228">
        <v>0.56000000000000005</v>
      </c>
      <c r="DX208" s="228">
        <v>-0.03</v>
      </c>
      <c r="DY208" s="229">
        <v>-5.3600000000000002E-2</v>
      </c>
      <c r="DZ208" s="229">
        <v>0.14169999999999999</v>
      </c>
      <c r="EA208" s="230">
        <v>9261600</v>
      </c>
      <c r="EB208" s="229">
        <v>4.8999999999999998E-3</v>
      </c>
      <c r="EC208" s="229">
        <v>0.14169999999999999</v>
      </c>
      <c r="ED208" s="228">
        <v>3.49</v>
      </c>
      <c r="EE208" s="229">
        <v>5.1000000000000004E-3</v>
      </c>
      <c r="EF208" s="230">
        <v>4164635</v>
      </c>
      <c r="EG208" s="230">
        <v>2242117</v>
      </c>
      <c r="EH208" s="229">
        <v>0.85750000000000004</v>
      </c>
      <c r="EI208" s="229">
        <v>0.51170000000000004</v>
      </c>
      <c r="EJ208" s="231">
        <v>343125.98</v>
      </c>
      <c r="EK208" s="231">
        <v>174366.02</v>
      </c>
      <c r="EL208" s="231">
        <v>88760.53</v>
      </c>
      <c r="EM208" s="228">
        <v>0</v>
      </c>
      <c r="EN208" s="231">
        <v>606252.53</v>
      </c>
      <c r="EO208" s="231">
        <v>857849.62</v>
      </c>
      <c r="EP208" s="231">
        <v>-251597.09</v>
      </c>
      <c r="EQ208" s="229">
        <v>-0.29330000000000001</v>
      </c>
      <c r="ER208" s="231">
        <v>352414</v>
      </c>
      <c r="ES208" s="231">
        <v>202781</v>
      </c>
      <c r="ET208" s="231">
        <v>543388</v>
      </c>
      <c r="EU208" s="231">
        <v>422796029</v>
      </c>
      <c r="EV208" s="231">
        <v>1098584</v>
      </c>
      <c r="EW208" s="231">
        <v>1081709</v>
      </c>
      <c r="EX208" s="231">
        <v>16875</v>
      </c>
      <c r="EY208" s="229">
        <v>1.5599999999999999E-2</v>
      </c>
      <c r="EZ208" s="229">
        <v>0.37630000000000002</v>
      </c>
      <c r="FA208" s="227" t="s">
        <v>567</v>
      </c>
      <c r="FB208" s="161">
        <f t="shared" si="5"/>
        <v>0</v>
      </c>
    </row>
    <row r="209" spans="1:158" ht="17.25" thickBot="1" x14ac:dyDescent="0.3">
      <c r="A209" s="226">
        <v>45860</v>
      </c>
      <c r="B209" s="227" t="s">
        <v>161</v>
      </c>
      <c r="C209" s="227" t="s">
        <v>293</v>
      </c>
      <c r="D209" s="228">
        <v>1450</v>
      </c>
      <c r="E209" s="228">
        <v>399.4</v>
      </c>
      <c r="F209" s="228">
        <v>402.3</v>
      </c>
      <c r="G209" s="228">
        <v>-2.9</v>
      </c>
      <c r="H209" s="229">
        <v>-7.1999999999999998E-3</v>
      </c>
      <c r="I209" s="228">
        <v>399.15</v>
      </c>
      <c r="J209" s="228">
        <v>401.85</v>
      </c>
      <c r="K209" s="228">
        <v>-2.7</v>
      </c>
      <c r="L209" s="229">
        <v>-6.7000000000000002E-3</v>
      </c>
      <c r="M209" s="228">
        <v>399.4</v>
      </c>
      <c r="N209" s="228">
        <v>402.3</v>
      </c>
      <c r="O209" s="228">
        <v>-2.9</v>
      </c>
      <c r="P209" s="229">
        <v>-7.1999999999999998E-3</v>
      </c>
      <c r="Q209" s="228">
        <v>401.55</v>
      </c>
      <c r="R209" s="228">
        <v>404.4</v>
      </c>
      <c r="S209" s="228">
        <v>-2.85</v>
      </c>
      <c r="T209" s="229">
        <v>-7.0000000000000001E-3</v>
      </c>
      <c r="U209" s="228">
        <v>0</v>
      </c>
      <c r="V209" s="228">
        <v>0</v>
      </c>
      <c r="W209" s="228">
        <v>0</v>
      </c>
      <c r="X209" s="229">
        <v>0</v>
      </c>
      <c r="Y209" s="228">
        <v>0.25</v>
      </c>
      <c r="Z209" s="228">
        <v>0.45</v>
      </c>
      <c r="AA209" s="228">
        <v>-0.2</v>
      </c>
      <c r="AB209" s="229">
        <v>5.9999999999999995E-4</v>
      </c>
      <c r="AC209" s="228">
        <v>0.25</v>
      </c>
      <c r="AD209" s="228">
        <v>0.45</v>
      </c>
      <c r="AE209" s="228">
        <v>-0.2</v>
      </c>
      <c r="AF209" s="229">
        <v>5.9999999999999995E-4</v>
      </c>
      <c r="AG209" s="228">
        <v>2.4</v>
      </c>
      <c r="AH209" s="228">
        <v>2.5499999999999998</v>
      </c>
      <c r="AI209" s="228">
        <v>-0.15</v>
      </c>
      <c r="AJ209" s="229">
        <v>6.0000000000000001E-3</v>
      </c>
      <c r="AK209" s="228">
        <v>0</v>
      </c>
      <c r="AL209" s="228">
        <v>0</v>
      </c>
      <c r="AM209" s="228">
        <v>0</v>
      </c>
      <c r="AN209" s="229">
        <v>0</v>
      </c>
      <c r="AO209" s="228">
        <v>400.66</v>
      </c>
      <c r="AP209" s="228">
        <v>402.92</v>
      </c>
      <c r="AQ209" s="228">
        <v>0</v>
      </c>
      <c r="AR209" s="230">
        <v>8849350</v>
      </c>
      <c r="AS209" s="230">
        <v>17440600</v>
      </c>
      <c r="AT209" s="230">
        <v>-8591250</v>
      </c>
      <c r="AU209" s="229">
        <v>-0.49259999999999998</v>
      </c>
      <c r="AV209" s="230">
        <v>6762800</v>
      </c>
      <c r="AW209" s="230">
        <v>13860550</v>
      </c>
      <c r="AX209" s="230">
        <v>-7097750</v>
      </c>
      <c r="AY209" s="229">
        <v>-0.5121</v>
      </c>
      <c r="AZ209" s="230">
        <v>1976350</v>
      </c>
      <c r="BA209" s="230">
        <v>3308900</v>
      </c>
      <c r="BB209" s="230">
        <v>-1332550</v>
      </c>
      <c r="BC209" s="229">
        <v>-0.4027</v>
      </c>
      <c r="BD209" s="228">
        <v>0</v>
      </c>
      <c r="BE209" s="228">
        <v>0</v>
      </c>
      <c r="BF209" s="228">
        <v>0</v>
      </c>
      <c r="BG209" s="229">
        <v>0</v>
      </c>
      <c r="BH209" s="230">
        <v>28933300</v>
      </c>
      <c r="BI209" s="230">
        <v>53101900</v>
      </c>
      <c r="BJ209" s="230">
        <v>-24168600</v>
      </c>
      <c r="BK209" s="229">
        <v>-0.4551</v>
      </c>
      <c r="BL209" s="230">
        <v>13805450</v>
      </c>
      <c r="BM209" s="230">
        <v>32221900</v>
      </c>
      <c r="BN209" s="230">
        <v>-18416450</v>
      </c>
      <c r="BO209" s="229">
        <v>-0.5716</v>
      </c>
      <c r="BP209" s="230">
        <v>51588100</v>
      </c>
      <c r="BQ209" s="230">
        <v>102764400</v>
      </c>
      <c r="BR209" s="230">
        <v>-51176300</v>
      </c>
      <c r="BS209" s="229">
        <v>-0.498</v>
      </c>
      <c r="BT209" s="230">
        <v>4343029</v>
      </c>
      <c r="BU209" s="230">
        <v>7650178</v>
      </c>
      <c r="BV209" s="230">
        <v>-3307149</v>
      </c>
      <c r="BW209" s="229">
        <v>-0.43230000000000002</v>
      </c>
      <c r="BX209" s="230">
        <v>67596100</v>
      </c>
      <c r="BY209" s="230">
        <v>66575300</v>
      </c>
      <c r="BZ209" s="230">
        <v>1020800</v>
      </c>
      <c r="CA209" s="229">
        <v>1.5299999999999999E-2</v>
      </c>
      <c r="CB209" s="230">
        <v>60215600</v>
      </c>
      <c r="CC209" s="230">
        <v>60541850</v>
      </c>
      <c r="CD209" s="230">
        <v>-326250</v>
      </c>
      <c r="CE209" s="229">
        <v>-5.4000000000000003E-3</v>
      </c>
      <c r="CF209" s="230">
        <v>6433650</v>
      </c>
      <c r="CG209" s="230">
        <v>5137350</v>
      </c>
      <c r="CH209" s="230">
        <v>1296300</v>
      </c>
      <c r="CI209" s="229">
        <v>0.25230000000000002</v>
      </c>
      <c r="CJ209" s="228">
        <v>0</v>
      </c>
      <c r="CK209" s="228">
        <v>0</v>
      </c>
      <c r="CL209" s="228">
        <v>0</v>
      </c>
      <c r="CM209" s="229">
        <v>0</v>
      </c>
      <c r="CN209" s="230">
        <v>34739100</v>
      </c>
      <c r="CO209" s="230">
        <v>34093850</v>
      </c>
      <c r="CP209" s="230">
        <v>645250</v>
      </c>
      <c r="CQ209" s="229">
        <v>1.89E-2</v>
      </c>
      <c r="CR209" s="230">
        <v>23130400</v>
      </c>
      <c r="CS209" s="230">
        <v>23302950</v>
      </c>
      <c r="CT209" s="230">
        <v>-172550</v>
      </c>
      <c r="CU209" s="229">
        <v>-7.4000000000000003E-3</v>
      </c>
      <c r="CV209" s="230">
        <v>125465600</v>
      </c>
      <c r="CW209" s="230">
        <v>123972100</v>
      </c>
      <c r="CX209" s="230">
        <v>1493500</v>
      </c>
      <c r="CY209" s="229">
        <v>1.2E-2</v>
      </c>
      <c r="CZ209" s="228">
        <v>25.31</v>
      </c>
      <c r="DA209" s="228">
        <v>24.96</v>
      </c>
      <c r="DB209" s="228">
        <v>0.35</v>
      </c>
      <c r="DC209" s="228">
        <v>0.35</v>
      </c>
      <c r="DD209" s="228">
        <v>36.89</v>
      </c>
      <c r="DE209" s="228">
        <v>36.97</v>
      </c>
      <c r="DF209" s="228">
        <v>-11.58</v>
      </c>
      <c r="DG209" s="228">
        <v>-0.08</v>
      </c>
      <c r="DH209" s="228">
        <v>25.93</v>
      </c>
      <c r="DI209" s="228">
        <v>25.32</v>
      </c>
      <c r="DJ209" s="228">
        <v>0.61</v>
      </c>
      <c r="DK209" s="228">
        <v>0.61</v>
      </c>
      <c r="DL209" s="228">
        <v>23.99</v>
      </c>
      <c r="DM209" s="228">
        <v>24.35</v>
      </c>
      <c r="DN209" s="228">
        <v>-0.36</v>
      </c>
      <c r="DO209" s="228">
        <v>-0.36</v>
      </c>
      <c r="DP209" s="228">
        <v>0.67</v>
      </c>
      <c r="DQ209" s="228">
        <v>0.68</v>
      </c>
      <c r="DR209" s="228">
        <v>-0.01</v>
      </c>
      <c r="DS209" s="229">
        <v>-1.47E-2</v>
      </c>
      <c r="DT209" s="228">
        <v>450</v>
      </c>
      <c r="DU209" s="228">
        <v>400</v>
      </c>
      <c r="DV209" s="228">
        <v>0.48</v>
      </c>
      <c r="DW209" s="228">
        <v>0.61</v>
      </c>
      <c r="DX209" s="228">
        <v>-0.13</v>
      </c>
      <c r="DY209" s="229">
        <v>-0.21310000000000001</v>
      </c>
      <c r="DZ209" s="229">
        <v>9.5200000000000007E-2</v>
      </c>
      <c r="EA209" s="230">
        <v>5137350</v>
      </c>
      <c r="EB209" s="229">
        <v>5.4000000000000003E-3</v>
      </c>
      <c r="EC209" s="229">
        <v>9.5200000000000007E-2</v>
      </c>
      <c r="ED209" s="228">
        <v>2.2599999999999998</v>
      </c>
      <c r="EE209" s="229">
        <v>5.5999999999999999E-3</v>
      </c>
      <c r="EF209" s="230">
        <v>1741810</v>
      </c>
      <c r="EG209" s="230">
        <v>2469408</v>
      </c>
      <c r="EH209" s="229">
        <v>-0.29459999999999997</v>
      </c>
      <c r="EI209" s="229">
        <v>0.40110000000000001</v>
      </c>
      <c r="EJ209" s="231">
        <v>120750.33</v>
      </c>
      <c r="EK209" s="231">
        <v>55083.62</v>
      </c>
      <c r="EL209" s="231">
        <v>35505.58</v>
      </c>
      <c r="EM209" s="228">
        <v>0</v>
      </c>
      <c r="EN209" s="231">
        <v>211339.53</v>
      </c>
      <c r="EO209" s="231">
        <v>420878.8</v>
      </c>
      <c r="EP209" s="231">
        <v>-209539.27</v>
      </c>
      <c r="EQ209" s="229">
        <v>-0.49790000000000001</v>
      </c>
      <c r="ER209" s="231">
        <v>146978</v>
      </c>
      <c r="ES209" s="231">
        <v>92368</v>
      </c>
      <c r="ET209" s="231">
        <v>270159</v>
      </c>
      <c r="EU209" s="231">
        <v>339616396</v>
      </c>
      <c r="EV209" s="231">
        <v>509505</v>
      </c>
      <c r="EW209" s="231">
        <v>505372</v>
      </c>
      <c r="EX209" s="231">
        <v>4133</v>
      </c>
      <c r="EY209" s="229">
        <v>8.2000000000000007E-3</v>
      </c>
      <c r="EZ209" s="229">
        <v>0.36940000000000001</v>
      </c>
      <c r="FA209" s="227" t="s">
        <v>567</v>
      </c>
      <c r="FB209" s="161">
        <f t="shared" si="5"/>
        <v>0</v>
      </c>
    </row>
    <row r="210" spans="1:158" ht="17.25" thickBot="1" x14ac:dyDescent="0.3">
      <c r="A210" s="226">
        <v>45860</v>
      </c>
      <c r="B210" s="227" t="s">
        <v>227</v>
      </c>
      <c r="C210" s="227" t="s">
        <v>294</v>
      </c>
      <c r="D210" s="228">
        <v>5500</v>
      </c>
      <c r="E210" s="228">
        <v>163.5</v>
      </c>
      <c r="F210" s="228">
        <v>163.53</v>
      </c>
      <c r="G210" s="228">
        <v>-0.03</v>
      </c>
      <c r="H210" s="229">
        <v>-2.0000000000000001E-4</v>
      </c>
      <c r="I210" s="228">
        <v>163.04</v>
      </c>
      <c r="J210" s="228">
        <v>163.02000000000001</v>
      </c>
      <c r="K210" s="228">
        <v>0.02</v>
      </c>
      <c r="L210" s="229">
        <v>1E-4</v>
      </c>
      <c r="M210" s="228">
        <v>163.5</v>
      </c>
      <c r="N210" s="228">
        <v>163.53</v>
      </c>
      <c r="O210" s="228">
        <v>-0.03</v>
      </c>
      <c r="P210" s="229">
        <v>-2.0000000000000001E-4</v>
      </c>
      <c r="Q210" s="228">
        <v>164.31</v>
      </c>
      <c r="R210" s="228">
        <v>164.31</v>
      </c>
      <c r="S210" s="228">
        <v>0</v>
      </c>
      <c r="T210" s="229">
        <v>0</v>
      </c>
      <c r="U210" s="228">
        <v>0</v>
      </c>
      <c r="V210" s="228">
        <v>0</v>
      </c>
      <c r="W210" s="228">
        <v>0</v>
      </c>
      <c r="X210" s="229">
        <v>0</v>
      </c>
      <c r="Y210" s="228">
        <v>0.46</v>
      </c>
      <c r="Z210" s="228">
        <v>0.51</v>
      </c>
      <c r="AA210" s="228">
        <v>-0.05</v>
      </c>
      <c r="AB210" s="229">
        <v>2.8E-3</v>
      </c>
      <c r="AC210" s="228">
        <v>0.46</v>
      </c>
      <c r="AD210" s="228">
        <v>0.51</v>
      </c>
      <c r="AE210" s="228">
        <v>-0.05</v>
      </c>
      <c r="AF210" s="229">
        <v>2.8E-3</v>
      </c>
      <c r="AG210" s="228">
        <v>1.27</v>
      </c>
      <c r="AH210" s="228">
        <v>1.29</v>
      </c>
      <c r="AI210" s="228">
        <v>-0.02</v>
      </c>
      <c r="AJ210" s="229">
        <v>7.7999999999999996E-3</v>
      </c>
      <c r="AK210" s="228">
        <v>0</v>
      </c>
      <c r="AL210" s="228">
        <v>0</v>
      </c>
      <c r="AM210" s="228">
        <v>0</v>
      </c>
      <c r="AN210" s="229">
        <v>0</v>
      </c>
      <c r="AO210" s="228">
        <v>164.06</v>
      </c>
      <c r="AP210" s="228">
        <v>164.83</v>
      </c>
      <c r="AQ210" s="228">
        <v>0</v>
      </c>
      <c r="AR210" s="230">
        <v>22704000</v>
      </c>
      <c r="AS210" s="230">
        <v>54648000</v>
      </c>
      <c r="AT210" s="230">
        <v>-31944000</v>
      </c>
      <c r="AU210" s="229">
        <v>-0.58450000000000002</v>
      </c>
      <c r="AV210" s="230">
        <v>18980500</v>
      </c>
      <c r="AW210" s="230">
        <v>44913000</v>
      </c>
      <c r="AX210" s="230">
        <v>-25932500</v>
      </c>
      <c r="AY210" s="229">
        <v>-0.57740000000000002</v>
      </c>
      <c r="AZ210" s="230">
        <v>3371500</v>
      </c>
      <c r="BA210" s="230">
        <v>8822000</v>
      </c>
      <c r="BB210" s="230">
        <v>-5450500</v>
      </c>
      <c r="BC210" s="229">
        <v>-0.61780000000000002</v>
      </c>
      <c r="BD210" s="228">
        <v>0</v>
      </c>
      <c r="BE210" s="228">
        <v>0</v>
      </c>
      <c r="BF210" s="228">
        <v>0</v>
      </c>
      <c r="BG210" s="229">
        <v>0</v>
      </c>
      <c r="BH210" s="230">
        <v>112898500</v>
      </c>
      <c r="BI210" s="230">
        <v>272514000</v>
      </c>
      <c r="BJ210" s="230">
        <v>-159615500</v>
      </c>
      <c r="BK210" s="229">
        <v>-0.5857</v>
      </c>
      <c r="BL210" s="230">
        <v>71329500</v>
      </c>
      <c r="BM210" s="230">
        <v>157844500</v>
      </c>
      <c r="BN210" s="230">
        <v>-86515000</v>
      </c>
      <c r="BO210" s="229">
        <v>-0.54810000000000003</v>
      </c>
      <c r="BP210" s="230">
        <v>206932000</v>
      </c>
      <c r="BQ210" s="230">
        <v>485006500</v>
      </c>
      <c r="BR210" s="230">
        <v>-278074500</v>
      </c>
      <c r="BS210" s="229">
        <v>-0.57330000000000003</v>
      </c>
      <c r="BT210" s="230">
        <v>14653621</v>
      </c>
      <c r="BU210" s="230">
        <v>32631542</v>
      </c>
      <c r="BV210" s="230">
        <v>-17977921</v>
      </c>
      <c r="BW210" s="229">
        <v>-0.55089999999999995</v>
      </c>
      <c r="BX210" s="230">
        <v>196108000</v>
      </c>
      <c r="BY210" s="230">
        <v>194826500</v>
      </c>
      <c r="BZ210" s="230">
        <v>1281500</v>
      </c>
      <c r="CA210" s="229">
        <v>6.6E-3</v>
      </c>
      <c r="CB210" s="230">
        <v>172271000</v>
      </c>
      <c r="CC210" s="230">
        <v>172012500</v>
      </c>
      <c r="CD210" s="230">
        <v>258500</v>
      </c>
      <c r="CE210" s="229">
        <v>1.5E-3</v>
      </c>
      <c r="CF210" s="230">
        <v>19805500</v>
      </c>
      <c r="CG210" s="230">
        <v>18821000</v>
      </c>
      <c r="CH210" s="230">
        <v>984500</v>
      </c>
      <c r="CI210" s="229">
        <v>5.2299999999999999E-2</v>
      </c>
      <c r="CJ210" s="228">
        <v>0</v>
      </c>
      <c r="CK210" s="228">
        <v>0</v>
      </c>
      <c r="CL210" s="228">
        <v>0</v>
      </c>
      <c r="CM210" s="229">
        <v>0</v>
      </c>
      <c r="CN210" s="230">
        <v>133496000</v>
      </c>
      <c r="CO210" s="230">
        <v>138407500</v>
      </c>
      <c r="CP210" s="230">
        <v>-4911500</v>
      </c>
      <c r="CQ210" s="229">
        <v>-3.5499999999999997E-2</v>
      </c>
      <c r="CR210" s="230">
        <v>99830500</v>
      </c>
      <c r="CS210" s="230">
        <v>99792000</v>
      </c>
      <c r="CT210" s="230">
        <v>38500</v>
      </c>
      <c r="CU210" s="229">
        <v>4.0000000000000002E-4</v>
      </c>
      <c r="CV210" s="230">
        <v>429434500</v>
      </c>
      <c r="CW210" s="230">
        <v>433026000</v>
      </c>
      <c r="CX210" s="230">
        <v>-3591500</v>
      </c>
      <c r="CY210" s="229">
        <v>-8.3000000000000001E-3</v>
      </c>
      <c r="CZ210" s="228">
        <v>26.25</v>
      </c>
      <c r="DA210" s="228">
        <v>26.86</v>
      </c>
      <c r="DB210" s="228">
        <v>-0.61</v>
      </c>
      <c r="DC210" s="228">
        <v>-0.61</v>
      </c>
      <c r="DD210" s="228">
        <v>35.340000000000003</v>
      </c>
      <c r="DE210" s="228">
        <v>35.43</v>
      </c>
      <c r="DF210" s="228">
        <v>-9.09</v>
      </c>
      <c r="DG210" s="228">
        <v>-0.09</v>
      </c>
      <c r="DH210" s="228">
        <v>26.11</v>
      </c>
      <c r="DI210" s="228">
        <v>27.12</v>
      </c>
      <c r="DJ210" s="228">
        <v>-1.01</v>
      </c>
      <c r="DK210" s="228">
        <v>-1.01</v>
      </c>
      <c r="DL210" s="228">
        <v>26.48</v>
      </c>
      <c r="DM210" s="228">
        <v>26.42</v>
      </c>
      <c r="DN210" s="228">
        <v>0.06</v>
      </c>
      <c r="DO210" s="228">
        <v>0.06</v>
      </c>
      <c r="DP210" s="228">
        <v>0.75</v>
      </c>
      <c r="DQ210" s="228">
        <v>0.72</v>
      </c>
      <c r="DR210" s="228">
        <v>0.03</v>
      </c>
      <c r="DS210" s="229">
        <v>4.1700000000000001E-2</v>
      </c>
      <c r="DT210" s="228">
        <v>170</v>
      </c>
      <c r="DU210" s="228">
        <v>160</v>
      </c>
      <c r="DV210" s="228">
        <v>0.63</v>
      </c>
      <c r="DW210" s="228">
        <v>0.57999999999999996</v>
      </c>
      <c r="DX210" s="228">
        <v>0.05</v>
      </c>
      <c r="DY210" s="229">
        <v>8.6199999999999999E-2</v>
      </c>
      <c r="DZ210" s="229">
        <v>0.10100000000000001</v>
      </c>
      <c r="EA210" s="230">
        <v>18821000</v>
      </c>
      <c r="EB210" s="229">
        <v>5.0000000000000001E-3</v>
      </c>
      <c r="EC210" s="229">
        <v>0.10100000000000001</v>
      </c>
      <c r="ED210" s="228">
        <v>0.77</v>
      </c>
      <c r="EE210" s="229">
        <v>4.7000000000000002E-3</v>
      </c>
      <c r="EF210" s="230">
        <v>7431577</v>
      </c>
      <c r="EG210" s="230">
        <v>14354002</v>
      </c>
      <c r="EH210" s="229">
        <v>-0.48230000000000001</v>
      </c>
      <c r="EI210" s="229">
        <v>0.5071</v>
      </c>
      <c r="EJ210" s="231">
        <v>191716.94</v>
      </c>
      <c r="EK210" s="231">
        <v>114014.79</v>
      </c>
      <c r="EL210" s="231">
        <v>37279.15</v>
      </c>
      <c r="EM210" s="228">
        <v>0</v>
      </c>
      <c r="EN210" s="231">
        <v>343010.88</v>
      </c>
      <c r="EO210" s="231">
        <v>808987.99</v>
      </c>
      <c r="EP210" s="231">
        <v>-465977.11</v>
      </c>
      <c r="EQ210" s="229">
        <v>-0.57599999999999996</v>
      </c>
      <c r="ER210" s="231">
        <v>224560</v>
      </c>
      <c r="ES210" s="231">
        <v>153140</v>
      </c>
      <c r="ET210" s="231">
        <v>320866</v>
      </c>
      <c r="EU210" s="231">
        <v>1667987352</v>
      </c>
      <c r="EV210" s="231">
        <v>698565</v>
      </c>
      <c r="EW210" s="231">
        <v>704395</v>
      </c>
      <c r="EX210" s="231">
        <v>-5830</v>
      </c>
      <c r="EY210" s="229">
        <v>-8.3000000000000001E-3</v>
      </c>
      <c r="EZ210" s="229">
        <v>0.25750000000000001</v>
      </c>
      <c r="FA210" s="227" t="s">
        <v>567</v>
      </c>
      <c r="FB210" s="161">
        <f t="shared" si="5"/>
        <v>0</v>
      </c>
    </row>
    <row r="211" spans="1:158" ht="17.25" thickBot="1" x14ac:dyDescent="0.3">
      <c r="A211" s="226">
        <v>45860</v>
      </c>
      <c r="B211" s="227" t="s">
        <v>221</v>
      </c>
      <c r="C211" s="227" t="s">
        <v>665</v>
      </c>
      <c r="D211" s="228">
        <v>800</v>
      </c>
      <c r="E211" s="228">
        <v>715.6</v>
      </c>
      <c r="F211" s="228">
        <v>717.3</v>
      </c>
      <c r="G211" s="228">
        <v>-1.7</v>
      </c>
      <c r="H211" s="229">
        <v>-2.3999999999999998E-3</v>
      </c>
      <c r="I211" s="228">
        <v>715.6</v>
      </c>
      <c r="J211" s="228">
        <v>716.35</v>
      </c>
      <c r="K211" s="228">
        <v>-0.75</v>
      </c>
      <c r="L211" s="229">
        <v>-1E-3</v>
      </c>
      <c r="M211" s="228">
        <v>715.6</v>
      </c>
      <c r="N211" s="228">
        <v>717.3</v>
      </c>
      <c r="O211" s="228">
        <v>-1.7</v>
      </c>
      <c r="P211" s="229">
        <v>-2.3999999999999998E-3</v>
      </c>
      <c r="Q211" s="228">
        <v>719.1</v>
      </c>
      <c r="R211" s="228">
        <v>720.6</v>
      </c>
      <c r="S211" s="228">
        <v>-1.5</v>
      </c>
      <c r="T211" s="229">
        <v>-2.0999999999999999E-3</v>
      </c>
      <c r="U211" s="228">
        <v>0</v>
      </c>
      <c r="V211" s="228">
        <v>0</v>
      </c>
      <c r="W211" s="228">
        <v>0</v>
      </c>
      <c r="X211" s="229">
        <v>0</v>
      </c>
      <c r="Y211" s="228">
        <v>0</v>
      </c>
      <c r="Z211" s="228">
        <v>0.95</v>
      </c>
      <c r="AA211" s="228">
        <v>-0.95</v>
      </c>
      <c r="AB211" s="229">
        <v>0</v>
      </c>
      <c r="AC211" s="228">
        <v>0</v>
      </c>
      <c r="AD211" s="228">
        <v>0.95</v>
      </c>
      <c r="AE211" s="228">
        <v>-0.95</v>
      </c>
      <c r="AF211" s="229">
        <v>0</v>
      </c>
      <c r="AG211" s="228">
        <v>3.5</v>
      </c>
      <c r="AH211" s="228">
        <v>4.25</v>
      </c>
      <c r="AI211" s="228">
        <v>-0.75</v>
      </c>
      <c r="AJ211" s="229">
        <v>4.8999999999999998E-3</v>
      </c>
      <c r="AK211" s="228">
        <v>0</v>
      </c>
      <c r="AL211" s="228">
        <v>0</v>
      </c>
      <c r="AM211" s="228">
        <v>0</v>
      </c>
      <c r="AN211" s="229">
        <v>0</v>
      </c>
      <c r="AO211" s="228">
        <v>715.86</v>
      </c>
      <c r="AP211" s="228">
        <v>719.6</v>
      </c>
      <c r="AQ211" s="228">
        <v>0</v>
      </c>
      <c r="AR211" s="230">
        <v>1850400</v>
      </c>
      <c r="AS211" s="230">
        <v>1541600</v>
      </c>
      <c r="AT211" s="230">
        <v>308800</v>
      </c>
      <c r="AU211" s="229">
        <v>0.20030000000000001</v>
      </c>
      <c r="AV211" s="230">
        <v>1216000</v>
      </c>
      <c r="AW211" s="230">
        <v>1152800</v>
      </c>
      <c r="AX211" s="230">
        <v>63200</v>
      </c>
      <c r="AY211" s="229">
        <v>5.4800000000000001E-2</v>
      </c>
      <c r="AZ211" s="230">
        <v>594400</v>
      </c>
      <c r="BA211" s="230">
        <v>368800</v>
      </c>
      <c r="BB211" s="230">
        <v>225600</v>
      </c>
      <c r="BC211" s="229">
        <v>0.61170000000000002</v>
      </c>
      <c r="BD211" s="228">
        <v>0</v>
      </c>
      <c r="BE211" s="228">
        <v>0</v>
      </c>
      <c r="BF211" s="228">
        <v>0</v>
      </c>
      <c r="BG211" s="229">
        <v>0</v>
      </c>
      <c r="BH211" s="230">
        <v>4111200</v>
      </c>
      <c r="BI211" s="230">
        <v>5672800</v>
      </c>
      <c r="BJ211" s="230">
        <v>-1561600</v>
      </c>
      <c r="BK211" s="229">
        <v>-0.27529999999999999</v>
      </c>
      <c r="BL211" s="230">
        <v>1388000</v>
      </c>
      <c r="BM211" s="230">
        <v>1540800</v>
      </c>
      <c r="BN211" s="230">
        <v>-152800</v>
      </c>
      <c r="BO211" s="229">
        <v>-9.9199999999999997E-2</v>
      </c>
      <c r="BP211" s="230">
        <v>7349600</v>
      </c>
      <c r="BQ211" s="230">
        <v>8755200</v>
      </c>
      <c r="BR211" s="230">
        <v>-1405600</v>
      </c>
      <c r="BS211" s="229">
        <v>-0.1605</v>
      </c>
      <c r="BT211" s="230">
        <v>798075</v>
      </c>
      <c r="BU211" s="230">
        <v>827867</v>
      </c>
      <c r="BV211" s="230">
        <v>-29792</v>
      </c>
      <c r="BW211" s="229">
        <v>-3.5999999999999997E-2</v>
      </c>
      <c r="BX211" s="230">
        <v>11248800</v>
      </c>
      <c r="BY211" s="230">
        <v>11205600</v>
      </c>
      <c r="BZ211" s="230">
        <v>43200</v>
      </c>
      <c r="CA211" s="229">
        <v>3.8999999999999998E-3</v>
      </c>
      <c r="CB211" s="230">
        <v>9117600</v>
      </c>
      <c r="CC211" s="230">
        <v>9388000</v>
      </c>
      <c r="CD211" s="230">
        <v>-270400</v>
      </c>
      <c r="CE211" s="229">
        <v>-2.8799999999999999E-2</v>
      </c>
      <c r="CF211" s="230">
        <v>1845600</v>
      </c>
      <c r="CG211" s="230">
        <v>1536800</v>
      </c>
      <c r="CH211" s="230">
        <v>308800</v>
      </c>
      <c r="CI211" s="229">
        <v>0.2009</v>
      </c>
      <c r="CJ211" s="228">
        <v>0</v>
      </c>
      <c r="CK211" s="228">
        <v>0</v>
      </c>
      <c r="CL211" s="228">
        <v>0</v>
      </c>
      <c r="CM211" s="229">
        <v>0</v>
      </c>
      <c r="CN211" s="230">
        <v>7263200</v>
      </c>
      <c r="CO211" s="230">
        <v>7275200</v>
      </c>
      <c r="CP211" s="230">
        <v>-12000</v>
      </c>
      <c r="CQ211" s="229">
        <v>-1.6000000000000001E-3</v>
      </c>
      <c r="CR211" s="230">
        <v>4364800</v>
      </c>
      <c r="CS211" s="230">
        <v>4416000</v>
      </c>
      <c r="CT211" s="230">
        <v>-51200</v>
      </c>
      <c r="CU211" s="229">
        <v>-1.1599999999999999E-2</v>
      </c>
      <c r="CV211" s="230">
        <v>22876800</v>
      </c>
      <c r="CW211" s="230">
        <v>22896800</v>
      </c>
      <c r="CX211" s="230">
        <v>-20000</v>
      </c>
      <c r="CY211" s="229">
        <v>-8.9999999999999998E-4</v>
      </c>
      <c r="CZ211" s="228">
        <v>24.97</v>
      </c>
      <c r="DA211" s="228">
        <v>25.77</v>
      </c>
      <c r="DB211" s="228">
        <v>-0.8</v>
      </c>
      <c r="DC211" s="228">
        <v>-0.8</v>
      </c>
      <c r="DD211" s="228">
        <v>33.090000000000003</v>
      </c>
      <c r="DE211" s="228">
        <v>33.17</v>
      </c>
      <c r="DF211" s="228">
        <v>-8.1199999999999992</v>
      </c>
      <c r="DG211" s="228">
        <v>-0.08</v>
      </c>
      <c r="DH211" s="228">
        <v>25.55</v>
      </c>
      <c r="DI211" s="228">
        <v>25.88</v>
      </c>
      <c r="DJ211" s="228">
        <v>-0.33</v>
      </c>
      <c r="DK211" s="228">
        <v>-0.33</v>
      </c>
      <c r="DL211" s="228">
        <v>23.27</v>
      </c>
      <c r="DM211" s="228">
        <v>25.36</v>
      </c>
      <c r="DN211" s="228">
        <v>-2.09</v>
      </c>
      <c r="DO211" s="228">
        <v>-2.09</v>
      </c>
      <c r="DP211" s="228">
        <v>0.6</v>
      </c>
      <c r="DQ211" s="228">
        <v>0.61</v>
      </c>
      <c r="DR211" s="228">
        <v>-0.01</v>
      </c>
      <c r="DS211" s="229">
        <v>-1.6400000000000001E-2</v>
      </c>
      <c r="DT211" s="228">
        <v>800</v>
      </c>
      <c r="DU211" s="228">
        <v>700</v>
      </c>
      <c r="DV211" s="228">
        <v>0.34</v>
      </c>
      <c r="DW211" s="228">
        <v>0.27</v>
      </c>
      <c r="DX211" s="228">
        <v>7.0000000000000007E-2</v>
      </c>
      <c r="DY211" s="229">
        <v>0.25929999999999997</v>
      </c>
      <c r="DZ211" s="229">
        <v>0.1641</v>
      </c>
      <c r="EA211" s="230">
        <v>1536800</v>
      </c>
      <c r="EB211" s="229">
        <v>4.8999999999999998E-3</v>
      </c>
      <c r="EC211" s="229">
        <v>0.1641</v>
      </c>
      <c r="ED211" s="228">
        <v>3.74</v>
      </c>
      <c r="EE211" s="229">
        <v>5.1999999999999998E-3</v>
      </c>
      <c r="EF211" s="230">
        <v>460010</v>
      </c>
      <c r="EG211" s="230">
        <v>362113</v>
      </c>
      <c r="EH211" s="229">
        <v>0.27029999999999998</v>
      </c>
      <c r="EI211" s="229">
        <v>0.57640000000000002</v>
      </c>
      <c r="EJ211" s="231">
        <v>30854.3</v>
      </c>
      <c r="EK211" s="231">
        <v>9874.18</v>
      </c>
      <c r="EL211" s="231">
        <v>13271.85</v>
      </c>
      <c r="EM211" s="228">
        <v>0</v>
      </c>
      <c r="EN211" s="231">
        <v>54000.33</v>
      </c>
      <c r="EO211" s="231">
        <v>64159.71</v>
      </c>
      <c r="EP211" s="231">
        <v>-10159.379999999999</v>
      </c>
      <c r="EQ211" s="229">
        <v>-0.1583</v>
      </c>
      <c r="ER211" s="231">
        <v>54795</v>
      </c>
      <c r="ES211" s="231">
        <v>30594</v>
      </c>
      <c r="ET211" s="231">
        <v>80583</v>
      </c>
      <c r="EU211" s="231">
        <v>36328758</v>
      </c>
      <c r="EV211" s="231">
        <v>165972</v>
      </c>
      <c r="EW211" s="231">
        <v>166328</v>
      </c>
      <c r="EX211" s="228">
        <v>-356</v>
      </c>
      <c r="EY211" s="229">
        <v>-2.0999999999999999E-3</v>
      </c>
      <c r="EZ211" s="229">
        <v>0.62970000000000004</v>
      </c>
      <c r="FA211" s="227" t="s">
        <v>567</v>
      </c>
      <c r="FB211" s="161">
        <f t="shared" si="5"/>
        <v>0</v>
      </c>
    </row>
    <row r="212" spans="1:158" ht="17.25" thickBot="1" x14ac:dyDescent="0.3">
      <c r="A212" s="226">
        <v>45860</v>
      </c>
      <c r="B212" s="227" t="s">
        <v>221</v>
      </c>
      <c r="C212" s="227" t="s">
        <v>295</v>
      </c>
      <c r="D212" s="228">
        <v>175</v>
      </c>
      <c r="E212" s="231">
        <v>3166.8</v>
      </c>
      <c r="F212" s="231">
        <v>3168.9</v>
      </c>
      <c r="G212" s="228">
        <v>-2.1</v>
      </c>
      <c r="H212" s="229">
        <v>-6.9999999999999999E-4</v>
      </c>
      <c r="I212" s="231">
        <v>3159.6</v>
      </c>
      <c r="J212" s="231">
        <v>3158.2</v>
      </c>
      <c r="K212" s="228">
        <v>1.4</v>
      </c>
      <c r="L212" s="229">
        <v>4.0000000000000002E-4</v>
      </c>
      <c r="M212" s="231">
        <v>3166.8</v>
      </c>
      <c r="N212" s="231">
        <v>3168.9</v>
      </c>
      <c r="O212" s="228">
        <v>-2.1</v>
      </c>
      <c r="P212" s="229">
        <v>-6.9999999999999999E-4</v>
      </c>
      <c r="Q212" s="231">
        <v>3183.2</v>
      </c>
      <c r="R212" s="231">
        <v>3184.1</v>
      </c>
      <c r="S212" s="228">
        <v>-0.9</v>
      </c>
      <c r="T212" s="229">
        <v>-2.9999999999999997E-4</v>
      </c>
      <c r="U212" s="228">
        <v>0</v>
      </c>
      <c r="V212" s="228">
        <v>0</v>
      </c>
      <c r="W212" s="228">
        <v>0</v>
      </c>
      <c r="X212" s="229">
        <v>0</v>
      </c>
      <c r="Y212" s="228">
        <v>7.2</v>
      </c>
      <c r="Z212" s="228">
        <v>10.7</v>
      </c>
      <c r="AA212" s="228">
        <v>-3.5</v>
      </c>
      <c r="AB212" s="229">
        <v>2.3E-3</v>
      </c>
      <c r="AC212" s="228">
        <v>7.2</v>
      </c>
      <c r="AD212" s="228">
        <v>10.7</v>
      </c>
      <c r="AE212" s="228">
        <v>-3.5</v>
      </c>
      <c r="AF212" s="229">
        <v>2.3E-3</v>
      </c>
      <c r="AG212" s="228">
        <v>23.6</v>
      </c>
      <c r="AH212" s="228">
        <v>25.9</v>
      </c>
      <c r="AI212" s="228">
        <v>-2.2999999999999998</v>
      </c>
      <c r="AJ212" s="229">
        <v>7.4999999999999997E-3</v>
      </c>
      <c r="AK212" s="228">
        <v>0</v>
      </c>
      <c r="AL212" s="228">
        <v>0</v>
      </c>
      <c r="AM212" s="228">
        <v>0</v>
      </c>
      <c r="AN212" s="229">
        <v>0</v>
      </c>
      <c r="AO212" s="231">
        <v>3173.61</v>
      </c>
      <c r="AP212" s="231">
        <v>3190.04</v>
      </c>
      <c r="AQ212" s="228">
        <v>0</v>
      </c>
      <c r="AR212" s="230">
        <v>2790900</v>
      </c>
      <c r="AS212" s="230">
        <v>3430875</v>
      </c>
      <c r="AT212" s="230">
        <v>-639975</v>
      </c>
      <c r="AU212" s="229">
        <v>-0.1865</v>
      </c>
      <c r="AV212" s="230">
        <v>1869525</v>
      </c>
      <c r="AW212" s="230">
        <v>2167725</v>
      </c>
      <c r="AX212" s="230">
        <v>-298200</v>
      </c>
      <c r="AY212" s="229">
        <v>-0.1376</v>
      </c>
      <c r="AZ212" s="230">
        <v>745325</v>
      </c>
      <c r="BA212" s="230">
        <v>1142575</v>
      </c>
      <c r="BB212" s="230">
        <v>-397250</v>
      </c>
      <c r="BC212" s="229">
        <v>-0.34770000000000001</v>
      </c>
      <c r="BD212" s="228">
        <v>0</v>
      </c>
      <c r="BE212" s="228">
        <v>0</v>
      </c>
      <c r="BF212" s="228">
        <v>0</v>
      </c>
      <c r="BG212" s="229">
        <v>0</v>
      </c>
      <c r="BH212" s="230">
        <v>22289400</v>
      </c>
      <c r="BI212" s="230">
        <v>28191625</v>
      </c>
      <c r="BJ212" s="230">
        <v>-5902225</v>
      </c>
      <c r="BK212" s="229">
        <v>-0.2094</v>
      </c>
      <c r="BL212" s="230">
        <v>8087625</v>
      </c>
      <c r="BM212" s="230">
        <v>11841025</v>
      </c>
      <c r="BN212" s="230">
        <v>-3753400</v>
      </c>
      <c r="BO212" s="229">
        <v>-0.317</v>
      </c>
      <c r="BP212" s="230">
        <v>33167925</v>
      </c>
      <c r="BQ212" s="230">
        <v>43463525</v>
      </c>
      <c r="BR212" s="230">
        <v>-10295600</v>
      </c>
      <c r="BS212" s="229">
        <v>-0.2369</v>
      </c>
      <c r="BT212" s="230">
        <v>3325121</v>
      </c>
      <c r="BU212" s="230">
        <v>3911113</v>
      </c>
      <c r="BV212" s="230">
        <v>-585992</v>
      </c>
      <c r="BW212" s="229">
        <v>-0.14979999999999999</v>
      </c>
      <c r="BX212" s="230">
        <v>29216075</v>
      </c>
      <c r="BY212" s="230">
        <v>29039325</v>
      </c>
      <c r="BZ212" s="230">
        <v>176750</v>
      </c>
      <c r="CA212" s="229">
        <v>6.1000000000000004E-3</v>
      </c>
      <c r="CB212" s="230">
        <v>21835800</v>
      </c>
      <c r="CC212" s="230">
        <v>22198925</v>
      </c>
      <c r="CD212" s="230">
        <v>-363125</v>
      </c>
      <c r="CE212" s="229">
        <v>-1.6400000000000001E-2</v>
      </c>
      <c r="CF212" s="230">
        <v>5927075</v>
      </c>
      <c r="CG212" s="230">
        <v>5515125</v>
      </c>
      <c r="CH212" s="230">
        <v>411950</v>
      </c>
      <c r="CI212" s="229">
        <v>7.4700000000000003E-2</v>
      </c>
      <c r="CJ212" s="228">
        <v>0</v>
      </c>
      <c r="CK212" s="228">
        <v>0</v>
      </c>
      <c r="CL212" s="228">
        <v>0</v>
      </c>
      <c r="CM212" s="229">
        <v>0</v>
      </c>
      <c r="CN212" s="230">
        <v>28232400</v>
      </c>
      <c r="CO212" s="230">
        <v>28905975</v>
      </c>
      <c r="CP212" s="230">
        <v>-673575</v>
      </c>
      <c r="CQ212" s="229">
        <v>-2.3300000000000001E-2</v>
      </c>
      <c r="CR212" s="230">
        <v>14160650</v>
      </c>
      <c r="CS212" s="230">
        <v>14317800</v>
      </c>
      <c r="CT212" s="230">
        <v>-157150</v>
      </c>
      <c r="CU212" s="229">
        <v>-1.0999999999999999E-2</v>
      </c>
      <c r="CV212" s="230">
        <v>71609125</v>
      </c>
      <c r="CW212" s="230">
        <v>72263100</v>
      </c>
      <c r="CX212" s="230">
        <v>-653975</v>
      </c>
      <c r="CY212" s="229">
        <v>-8.9999999999999993E-3</v>
      </c>
      <c r="CZ212" s="228">
        <v>20.87</v>
      </c>
      <c r="DA212" s="228">
        <v>21.58</v>
      </c>
      <c r="DB212" s="228">
        <v>-0.71</v>
      </c>
      <c r="DC212" s="228">
        <v>-0.71</v>
      </c>
      <c r="DD212" s="228">
        <v>24.85</v>
      </c>
      <c r="DE212" s="228">
        <v>24.92</v>
      </c>
      <c r="DF212" s="228">
        <v>-3.98</v>
      </c>
      <c r="DG212" s="228">
        <v>-7.0000000000000007E-2</v>
      </c>
      <c r="DH212" s="228">
        <v>21.37</v>
      </c>
      <c r="DI212" s="228">
        <v>22.23</v>
      </c>
      <c r="DJ212" s="228">
        <v>-0.86</v>
      </c>
      <c r="DK212" s="228">
        <v>-0.86</v>
      </c>
      <c r="DL212" s="228">
        <v>19.47</v>
      </c>
      <c r="DM212" s="228">
        <v>20.04</v>
      </c>
      <c r="DN212" s="228">
        <v>-0.56999999999999995</v>
      </c>
      <c r="DO212" s="228">
        <v>-0.56999999999999995</v>
      </c>
      <c r="DP212" s="228">
        <v>0.5</v>
      </c>
      <c r="DQ212" s="228">
        <v>0.5</v>
      </c>
      <c r="DR212" s="228">
        <v>0</v>
      </c>
      <c r="DS212" s="229">
        <v>0</v>
      </c>
      <c r="DT212" s="231">
        <v>3500</v>
      </c>
      <c r="DU212" s="231">
        <v>3200</v>
      </c>
      <c r="DV212" s="228">
        <v>0.36</v>
      </c>
      <c r="DW212" s="228">
        <v>0.42</v>
      </c>
      <c r="DX212" s="228">
        <v>-0.06</v>
      </c>
      <c r="DY212" s="229">
        <v>-0.1429</v>
      </c>
      <c r="DZ212" s="229">
        <v>0.2029</v>
      </c>
      <c r="EA212" s="230">
        <v>5515125</v>
      </c>
      <c r="EB212" s="229">
        <v>5.1999999999999998E-3</v>
      </c>
      <c r="EC212" s="229">
        <v>0.2029</v>
      </c>
      <c r="ED212" s="228">
        <v>16.43</v>
      </c>
      <c r="EE212" s="229">
        <v>5.1999999999999998E-3</v>
      </c>
      <c r="EF212" s="230">
        <v>2457814</v>
      </c>
      <c r="EG212" s="230">
        <v>3054325</v>
      </c>
      <c r="EH212" s="229">
        <v>-0.1953</v>
      </c>
      <c r="EI212" s="229">
        <v>0.73919999999999997</v>
      </c>
      <c r="EJ212" s="231">
        <v>740172.75</v>
      </c>
      <c r="EK212" s="231">
        <v>255734.97</v>
      </c>
      <c r="EL212" s="231">
        <v>88750.78</v>
      </c>
      <c r="EM212" s="228">
        <v>0</v>
      </c>
      <c r="EN212" s="231">
        <v>1084658.5</v>
      </c>
      <c r="EO212" s="231">
        <v>1426773.09</v>
      </c>
      <c r="EP212" s="231">
        <v>-342114.59</v>
      </c>
      <c r="EQ212" s="229">
        <v>-0.23980000000000001</v>
      </c>
      <c r="ER212" s="231">
        <v>964638</v>
      </c>
      <c r="ES212" s="231">
        <v>457642</v>
      </c>
      <c r="ET212" s="231">
        <v>926679</v>
      </c>
      <c r="EU212" s="231">
        <v>204305778</v>
      </c>
      <c r="EV212" s="231">
        <v>2348959</v>
      </c>
      <c r="EW212" s="231">
        <v>2373230</v>
      </c>
      <c r="EX212" s="231">
        <v>-24271</v>
      </c>
      <c r="EY212" s="229">
        <v>-1.0200000000000001E-2</v>
      </c>
      <c r="EZ212" s="229">
        <v>0.35049999999999998</v>
      </c>
      <c r="FA212" s="227" t="s">
        <v>567</v>
      </c>
      <c r="FB212" s="161">
        <f t="shared" si="5"/>
        <v>0</v>
      </c>
    </row>
    <row r="213" spans="1:158" ht="17.25" thickBot="1" x14ac:dyDescent="0.3">
      <c r="A213" s="226">
        <v>45860</v>
      </c>
      <c r="B213" s="227" t="s">
        <v>221</v>
      </c>
      <c r="C213" s="227" t="s">
        <v>296</v>
      </c>
      <c r="D213" s="228">
        <v>600</v>
      </c>
      <c r="E213" s="231">
        <v>1548.2</v>
      </c>
      <c r="F213" s="231">
        <v>1545.4</v>
      </c>
      <c r="G213" s="228">
        <v>2.8</v>
      </c>
      <c r="H213" s="229">
        <v>1.8E-3</v>
      </c>
      <c r="I213" s="231">
        <v>1547.2</v>
      </c>
      <c r="J213" s="231">
        <v>1543.8</v>
      </c>
      <c r="K213" s="228">
        <v>3.4</v>
      </c>
      <c r="L213" s="229">
        <v>2.2000000000000001E-3</v>
      </c>
      <c r="M213" s="231">
        <v>1548.2</v>
      </c>
      <c r="N213" s="231">
        <v>1545.4</v>
      </c>
      <c r="O213" s="228">
        <v>2.8</v>
      </c>
      <c r="P213" s="229">
        <v>1.8E-3</v>
      </c>
      <c r="Q213" s="231">
        <v>1556.5</v>
      </c>
      <c r="R213" s="231">
        <v>1553.8</v>
      </c>
      <c r="S213" s="228">
        <v>2.7</v>
      </c>
      <c r="T213" s="229">
        <v>1.6999999999999999E-3</v>
      </c>
      <c r="U213" s="228">
        <v>0</v>
      </c>
      <c r="V213" s="228">
        <v>0</v>
      </c>
      <c r="W213" s="228">
        <v>0</v>
      </c>
      <c r="X213" s="229">
        <v>0</v>
      </c>
      <c r="Y213" s="228">
        <v>1</v>
      </c>
      <c r="Z213" s="228">
        <v>1.6</v>
      </c>
      <c r="AA213" s="228">
        <v>-0.6</v>
      </c>
      <c r="AB213" s="229">
        <v>5.9999999999999995E-4</v>
      </c>
      <c r="AC213" s="228">
        <v>1</v>
      </c>
      <c r="AD213" s="228">
        <v>1.6</v>
      </c>
      <c r="AE213" s="228">
        <v>-0.6</v>
      </c>
      <c r="AF213" s="229">
        <v>5.9999999999999995E-4</v>
      </c>
      <c r="AG213" s="228">
        <v>9.3000000000000007</v>
      </c>
      <c r="AH213" s="228">
        <v>10</v>
      </c>
      <c r="AI213" s="228">
        <v>-0.7</v>
      </c>
      <c r="AJ213" s="229">
        <v>6.0000000000000001E-3</v>
      </c>
      <c r="AK213" s="228">
        <v>0</v>
      </c>
      <c r="AL213" s="228">
        <v>0</v>
      </c>
      <c r="AM213" s="228">
        <v>0</v>
      </c>
      <c r="AN213" s="229">
        <v>0</v>
      </c>
      <c r="AO213" s="231">
        <v>1548.81</v>
      </c>
      <c r="AP213" s="231">
        <v>1558.29</v>
      </c>
      <c r="AQ213" s="228">
        <v>0</v>
      </c>
      <c r="AR213" s="230">
        <v>1921200</v>
      </c>
      <c r="AS213" s="230">
        <v>2532000</v>
      </c>
      <c r="AT213" s="230">
        <v>-610800</v>
      </c>
      <c r="AU213" s="229">
        <v>-0.2412</v>
      </c>
      <c r="AV213" s="230">
        <v>1491600</v>
      </c>
      <c r="AW213" s="230">
        <v>2248200</v>
      </c>
      <c r="AX213" s="230">
        <v>-756600</v>
      </c>
      <c r="AY213" s="229">
        <v>-0.33650000000000002</v>
      </c>
      <c r="AZ213" s="230">
        <v>415800</v>
      </c>
      <c r="BA213" s="230">
        <v>265200</v>
      </c>
      <c r="BB213" s="230">
        <v>150600</v>
      </c>
      <c r="BC213" s="229">
        <v>0.56789999999999996</v>
      </c>
      <c r="BD213" s="228">
        <v>0</v>
      </c>
      <c r="BE213" s="228">
        <v>0</v>
      </c>
      <c r="BF213" s="228">
        <v>0</v>
      </c>
      <c r="BG213" s="229">
        <v>0</v>
      </c>
      <c r="BH213" s="230">
        <v>8217600</v>
      </c>
      <c r="BI213" s="230">
        <v>12343800</v>
      </c>
      <c r="BJ213" s="230">
        <v>-4126200</v>
      </c>
      <c r="BK213" s="229">
        <v>-0.33429999999999999</v>
      </c>
      <c r="BL213" s="230">
        <v>2702400</v>
      </c>
      <c r="BM213" s="230">
        <v>4673400</v>
      </c>
      <c r="BN213" s="230">
        <v>-1971000</v>
      </c>
      <c r="BO213" s="229">
        <v>-0.42170000000000002</v>
      </c>
      <c r="BP213" s="230">
        <v>12841200</v>
      </c>
      <c r="BQ213" s="230">
        <v>19549200</v>
      </c>
      <c r="BR213" s="230">
        <v>-6708000</v>
      </c>
      <c r="BS213" s="229">
        <v>-0.34310000000000002</v>
      </c>
      <c r="BT213" s="230">
        <v>1415337</v>
      </c>
      <c r="BU213" s="230">
        <v>1007980</v>
      </c>
      <c r="BV213" s="230">
        <v>407357</v>
      </c>
      <c r="BW213" s="229">
        <v>0.40410000000000001</v>
      </c>
      <c r="BX213" s="230">
        <v>18036600</v>
      </c>
      <c r="BY213" s="230">
        <v>18118800</v>
      </c>
      <c r="BZ213" s="230">
        <v>-82200</v>
      </c>
      <c r="CA213" s="229">
        <v>-4.4999999999999997E-3</v>
      </c>
      <c r="CB213" s="230">
        <v>16020000</v>
      </c>
      <c r="CC213" s="230">
        <v>16173000</v>
      </c>
      <c r="CD213" s="230">
        <v>-153000</v>
      </c>
      <c r="CE213" s="229">
        <v>-9.4999999999999998E-3</v>
      </c>
      <c r="CF213" s="230">
        <v>1547400</v>
      </c>
      <c r="CG213" s="230">
        <v>1488000</v>
      </c>
      <c r="CH213" s="230">
        <v>59400</v>
      </c>
      <c r="CI213" s="229">
        <v>3.9899999999999998E-2</v>
      </c>
      <c r="CJ213" s="228">
        <v>0</v>
      </c>
      <c r="CK213" s="228">
        <v>0</v>
      </c>
      <c r="CL213" s="228">
        <v>0</v>
      </c>
      <c r="CM213" s="229">
        <v>0</v>
      </c>
      <c r="CN213" s="230">
        <v>14103600</v>
      </c>
      <c r="CO213" s="230">
        <v>14997000</v>
      </c>
      <c r="CP213" s="230">
        <v>-893400</v>
      </c>
      <c r="CQ213" s="229">
        <v>-5.96E-2</v>
      </c>
      <c r="CR213" s="230">
        <v>6498600</v>
      </c>
      <c r="CS213" s="230">
        <v>6736800</v>
      </c>
      <c r="CT213" s="230">
        <v>-238200</v>
      </c>
      <c r="CU213" s="229">
        <v>-3.5400000000000001E-2</v>
      </c>
      <c r="CV213" s="230">
        <v>38638800</v>
      </c>
      <c r="CW213" s="230">
        <v>39852600</v>
      </c>
      <c r="CX213" s="230">
        <v>-1213800</v>
      </c>
      <c r="CY213" s="229">
        <v>-3.0499999999999999E-2</v>
      </c>
      <c r="CZ213" s="228">
        <v>24.75</v>
      </c>
      <c r="DA213" s="228">
        <v>25.09</v>
      </c>
      <c r="DB213" s="228">
        <v>-0.34</v>
      </c>
      <c r="DC213" s="228">
        <v>-0.34</v>
      </c>
      <c r="DD213" s="228">
        <v>31.24</v>
      </c>
      <c r="DE213" s="228">
        <v>31.32</v>
      </c>
      <c r="DF213" s="228">
        <v>-6.49</v>
      </c>
      <c r="DG213" s="228">
        <v>-0.08</v>
      </c>
      <c r="DH213" s="228">
        <v>25.15</v>
      </c>
      <c r="DI213" s="228">
        <v>25.7</v>
      </c>
      <c r="DJ213" s="228">
        <v>-0.55000000000000004</v>
      </c>
      <c r="DK213" s="228">
        <v>-0.55000000000000004</v>
      </c>
      <c r="DL213" s="228">
        <v>23.52</v>
      </c>
      <c r="DM213" s="228">
        <v>23.5</v>
      </c>
      <c r="DN213" s="228">
        <v>0.02</v>
      </c>
      <c r="DO213" s="228">
        <v>0.02</v>
      </c>
      <c r="DP213" s="228">
        <v>0.46</v>
      </c>
      <c r="DQ213" s="228">
        <v>0.45</v>
      </c>
      <c r="DR213" s="228">
        <v>0.01</v>
      </c>
      <c r="DS213" s="229">
        <v>2.2200000000000001E-2</v>
      </c>
      <c r="DT213" s="231">
        <v>1600</v>
      </c>
      <c r="DU213" s="231">
        <v>1500</v>
      </c>
      <c r="DV213" s="228">
        <v>0.33</v>
      </c>
      <c r="DW213" s="228">
        <v>0.38</v>
      </c>
      <c r="DX213" s="228">
        <v>-0.05</v>
      </c>
      <c r="DY213" s="229">
        <v>-0.13159999999999999</v>
      </c>
      <c r="DZ213" s="229">
        <v>8.5800000000000001E-2</v>
      </c>
      <c r="EA213" s="230">
        <v>1488000</v>
      </c>
      <c r="EB213" s="229">
        <v>5.4000000000000003E-3</v>
      </c>
      <c r="EC213" s="229">
        <v>8.5800000000000001E-2</v>
      </c>
      <c r="ED213" s="228">
        <v>9.48</v>
      </c>
      <c r="EE213" s="229">
        <v>6.1000000000000004E-3</v>
      </c>
      <c r="EF213" s="230">
        <v>922220</v>
      </c>
      <c r="EG213" s="230">
        <v>448307</v>
      </c>
      <c r="EH213" s="229">
        <v>1.0570999999999999</v>
      </c>
      <c r="EI213" s="229">
        <v>0.65159999999999996</v>
      </c>
      <c r="EJ213" s="231">
        <v>132518.10999999999</v>
      </c>
      <c r="EK213" s="231">
        <v>41699.730000000003</v>
      </c>
      <c r="EL213" s="231">
        <v>29797.39</v>
      </c>
      <c r="EM213" s="228">
        <v>0</v>
      </c>
      <c r="EN213" s="231">
        <v>204015.23</v>
      </c>
      <c r="EO213" s="231">
        <v>311326.52</v>
      </c>
      <c r="EP213" s="231">
        <v>-107311.29</v>
      </c>
      <c r="EQ213" s="229">
        <v>-0.34470000000000001</v>
      </c>
      <c r="ER213" s="231">
        <v>233043</v>
      </c>
      <c r="ES213" s="231">
        <v>99431</v>
      </c>
      <c r="ET213" s="231">
        <v>279438</v>
      </c>
      <c r="EU213" s="231">
        <v>127258876</v>
      </c>
      <c r="EV213" s="231">
        <v>611913</v>
      </c>
      <c r="EW213" s="231">
        <v>631019</v>
      </c>
      <c r="EX213" s="231">
        <v>-19106</v>
      </c>
      <c r="EY213" s="229">
        <v>-3.0300000000000001E-2</v>
      </c>
      <c r="EZ213" s="229">
        <v>0.30359999999999998</v>
      </c>
      <c r="FA213" s="227" t="s">
        <v>556</v>
      </c>
      <c r="FB213" s="161">
        <f t="shared" si="5"/>
        <v>0</v>
      </c>
    </row>
    <row r="214" spans="1:158" ht="17.25" thickBot="1" x14ac:dyDescent="0.3">
      <c r="A214" s="226">
        <v>45860</v>
      </c>
      <c r="B214" s="227" t="s">
        <v>184</v>
      </c>
      <c r="C214" s="227" t="s">
        <v>596</v>
      </c>
      <c r="D214" s="228">
        <v>200</v>
      </c>
      <c r="E214" s="231">
        <v>2948.6</v>
      </c>
      <c r="F214" s="231">
        <v>2943.8</v>
      </c>
      <c r="G214" s="228">
        <v>4.8</v>
      </c>
      <c r="H214" s="229">
        <v>1.6000000000000001E-3</v>
      </c>
      <c r="I214" s="231">
        <v>2949.5</v>
      </c>
      <c r="J214" s="231">
        <v>2939.4</v>
      </c>
      <c r="K214" s="228">
        <v>10.1</v>
      </c>
      <c r="L214" s="229">
        <v>3.3999999999999998E-3</v>
      </c>
      <c r="M214" s="231">
        <v>2948.6</v>
      </c>
      <c r="N214" s="231">
        <v>2943.8</v>
      </c>
      <c r="O214" s="228">
        <v>4.8</v>
      </c>
      <c r="P214" s="229">
        <v>1.6000000000000001E-3</v>
      </c>
      <c r="Q214" s="231">
        <v>2962</v>
      </c>
      <c r="R214" s="231">
        <v>2962.6</v>
      </c>
      <c r="S214" s="228">
        <v>-0.6</v>
      </c>
      <c r="T214" s="229">
        <v>-2.0000000000000001E-4</v>
      </c>
      <c r="U214" s="228">
        <v>0</v>
      </c>
      <c r="V214" s="228">
        <v>0</v>
      </c>
      <c r="W214" s="228">
        <v>0</v>
      </c>
      <c r="X214" s="229">
        <v>0</v>
      </c>
      <c r="Y214" s="228">
        <v>-0.9</v>
      </c>
      <c r="Z214" s="228">
        <v>4.4000000000000004</v>
      </c>
      <c r="AA214" s="228">
        <v>-5.3</v>
      </c>
      <c r="AB214" s="229">
        <v>-2.9999999999999997E-4</v>
      </c>
      <c r="AC214" s="228">
        <v>-0.9</v>
      </c>
      <c r="AD214" s="228">
        <v>4.4000000000000004</v>
      </c>
      <c r="AE214" s="228">
        <v>-5.3</v>
      </c>
      <c r="AF214" s="229">
        <v>-2.9999999999999997E-4</v>
      </c>
      <c r="AG214" s="228">
        <v>12.5</v>
      </c>
      <c r="AH214" s="228">
        <v>23.2</v>
      </c>
      <c r="AI214" s="228">
        <v>-10.7</v>
      </c>
      <c r="AJ214" s="229">
        <v>4.1999999999999997E-3</v>
      </c>
      <c r="AK214" s="228">
        <v>0</v>
      </c>
      <c r="AL214" s="228">
        <v>0</v>
      </c>
      <c r="AM214" s="228">
        <v>0</v>
      </c>
      <c r="AN214" s="229">
        <v>0</v>
      </c>
      <c r="AO214" s="231">
        <v>2973.18</v>
      </c>
      <c r="AP214" s="231">
        <v>2990.49</v>
      </c>
      <c r="AQ214" s="228">
        <v>0</v>
      </c>
      <c r="AR214" s="230">
        <v>297000</v>
      </c>
      <c r="AS214" s="230">
        <v>326800</v>
      </c>
      <c r="AT214" s="230">
        <v>-29800</v>
      </c>
      <c r="AU214" s="229">
        <v>-9.1200000000000003E-2</v>
      </c>
      <c r="AV214" s="230">
        <v>243800</v>
      </c>
      <c r="AW214" s="230">
        <v>305400</v>
      </c>
      <c r="AX214" s="230">
        <v>-61600</v>
      </c>
      <c r="AY214" s="229">
        <v>-0.20169999999999999</v>
      </c>
      <c r="AZ214" s="230">
        <v>52600</v>
      </c>
      <c r="BA214" s="230">
        <v>21000</v>
      </c>
      <c r="BB214" s="230">
        <v>31600</v>
      </c>
      <c r="BC214" s="229">
        <v>1.5047999999999999</v>
      </c>
      <c r="BD214" s="228">
        <v>0</v>
      </c>
      <c r="BE214" s="228">
        <v>0</v>
      </c>
      <c r="BF214" s="228">
        <v>0</v>
      </c>
      <c r="BG214" s="229">
        <v>0</v>
      </c>
      <c r="BH214" s="230">
        <v>1422200</v>
      </c>
      <c r="BI214" s="230">
        <v>528800</v>
      </c>
      <c r="BJ214" s="230">
        <v>893400</v>
      </c>
      <c r="BK214" s="229">
        <v>1.6895</v>
      </c>
      <c r="BL214" s="230">
        <v>239000</v>
      </c>
      <c r="BM214" s="230">
        <v>79000</v>
      </c>
      <c r="BN214" s="230">
        <v>160000</v>
      </c>
      <c r="BO214" s="229">
        <v>2.0253000000000001</v>
      </c>
      <c r="BP214" s="230">
        <v>1958200</v>
      </c>
      <c r="BQ214" s="230">
        <v>934600</v>
      </c>
      <c r="BR214" s="230">
        <v>1023600</v>
      </c>
      <c r="BS214" s="229">
        <v>1.0952</v>
      </c>
      <c r="BT214" s="230">
        <v>256452</v>
      </c>
      <c r="BU214" s="230">
        <v>295337</v>
      </c>
      <c r="BV214" s="230">
        <v>-38885</v>
      </c>
      <c r="BW214" s="229">
        <v>-0.13170000000000001</v>
      </c>
      <c r="BX214" s="230">
        <v>1836200</v>
      </c>
      <c r="BY214" s="230">
        <v>1870000</v>
      </c>
      <c r="BZ214" s="230">
        <v>-33800</v>
      </c>
      <c r="CA214" s="229">
        <v>-1.8100000000000002E-2</v>
      </c>
      <c r="CB214" s="230">
        <v>1764600</v>
      </c>
      <c r="CC214" s="230">
        <v>1805800</v>
      </c>
      <c r="CD214" s="230">
        <v>-41200</v>
      </c>
      <c r="CE214" s="229">
        <v>-2.2800000000000001E-2</v>
      </c>
      <c r="CF214" s="230">
        <v>65000</v>
      </c>
      <c r="CG214" s="230">
        <v>57800</v>
      </c>
      <c r="CH214" s="230">
        <v>7200</v>
      </c>
      <c r="CI214" s="229">
        <v>0.1246</v>
      </c>
      <c r="CJ214" s="228">
        <v>0</v>
      </c>
      <c r="CK214" s="228">
        <v>0</v>
      </c>
      <c r="CL214" s="228">
        <v>0</v>
      </c>
      <c r="CM214" s="229">
        <v>0</v>
      </c>
      <c r="CN214" s="230">
        <v>739800</v>
      </c>
      <c r="CO214" s="230">
        <v>642600</v>
      </c>
      <c r="CP214" s="230">
        <v>97200</v>
      </c>
      <c r="CQ214" s="229">
        <v>0.15129999999999999</v>
      </c>
      <c r="CR214" s="230">
        <v>391200</v>
      </c>
      <c r="CS214" s="230">
        <v>398600</v>
      </c>
      <c r="CT214" s="230">
        <v>-7400</v>
      </c>
      <c r="CU214" s="229">
        <v>-1.8599999999999998E-2</v>
      </c>
      <c r="CV214" s="230">
        <v>2967200</v>
      </c>
      <c r="CW214" s="230">
        <v>2911200</v>
      </c>
      <c r="CX214" s="230">
        <v>56000</v>
      </c>
      <c r="CY214" s="229">
        <v>1.9199999999999998E-2</v>
      </c>
      <c r="CZ214" s="228">
        <v>36.36</v>
      </c>
      <c r="DA214" s="228">
        <v>35.909999999999997</v>
      </c>
      <c r="DB214" s="228">
        <v>0.45</v>
      </c>
      <c r="DC214" s="228">
        <v>0.45</v>
      </c>
      <c r="DD214" s="228">
        <v>44.92</v>
      </c>
      <c r="DE214" s="228">
        <v>45.03</v>
      </c>
      <c r="DF214" s="228">
        <v>-8.56</v>
      </c>
      <c r="DG214" s="228">
        <v>-0.11</v>
      </c>
      <c r="DH214" s="228">
        <v>36.46</v>
      </c>
      <c r="DI214" s="228">
        <v>35.950000000000003</v>
      </c>
      <c r="DJ214" s="228">
        <v>0.51</v>
      </c>
      <c r="DK214" s="228">
        <v>0.51</v>
      </c>
      <c r="DL214" s="228">
        <v>35.729999999999997</v>
      </c>
      <c r="DM214" s="228">
        <v>35.590000000000003</v>
      </c>
      <c r="DN214" s="228">
        <v>0.14000000000000001</v>
      </c>
      <c r="DO214" s="228">
        <v>0.14000000000000001</v>
      </c>
      <c r="DP214" s="228">
        <v>0.53</v>
      </c>
      <c r="DQ214" s="228">
        <v>0.62</v>
      </c>
      <c r="DR214" s="228">
        <v>-0.09</v>
      </c>
      <c r="DS214" s="229">
        <v>-0.1452</v>
      </c>
      <c r="DT214" s="231">
        <v>3000</v>
      </c>
      <c r="DU214" s="231">
        <v>3000</v>
      </c>
      <c r="DV214" s="228">
        <v>0.17</v>
      </c>
      <c r="DW214" s="228">
        <v>0.15</v>
      </c>
      <c r="DX214" s="228">
        <v>0.02</v>
      </c>
      <c r="DY214" s="229">
        <v>0.1333</v>
      </c>
      <c r="DZ214" s="229">
        <v>3.5400000000000001E-2</v>
      </c>
      <c r="EA214" s="230">
        <v>57800</v>
      </c>
      <c r="EB214" s="229">
        <v>4.4999999999999997E-3</v>
      </c>
      <c r="EC214" s="229">
        <v>3.5400000000000001E-2</v>
      </c>
      <c r="ED214" s="228">
        <v>17.309999999999999</v>
      </c>
      <c r="EE214" s="229">
        <v>5.7999999999999996E-3</v>
      </c>
      <c r="EF214" s="230">
        <v>121058</v>
      </c>
      <c r="EG214" s="230">
        <v>208520</v>
      </c>
      <c r="EH214" s="229">
        <v>-0.4194</v>
      </c>
      <c r="EI214" s="229">
        <v>0.47199999999999998</v>
      </c>
      <c r="EJ214" s="231">
        <v>43861.21</v>
      </c>
      <c r="EK214" s="231">
        <v>6982.9</v>
      </c>
      <c r="EL214" s="231">
        <v>8839.7199999999993</v>
      </c>
      <c r="EM214" s="228">
        <v>0</v>
      </c>
      <c r="EN214" s="231">
        <v>59683.83</v>
      </c>
      <c r="EO214" s="231">
        <v>28577.56</v>
      </c>
      <c r="EP214" s="231">
        <v>31106.27</v>
      </c>
      <c r="EQ214" s="229">
        <v>1.0885</v>
      </c>
      <c r="ER214" s="231">
        <v>23007</v>
      </c>
      <c r="ES214" s="231">
        <v>11270</v>
      </c>
      <c r="ET214" s="231">
        <v>54154</v>
      </c>
      <c r="EU214" s="231">
        <v>21630854</v>
      </c>
      <c r="EV214" s="231">
        <v>88431</v>
      </c>
      <c r="EW214" s="231">
        <v>86641</v>
      </c>
      <c r="EX214" s="231">
        <v>1790</v>
      </c>
      <c r="EY214" s="229">
        <v>2.07E-2</v>
      </c>
      <c r="EZ214" s="229">
        <v>0.13719999999999999</v>
      </c>
      <c r="FA214" s="227" t="s">
        <v>556</v>
      </c>
      <c r="FB214" s="161">
        <f t="shared" si="5"/>
        <v>0</v>
      </c>
    </row>
    <row r="215" spans="1:158" ht="17.25" thickBot="1" x14ac:dyDescent="0.3">
      <c r="A215" s="226">
        <v>45860</v>
      </c>
      <c r="B215" s="227" t="s">
        <v>184</v>
      </c>
      <c r="C215" s="227" t="s">
        <v>664</v>
      </c>
      <c r="D215" s="228">
        <v>725</v>
      </c>
      <c r="E215" s="228">
        <v>927.1</v>
      </c>
      <c r="F215" s="228">
        <v>940.7</v>
      </c>
      <c r="G215" s="228">
        <v>-13.6</v>
      </c>
      <c r="H215" s="229">
        <v>-1.4500000000000001E-2</v>
      </c>
      <c r="I215" s="228">
        <v>925.3</v>
      </c>
      <c r="J215" s="228">
        <v>937.35</v>
      </c>
      <c r="K215" s="228">
        <v>-12.05</v>
      </c>
      <c r="L215" s="229">
        <v>-1.29E-2</v>
      </c>
      <c r="M215" s="228">
        <v>927.1</v>
      </c>
      <c r="N215" s="228">
        <v>940.7</v>
      </c>
      <c r="O215" s="228">
        <v>-13.6</v>
      </c>
      <c r="P215" s="229">
        <v>-1.4500000000000001E-2</v>
      </c>
      <c r="Q215" s="228">
        <v>930.75</v>
      </c>
      <c r="R215" s="228">
        <v>944.5</v>
      </c>
      <c r="S215" s="228">
        <v>-13.75</v>
      </c>
      <c r="T215" s="229">
        <v>-1.46E-2</v>
      </c>
      <c r="U215" s="228">
        <v>0</v>
      </c>
      <c r="V215" s="228">
        <v>0</v>
      </c>
      <c r="W215" s="228">
        <v>0</v>
      </c>
      <c r="X215" s="229">
        <v>0</v>
      </c>
      <c r="Y215" s="228">
        <v>1.8</v>
      </c>
      <c r="Z215" s="228">
        <v>3.35</v>
      </c>
      <c r="AA215" s="228">
        <v>-1.55</v>
      </c>
      <c r="AB215" s="229">
        <v>1.9E-3</v>
      </c>
      <c r="AC215" s="228">
        <v>1.8</v>
      </c>
      <c r="AD215" s="228">
        <v>3.35</v>
      </c>
      <c r="AE215" s="228">
        <v>-1.55</v>
      </c>
      <c r="AF215" s="229">
        <v>1.9E-3</v>
      </c>
      <c r="AG215" s="228">
        <v>5.45</v>
      </c>
      <c r="AH215" s="228">
        <v>7.15</v>
      </c>
      <c r="AI215" s="228">
        <v>-1.7</v>
      </c>
      <c r="AJ215" s="229">
        <v>5.8999999999999999E-3</v>
      </c>
      <c r="AK215" s="228">
        <v>0</v>
      </c>
      <c r="AL215" s="228">
        <v>0</v>
      </c>
      <c r="AM215" s="228">
        <v>0</v>
      </c>
      <c r="AN215" s="229">
        <v>0</v>
      </c>
      <c r="AO215" s="228">
        <v>936.93</v>
      </c>
      <c r="AP215" s="228">
        <v>940.95</v>
      </c>
      <c r="AQ215" s="228">
        <v>0</v>
      </c>
      <c r="AR215" s="230">
        <v>1153475</v>
      </c>
      <c r="AS215" s="230">
        <v>1308625</v>
      </c>
      <c r="AT215" s="230">
        <v>-155150</v>
      </c>
      <c r="AU215" s="229">
        <v>-0.1186</v>
      </c>
      <c r="AV215" s="230">
        <v>896825</v>
      </c>
      <c r="AW215" s="230">
        <v>1141150</v>
      </c>
      <c r="AX215" s="230">
        <v>-244325</v>
      </c>
      <c r="AY215" s="229">
        <v>-0.21410000000000001</v>
      </c>
      <c r="AZ215" s="230">
        <v>238525</v>
      </c>
      <c r="BA215" s="230">
        <v>159500</v>
      </c>
      <c r="BB215" s="230">
        <v>79025</v>
      </c>
      <c r="BC215" s="229">
        <v>0.4955</v>
      </c>
      <c r="BD215" s="228">
        <v>0</v>
      </c>
      <c r="BE215" s="228">
        <v>0</v>
      </c>
      <c r="BF215" s="228">
        <v>0</v>
      </c>
      <c r="BG215" s="229">
        <v>0</v>
      </c>
      <c r="BH215" s="230">
        <v>2169200</v>
      </c>
      <c r="BI215" s="230">
        <v>3688075</v>
      </c>
      <c r="BJ215" s="230">
        <v>-1518875</v>
      </c>
      <c r="BK215" s="229">
        <v>-0.4118</v>
      </c>
      <c r="BL215" s="230">
        <v>507500</v>
      </c>
      <c r="BM215" s="230">
        <v>1050525</v>
      </c>
      <c r="BN215" s="230">
        <v>-543025</v>
      </c>
      <c r="BO215" s="229">
        <v>-0.51690000000000003</v>
      </c>
      <c r="BP215" s="230">
        <v>3830175</v>
      </c>
      <c r="BQ215" s="230">
        <v>6047225</v>
      </c>
      <c r="BR215" s="230">
        <v>-2217050</v>
      </c>
      <c r="BS215" s="229">
        <v>-0.36659999999999998</v>
      </c>
      <c r="BT215" s="230">
        <v>834911</v>
      </c>
      <c r="BU215" s="230">
        <v>1071046</v>
      </c>
      <c r="BV215" s="230">
        <v>-236135</v>
      </c>
      <c r="BW215" s="229">
        <v>-0.2205</v>
      </c>
      <c r="BX215" s="230">
        <v>8256300</v>
      </c>
      <c r="BY215" s="230">
        <v>7956150</v>
      </c>
      <c r="BZ215" s="230">
        <v>300150</v>
      </c>
      <c r="CA215" s="229">
        <v>3.7699999999999997E-2</v>
      </c>
      <c r="CB215" s="230">
        <v>7032500</v>
      </c>
      <c r="CC215" s="230">
        <v>6834575</v>
      </c>
      <c r="CD215" s="230">
        <v>197925</v>
      </c>
      <c r="CE215" s="229">
        <v>2.9000000000000001E-2</v>
      </c>
      <c r="CF215" s="230">
        <v>1158550</v>
      </c>
      <c r="CG215" s="230">
        <v>1069375</v>
      </c>
      <c r="CH215" s="230">
        <v>89175</v>
      </c>
      <c r="CI215" s="229">
        <v>8.3400000000000002E-2</v>
      </c>
      <c r="CJ215" s="228">
        <v>0</v>
      </c>
      <c r="CK215" s="228">
        <v>0</v>
      </c>
      <c r="CL215" s="228">
        <v>0</v>
      </c>
      <c r="CM215" s="229">
        <v>0</v>
      </c>
      <c r="CN215" s="230">
        <v>3103725</v>
      </c>
      <c r="CO215" s="230">
        <v>3061675</v>
      </c>
      <c r="CP215" s="230">
        <v>42050</v>
      </c>
      <c r="CQ215" s="229">
        <v>1.37E-2</v>
      </c>
      <c r="CR215" s="230">
        <v>1817575</v>
      </c>
      <c r="CS215" s="230">
        <v>1846575</v>
      </c>
      <c r="CT215" s="230">
        <v>-29000</v>
      </c>
      <c r="CU215" s="229">
        <v>-1.5699999999999999E-2</v>
      </c>
      <c r="CV215" s="230">
        <v>13177600</v>
      </c>
      <c r="CW215" s="230">
        <v>12864400</v>
      </c>
      <c r="CX215" s="230">
        <v>313200</v>
      </c>
      <c r="CY215" s="229">
        <v>2.4299999999999999E-2</v>
      </c>
      <c r="CZ215" s="228">
        <v>40.18</v>
      </c>
      <c r="DA215" s="228">
        <v>40.97</v>
      </c>
      <c r="DB215" s="228">
        <v>-0.79</v>
      </c>
      <c r="DC215" s="228">
        <v>-0.79</v>
      </c>
      <c r="DD215" s="228">
        <v>60.18</v>
      </c>
      <c r="DE215" s="228">
        <v>60.3</v>
      </c>
      <c r="DF215" s="228">
        <v>-20</v>
      </c>
      <c r="DG215" s="228">
        <v>-0.12</v>
      </c>
      <c r="DH215" s="228">
        <v>40.47</v>
      </c>
      <c r="DI215" s="228">
        <v>40.630000000000003</v>
      </c>
      <c r="DJ215" s="228">
        <v>-0.16</v>
      </c>
      <c r="DK215" s="228">
        <v>-0.16</v>
      </c>
      <c r="DL215" s="228">
        <v>38.950000000000003</v>
      </c>
      <c r="DM215" s="228">
        <v>42.17</v>
      </c>
      <c r="DN215" s="228">
        <v>-3.22</v>
      </c>
      <c r="DO215" s="228">
        <v>-3.22</v>
      </c>
      <c r="DP215" s="228">
        <v>0.59</v>
      </c>
      <c r="DQ215" s="228">
        <v>0.6</v>
      </c>
      <c r="DR215" s="228">
        <v>-0.01</v>
      </c>
      <c r="DS215" s="229">
        <v>-1.67E-2</v>
      </c>
      <c r="DT215" s="231">
        <v>1000</v>
      </c>
      <c r="DU215" s="228">
        <v>900</v>
      </c>
      <c r="DV215" s="228">
        <v>0.23</v>
      </c>
      <c r="DW215" s="228">
        <v>0.28000000000000003</v>
      </c>
      <c r="DX215" s="228">
        <v>-0.05</v>
      </c>
      <c r="DY215" s="229">
        <v>-0.17860000000000001</v>
      </c>
      <c r="DZ215" s="229">
        <v>0.14030000000000001</v>
      </c>
      <c r="EA215" s="230">
        <v>1069375</v>
      </c>
      <c r="EB215" s="229">
        <v>3.8999999999999998E-3</v>
      </c>
      <c r="EC215" s="229">
        <v>0.14030000000000001</v>
      </c>
      <c r="ED215" s="228">
        <v>4.0199999999999996</v>
      </c>
      <c r="EE215" s="229">
        <v>4.3E-3</v>
      </c>
      <c r="EF215" s="230">
        <v>250627</v>
      </c>
      <c r="EG215" s="230">
        <v>227304</v>
      </c>
      <c r="EH215" s="229">
        <v>0.1026</v>
      </c>
      <c r="EI215" s="229">
        <v>0.30020000000000002</v>
      </c>
      <c r="EJ215" s="231">
        <v>21627.13</v>
      </c>
      <c r="EK215" s="231">
        <v>4566.4399999999996</v>
      </c>
      <c r="EL215" s="231">
        <v>10818.16</v>
      </c>
      <c r="EM215" s="228">
        <v>0</v>
      </c>
      <c r="EN215" s="231">
        <v>37011.730000000003</v>
      </c>
      <c r="EO215" s="231">
        <v>58328.84</v>
      </c>
      <c r="EP215" s="231">
        <v>-21317.11</v>
      </c>
      <c r="EQ215" s="229">
        <v>-0.36549999999999999</v>
      </c>
      <c r="ER215" s="231">
        <v>30599</v>
      </c>
      <c r="ES215" s="231">
        <v>16265</v>
      </c>
      <c r="ET215" s="231">
        <v>76591</v>
      </c>
      <c r="EU215" s="231">
        <v>16037381</v>
      </c>
      <c r="EV215" s="231">
        <v>123455</v>
      </c>
      <c r="EW215" s="231">
        <v>121588</v>
      </c>
      <c r="EX215" s="231">
        <v>1867</v>
      </c>
      <c r="EY215" s="229">
        <v>1.54E-2</v>
      </c>
      <c r="EZ215" s="229">
        <v>0.82169999999999999</v>
      </c>
      <c r="FA215" s="227" t="s">
        <v>567</v>
      </c>
      <c r="FB215" s="161">
        <f t="shared" si="5"/>
        <v>0</v>
      </c>
    </row>
    <row r="216" spans="1:158" ht="17.25" thickBot="1" x14ac:dyDescent="0.3">
      <c r="A216" s="226">
        <v>45860</v>
      </c>
      <c r="B216" s="227" t="s">
        <v>168</v>
      </c>
      <c r="C216" s="227" t="s">
        <v>297</v>
      </c>
      <c r="D216" s="228">
        <v>175</v>
      </c>
      <c r="E216" s="231">
        <v>3473.5</v>
      </c>
      <c r="F216" s="231">
        <v>3439.3</v>
      </c>
      <c r="G216" s="228">
        <v>34.200000000000003</v>
      </c>
      <c r="H216" s="229">
        <v>9.9000000000000008E-3</v>
      </c>
      <c r="I216" s="231">
        <v>3472.4</v>
      </c>
      <c r="J216" s="231">
        <v>3433</v>
      </c>
      <c r="K216" s="228">
        <v>39.4</v>
      </c>
      <c r="L216" s="229">
        <v>1.15E-2</v>
      </c>
      <c r="M216" s="231">
        <v>3473.5</v>
      </c>
      <c r="N216" s="231">
        <v>3439.3</v>
      </c>
      <c r="O216" s="228">
        <v>34.200000000000003</v>
      </c>
      <c r="P216" s="229">
        <v>9.9000000000000008E-3</v>
      </c>
      <c r="Q216" s="231">
        <v>3490.7</v>
      </c>
      <c r="R216" s="231">
        <v>3456.6</v>
      </c>
      <c r="S216" s="228">
        <v>34.1</v>
      </c>
      <c r="T216" s="229">
        <v>9.9000000000000008E-3</v>
      </c>
      <c r="U216" s="228">
        <v>0</v>
      </c>
      <c r="V216" s="228">
        <v>0</v>
      </c>
      <c r="W216" s="228">
        <v>0</v>
      </c>
      <c r="X216" s="229">
        <v>0</v>
      </c>
      <c r="Y216" s="228">
        <v>1.1000000000000001</v>
      </c>
      <c r="Z216" s="228">
        <v>6.3</v>
      </c>
      <c r="AA216" s="228">
        <v>-5.2</v>
      </c>
      <c r="AB216" s="229">
        <v>2.9999999999999997E-4</v>
      </c>
      <c r="AC216" s="228">
        <v>1.1000000000000001</v>
      </c>
      <c r="AD216" s="228">
        <v>6.3</v>
      </c>
      <c r="AE216" s="228">
        <v>-5.2</v>
      </c>
      <c r="AF216" s="229">
        <v>2.9999999999999997E-4</v>
      </c>
      <c r="AG216" s="228">
        <v>18.3</v>
      </c>
      <c r="AH216" s="228">
        <v>23.6</v>
      </c>
      <c r="AI216" s="228">
        <v>-5.3</v>
      </c>
      <c r="AJ216" s="229">
        <v>5.3E-3</v>
      </c>
      <c r="AK216" s="228">
        <v>0</v>
      </c>
      <c r="AL216" s="228">
        <v>0</v>
      </c>
      <c r="AM216" s="228">
        <v>0</v>
      </c>
      <c r="AN216" s="229">
        <v>0</v>
      </c>
      <c r="AO216" s="231">
        <v>3471.47</v>
      </c>
      <c r="AP216" s="231">
        <v>3489.9</v>
      </c>
      <c r="AQ216" s="228">
        <v>0</v>
      </c>
      <c r="AR216" s="230">
        <v>2285850</v>
      </c>
      <c r="AS216" s="230">
        <v>1295000</v>
      </c>
      <c r="AT216" s="230">
        <v>990850</v>
      </c>
      <c r="AU216" s="229">
        <v>0.7651</v>
      </c>
      <c r="AV216" s="230">
        <v>1983975</v>
      </c>
      <c r="AW216" s="230">
        <v>1120700</v>
      </c>
      <c r="AX216" s="230">
        <v>863275</v>
      </c>
      <c r="AY216" s="229">
        <v>0.77029999999999998</v>
      </c>
      <c r="AZ216" s="230">
        <v>281400</v>
      </c>
      <c r="BA216" s="230">
        <v>158375</v>
      </c>
      <c r="BB216" s="230">
        <v>123025</v>
      </c>
      <c r="BC216" s="229">
        <v>0.77680000000000005</v>
      </c>
      <c r="BD216" s="228">
        <v>0</v>
      </c>
      <c r="BE216" s="228">
        <v>0</v>
      </c>
      <c r="BF216" s="228">
        <v>0</v>
      </c>
      <c r="BG216" s="229">
        <v>0</v>
      </c>
      <c r="BH216" s="230">
        <v>16388050</v>
      </c>
      <c r="BI216" s="230">
        <v>6373150</v>
      </c>
      <c r="BJ216" s="230">
        <v>10014900</v>
      </c>
      <c r="BK216" s="229">
        <v>1.5713999999999999</v>
      </c>
      <c r="BL216" s="230">
        <v>5627125</v>
      </c>
      <c r="BM216" s="230">
        <v>2567600</v>
      </c>
      <c r="BN216" s="230">
        <v>3059525</v>
      </c>
      <c r="BO216" s="229">
        <v>1.1916</v>
      </c>
      <c r="BP216" s="230">
        <v>24301025</v>
      </c>
      <c r="BQ216" s="230">
        <v>10235750</v>
      </c>
      <c r="BR216" s="230">
        <v>14065275</v>
      </c>
      <c r="BS216" s="229">
        <v>1.3741000000000001</v>
      </c>
      <c r="BT216" s="230">
        <v>1846024</v>
      </c>
      <c r="BU216" s="230">
        <v>567979</v>
      </c>
      <c r="BV216" s="230">
        <v>1278045</v>
      </c>
      <c r="BW216" s="229">
        <v>2.2502</v>
      </c>
      <c r="BX216" s="230">
        <v>11095350</v>
      </c>
      <c r="BY216" s="230">
        <v>11592525</v>
      </c>
      <c r="BZ216" s="230">
        <v>-497175</v>
      </c>
      <c r="CA216" s="229">
        <v>-4.2900000000000001E-2</v>
      </c>
      <c r="CB216" s="230">
        <v>10235050</v>
      </c>
      <c r="CC216" s="230">
        <v>10767050</v>
      </c>
      <c r="CD216" s="230">
        <v>-532000</v>
      </c>
      <c r="CE216" s="229">
        <v>-4.9399999999999999E-2</v>
      </c>
      <c r="CF216" s="230">
        <v>629125</v>
      </c>
      <c r="CG216" s="230">
        <v>593075</v>
      </c>
      <c r="CH216" s="230">
        <v>36050</v>
      </c>
      <c r="CI216" s="229">
        <v>6.08E-2</v>
      </c>
      <c r="CJ216" s="228">
        <v>0</v>
      </c>
      <c r="CK216" s="228">
        <v>0</v>
      </c>
      <c r="CL216" s="228">
        <v>0</v>
      </c>
      <c r="CM216" s="229">
        <v>0</v>
      </c>
      <c r="CN216" s="230">
        <v>6763575</v>
      </c>
      <c r="CO216" s="230">
        <v>7159425</v>
      </c>
      <c r="CP216" s="230">
        <v>-395850</v>
      </c>
      <c r="CQ216" s="229">
        <v>-5.5300000000000002E-2</v>
      </c>
      <c r="CR216" s="230">
        <v>3467625</v>
      </c>
      <c r="CS216" s="230">
        <v>3559500</v>
      </c>
      <c r="CT216" s="230">
        <v>-91875</v>
      </c>
      <c r="CU216" s="229">
        <v>-2.58E-2</v>
      </c>
      <c r="CV216" s="230">
        <v>21326550</v>
      </c>
      <c r="CW216" s="230">
        <v>22311450</v>
      </c>
      <c r="CX216" s="230">
        <v>-984900</v>
      </c>
      <c r="CY216" s="229">
        <v>-4.41E-2</v>
      </c>
      <c r="CZ216" s="228">
        <v>20</v>
      </c>
      <c r="DA216" s="228">
        <v>20.66</v>
      </c>
      <c r="DB216" s="228">
        <v>-0.66</v>
      </c>
      <c r="DC216" s="228">
        <v>-0.66</v>
      </c>
      <c r="DD216" s="228">
        <v>27.54</v>
      </c>
      <c r="DE216" s="228">
        <v>27.57</v>
      </c>
      <c r="DF216" s="228">
        <v>-7.54</v>
      </c>
      <c r="DG216" s="228">
        <v>-0.03</v>
      </c>
      <c r="DH216" s="228">
        <v>20.010000000000002</v>
      </c>
      <c r="DI216" s="228">
        <v>20.86</v>
      </c>
      <c r="DJ216" s="228">
        <v>-0.85</v>
      </c>
      <c r="DK216" s="228">
        <v>-0.85</v>
      </c>
      <c r="DL216" s="228">
        <v>19.96</v>
      </c>
      <c r="DM216" s="228">
        <v>20.16</v>
      </c>
      <c r="DN216" s="228">
        <v>-0.2</v>
      </c>
      <c r="DO216" s="228">
        <v>-0.2</v>
      </c>
      <c r="DP216" s="228">
        <v>0.51</v>
      </c>
      <c r="DQ216" s="228">
        <v>0.5</v>
      </c>
      <c r="DR216" s="228">
        <v>0.01</v>
      </c>
      <c r="DS216" s="229">
        <v>0.02</v>
      </c>
      <c r="DT216" s="231">
        <v>3500</v>
      </c>
      <c r="DU216" s="231">
        <v>3400</v>
      </c>
      <c r="DV216" s="228">
        <v>0.34</v>
      </c>
      <c r="DW216" s="228">
        <v>0.4</v>
      </c>
      <c r="DX216" s="228">
        <v>-0.06</v>
      </c>
      <c r="DY216" s="229">
        <v>-0.15</v>
      </c>
      <c r="DZ216" s="229">
        <v>5.67E-2</v>
      </c>
      <c r="EA216" s="230">
        <v>593075</v>
      </c>
      <c r="EB216" s="229">
        <v>5.0000000000000001E-3</v>
      </c>
      <c r="EC216" s="229">
        <v>5.67E-2</v>
      </c>
      <c r="ED216" s="228">
        <v>18.43</v>
      </c>
      <c r="EE216" s="229">
        <v>5.3E-3</v>
      </c>
      <c r="EF216" s="230">
        <v>1011501</v>
      </c>
      <c r="EG216" s="230">
        <v>313148</v>
      </c>
      <c r="EH216" s="229">
        <v>2.2301000000000002</v>
      </c>
      <c r="EI216" s="229">
        <v>0.54790000000000005</v>
      </c>
      <c r="EJ216" s="231">
        <v>583936.26</v>
      </c>
      <c r="EK216" s="231">
        <v>192977.29</v>
      </c>
      <c r="EL216" s="231">
        <v>79411.05</v>
      </c>
      <c r="EM216" s="228">
        <v>0</v>
      </c>
      <c r="EN216" s="231">
        <v>856324.6</v>
      </c>
      <c r="EO216" s="231">
        <v>356928.02</v>
      </c>
      <c r="EP216" s="231">
        <v>499396.58</v>
      </c>
      <c r="EQ216" s="229">
        <v>1.3992</v>
      </c>
      <c r="ER216" s="231">
        <v>247611</v>
      </c>
      <c r="ES216" s="231">
        <v>118347</v>
      </c>
      <c r="ET216" s="231">
        <v>385587</v>
      </c>
      <c r="EU216" s="231">
        <v>83488668</v>
      </c>
      <c r="EV216" s="231">
        <v>751545</v>
      </c>
      <c r="EW216" s="231">
        <v>781135</v>
      </c>
      <c r="EX216" s="231">
        <v>-29590</v>
      </c>
      <c r="EY216" s="229">
        <v>-3.7900000000000003E-2</v>
      </c>
      <c r="EZ216" s="229">
        <v>0.25540000000000002</v>
      </c>
      <c r="FA216" s="227" t="s">
        <v>556</v>
      </c>
      <c r="FB216" s="161">
        <f t="shared" si="5"/>
        <v>0</v>
      </c>
    </row>
    <row r="217" spans="1:158" ht="17.25" thickBot="1" x14ac:dyDescent="0.3">
      <c r="A217" s="226">
        <v>45860</v>
      </c>
      <c r="B217" s="227" t="s">
        <v>170</v>
      </c>
      <c r="C217" s="227" t="s">
        <v>298</v>
      </c>
      <c r="D217" s="228">
        <v>250</v>
      </c>
      <c r="E217" s="231">
        <v>3507.9</v>
      </c>
      <c r="F217" s="231">
        <v>3534.8</v>
      </c>
      <c r="G217" s="228">
        <v>-26.9</v>
      </c>
      <c r="H217" s="229">
        <v>-7.6E-3</v>
      </c>
      <c r="I217" s="231">
        <v>3503.5</v>
      </c>
      <c r="J217" s="231">
        <v>3524</v>
      </c>
      <c r="K217" s="228">
        <v>-20.5</v>
      </c>
      <c r="L217" s="229">
        <v>-5.7999999999999996E-3</v>
      </c>
      <c r="M217" s="231">
        <v>3507.9</v>
      </c>
      <c r="N217" s="231">
        <v>3534.8</v>
      </c>
      <c r="O217" s="228">
        <v>-26.9</v>
      </c>
      <c r="P217" s="229">
        <v>-7.6E-3</v>
      </c>
      <c r="Q217" s="231">
        <v>3522.9</v>
      </c>
      <c r="R217" s="231">
        <v>3546.6</v>
      </c>
      <c r="S217" s="228">
        <v>-23.7</v>
      </c>
      <c r="T217" s="229">
        <v>-6.7000000000000002E-3</v>
      </c>
      <c r="U217" s="228">
        <v>0</v>
      </c>
      <c r="V217" s="228">
        <v>0</v>
      </c>
      <c r="W217" s="228">
        <v>0</v>
      </c>
      <c r="X217" s="229">
        <v>0</v>
      </c>
      <c r="Y217" s="228">
        <v>4.4000000000000004</v>
      </c>
      <c r="Z217" s="228">
        <v>10.8</v>
      </c>
      <c r="AA217" s="228">
        <v>-6.4</v>
      </c>
      <c r="AB217" s="229">
        <v>1.2999999999999999E-3</v>
      </c>
      <c r="AC217" s="228">
        <v>4.4000000000000004</v>
      </c>
      <c r="AD217" s="228">
        <v>10.8</v>
      </c>
      <c r="AE217" s="228">
        <v>-6.4</v>
      </c>
      <c r="AF217" s="229">
        <v>1.2999999999999999E-3</v>
      </c>
      <c r="AG217" s="228">
        <v>19.399999999999999</v>
      </c>
      <c r="AH217" s="228">
        <v>22.6</v>
      </c>
      <c r="AI217" s="228">
        <v>-3.2</v>
      </c>
      <c r="AJ217" s="229">
        <v>5.4999999999999997E-3</v>
      </c>
      <c r="AK217" s="228">
        <v>0</v>
      </c>
      <c r="AL217" s="228">
        <v>0</v>
      </c>
      <c r="AM217" s="228">
        <v>0</v>
      </c>
      <c r="AN217" s="229">
        <v>0</v>
      </c>
      <c r="AO217" s="231">
        <v>3498.69</v>
      </c>
      <c r="AP217" s="231">
        <v>3510.81</v>
      </c>
      <c r="AQ217" s="228">
        <v>0</v>
      </c>
      <c r="AR217" s="230">
        <v>385000</v>
      </c>
      <c r="AS217" s="230">
        <v>250000</v>
      </c>
      <c r="AT217" s="230">
        <v>135000</v>
      </c>
      <c r="AU217" s="229">
        <v>0.54</v>
      </c>
      <c r="AV217" s="230">
        <v>343750</v>
      </c>
      <c r="AW217" s="230">
        <v>224000</v>
      </c>
      <c r="AX217" s="230">
        <v>119750</v>
      </c>
      <c r="AY217" s="229">
        <v>0.53459999999999996</v>
      </c>
      <c r="AZ217" s="230">
        <v>38500</v>
      </c>
      <c r="BA217" s="230">
        <v>24250</v>
      </c>
      <c r="BB217" s="230">
        <v>14250</v>
      </c>
      <c r="BC217" s="229">
        <v>0.58760000000000001</v>
      </c>
      <c r="BD217" s="228">
        <v>0</v>
      </c>
      <c r="BE217" s="228">
        <v>0</v>
      </c>
      <c r="BF217" s="228">
        <v>0</v>
      </c>
      <c r="BG217" s="229">
        <v>0</v>
      </c>
      <c r="BH217" s="230">
        <v>890750</v>
      </c>
      <c r="BI217" s="230">
        <v>672000</v>
      </c>
      <c r="BJ217" s="230">
        <v>218750</v>
      </c>
      <c r="BK217" s="229">
        <v>0.32550000000000001</v>
      </c>
      <c r="BL217" s="230">
        <v>491000</v>
      </c>
      <c r="BM217" s="230">
        <v>235500</v>
      </c>
      <c r="BN217" s="230">
        <v>255500</v>
      </c>
      <c r="BO217" s="229">
        <v>1.0849</v>
      </c>
      <c r="BP217" s="230">
        <v>1766750</v>
      </c>
      <c r="BQ217" s="230">
        <v>1157500</v>
      </c>
      <c r="BR217" s="230">
        <v>609250</v>
      </c>
      <c r="BS217" s="229">
        <v>0.52629999999999999</v>
      </c>
      <c r="BT217" s="230">
        <v>562096</v>
      </c>
      <c r="BU217" s="230">
        <v>500724</v>
      </c>
      <c r="BV217" s="230">
        <v>61372</v>
      </c>
      <c r="BW217" s="229">
        <v>0.1226</v>
      </c>
      <c r="BX217" s="230">
        <v>2352750</v>
      </c>
      <c r="BY217" s="230">
        <v>2415750</v>
      </c>
      <c r="BZ217" s="230">
        <v>-63000</v>
      </c>
      <c r="CA217" s="229">
        <v>-2.6100000000000002E-2</v>
      </c>
      <c r="CB217" s="230">
        <v>2287750</v>
      </c>
      <c r="CC217" s="230">
        <v>2349500</v>
      </c>
      <c r="CD217" s="230">
        <v>-61750</v>
      </c>
      <c r="CE217" s="229">
        <v>-2.63E-2</v>
      </c>
      <c r="CF217" s="230">
        <v>61000</v>
      </c>
      <c r="CG217" s="230">
        <v>62750</v>
      </c>
      <c r="CH217" s="230">
        <v>-1750</v>
      </c>
      <c r="CI217" s="229">
        <v>-2.7900000000000001E-2</v>
      </c>
      <c r="CJ217" s="228">
        <v>0</v>
      </c>
      <c r="CK217" s="228">
        <v>0</v>
      </c>
      <c r="CL217" s="228">
        <v>0</v>
      </c>
      <c r="CM217" s="229">
        <v>0</v>
      </c>
      <c r="CN217" s="230">
        <v>1284750</v>
      </c>
      <c r="CO217" s="230">
        <v>1278500</v>
      </c>
      <c r="CP217" s="230">
        <v>6250</v>
      </c>
      <c r="CQ217" s="229">
        <v>4.8999999999999998E-3</v>
      </c>
      <c r="CR217" s="230">
        <v>644500</v>
      </c>
      <c r="CS217" s="230">
        <v>638750</v>
      </c>
      <c r="CT217" s="230">
        <v>5750</v>
      </c>
      <c r="CU217" s="229">
        <v>8.9999999999999993E-3</v>
      </c>
      <c r="CV217" s="230">
        <v>4282000</v>
      </c>
      <c r="CW217" s="230">
        <v>4333000</v>
      </c>
      <c r="CX217" s="230">
        <v>-51000</v>
      </c>
      <c r="CY217" s="229">
        <v>-1.18E-2</v>
      </c>
      <c r="CZ217" s="228">
        <v>24.07</v>
      </c>
      <c r="DA217" s="228">
        <v>23.68</v>
      </c>
      <c r="DB217" s="228">
        <v>0.39</v>
      </c>
      <c r="DC217" s="228">
        <v>0.39</v>
      </c>
      <c r="DD217" s="228">
        <v>27.32</v>
      </c>
      <c r="DE217" s="228">
        <v>27.38</v>
      </c>
      <c r="DF217" s="228">
        <v>-3.25</v>
      </c>
      <c r="DG217" s="228">
        <v>-0.06</v>
      </c>
      <c r="DH217" s="228">
        <v>24.35</v>
      </c>
      <c r="DI217" s="228">
        <v>23.11</v>
      </c>
      <c r="DJ217" s="228">
        <v>1.24</v>
      </c>
      <c r="DK217" s="228">
        <v>1.24</v>
      </c>
      <c r="DL217" s="228">
        <v>23.56</v>
      </c>
      <c r="DM217" s="228">
        <v>25.33</v>
      </c>
      <c r="DN217" s="228">
        <v>-1.77</v>
      </c>
      <c r="DO217" s="228">
        <v>-1.77</v>
      </c>
      <c r="DP217" s="228">
        <v>0.5</v>
      </c>
      <c r="DQ217" s="228">
        <v>0.5</v>
      </c>
      <c r="DR217" s="228">
        <v>0</v>
      </c>
      <c r="DS217" s="229">
        <v>0</v>
      </c>
      <c r="DT217" s="231">
        <v>3600</v>
      </c>
      <c r="DU217" s="231">
        <v>3400</v>
      </c>
      <c r="DV217" s="228">
        <v>0.55000000000000004</v>
      </c>
      <c r="DW217" s="228">
        <v>0.35</v>
      </c>
      <c r="DX217" s="228">
        <v>0.2</v>
      </c>
      <c r="DY217" s="229">
        <v>0.57140000000000002</v>
      </c>
      <c r="DZ217" s="229">
        <v>2.5899999999999999E-2</v>
      </c>
      <c r="EA217" s="230">
        <v>62750</v>
      </c>
      <c r="EB217" s="229">
        <v>4.3E-3</v>
      </c>
      <c r="EC217" s="229">
        <v>2.5899999999999999E-2</v>
      </c>
      <c r="ED217" s="228">
        <v>12.12</v>
      </c>
      <c r="EE217" s="229">
        <v>3.5000000000000001E-3</v>
      </c>
      <c r="EF217" s="230">
        <v>423607</v>
      </c>
      <c r="EG217" s="230">
        <v>395869</v>
      </c>
      <c r="EH217" s="229">
        <v>7.0099999999999996E-2</v>
      </c>
      <c r="EI217" s="229">
        <v>0.75360000000000005</v>
      </c>
      <c r="EJ217" s="231">
        <v>32515.45</v>
      </c>
      <c r="EK217" s="231">
        <v>16967.77</v>
      </c>
      <c r="EL217" s="231">
        <v>13475.41</v>
      </c>
      <c r="EM217" s="228">
        <v>0</v>
      </c>
      <c r="EN217" s="231">
        <v>62958.63</v>
      </c>
      <c r="EO217" s="231">
        <v>41444.49</v>
      </c>
      <c r="EP217" s="231">
        <v>21514.14</v>
      </c>
      <c r="EQ217" s="229">
        <v>0.51910000000000001</v>
      </c>
      <c r="ER217" s="231">
        <v>45289</v>
      </c>
      <c r="ES217" s="231">
        <v>21226</v>
      </c>
      <c r="ET217" s="231">
        <v>82542</v>
      </c>
      <c r="EU217" s="231">
        <v>21452008</v>
      </c>
      <c r="EV217" s="231">
        <v>149058</v>
      </c>
      <c r="EW217" s="231">
        <v>151481</v>
      </c>
      <c r="EX217" s="231">
        <v>-2423</v>
      </c>
      <c r="EY217" s="229">
        <v>-1.6E-2</v>
      </c>
      <c r="EZ217" s="229">
        <v>0.1996</v>
      </c>
      <c r="FA217" s="227" t="s">
        <v>568</v>
      </c>
      <c r="FB217" s="161">
        <f t="shared" si="5"/>
        <v>0</v>
      </c>
    </row>
    <row r="218" spans="1:158" ht="17.25" thickBot="1" x14ac:dyDescent="0.3">
      <c r="A218" s="226">
        <v>45860</v>
      </c>
      <c r="B218" s="227" t="s">
        <v>161</v>
      </c>
      <c r="C218" s="227" t="s">
        <v>299</v>
      </c>
      <c r="D218" s="228">
        <v>375</v>
      </c>
      <c r="E218" s="231">
        <v>1346.1</v>
      </c>
      <c r="F218" s="231">
        <v>1370.9</v>
      </c>
      <c r="G218" s="228">
        <v>-24.8</v>
      </c>
      <c r="H218" s="229">
        <v>-1.8100000000000002E-2</v>
      </c>
      <c r="I218" s="231">
        <v>1342.8</v>
      </c>
      <c r="J218" s="231">
        <v>1367.6</v>
      </c>
      <c r="K218" s="228">
        <v>-24.8</v>
      </c>
      <c r="L218" s="229">
        <v>-1.8100000000000002E-2</v>
      </c>
      <c r="M218" s="231">
        <v>1346.1</v>
      </c>
      <c r="N218" s="231">
        <v>1370.9</v>
      </c>
      <c r="O218" s="228">
        <v>-24.8</v>
      </c>
      <c r="P218" s="229">
        <v>-1.8100000000000002E-2</v>
      </c>
      <c r="Q218" s="231">
        <v>1352.8</v>
      </c>
      <c r="R218" s="231">
        <v>1378.2</v>
      </c>
      <c r="S218" s="228">
        <v>-25.4</v>
      </c>
      <c r="T218" s="229">
        <v>-1.84E-2</v>
      </c>
      <c r="U218" s="228">
        <v>0</v>
      </c>
      <c r="V218" s="228">
        <v>0</v>
      </c>
      <c r="W218" s="228">
        <v>0</v>
      </c>
      <c r="X218" s="229">
        <v>0</v>
      </c>
      <c r="Y218" s="228">
        <v>3.3</v>
      </c>
      <c r="Z218" s="228">
        <v>3.3</v>
      </c>
      <c r="AA218" s="228">
        <v>0</v>
      </c>
      <c r="AB218" s="229">
        <v>2.5000000000000001E-3</v>
      </c>
      <c r="AC218" s="228">
        <v>3.3</v>
      </c>
      <c r="AD218" s="228">
        <v>3.3</v>
      </c>
      <c r="AE218" s="228">
        <v>0</v>
      </c>
      <c r="AF218" s="229">
        <v>2.5000000000000001E-3</v>
      </c>
      <c r="AG218" s="228">
        <v>10</v>
      </c>
      <c r="AH218" s="228">
        <v>10.6</v>
      </c>
      <c r="AI218" s="228">
        <v>-0.6</v>
      </c>
      <c r="AJ218" s="229">
        <v>7.4000000000000003E-3</v>
      </c>
      <c r="AK218" s="228">
        <v>0</v>
      </c>
      <c r="AL218" s="228">
        <v>0</v>
      </c>
      <c r="AM218" s="228">
        <v>0</v>
      </c>
      <c r="AN218" s="229">
        <v>0</v>
      </c>
      <c r="AO218" s="231">
        <v>1353.74</v>
      </c>
      <c r="AP218" s="231">
        <v>1358.2</v>
      </c>
      <c r="AQ218" s="228">
        <v>0</v>
      </c>
      <c r="AR218" s="230">
        <v>442125</v>
      </c>
      <c r="AS218" s="230">
        <v>309750</v>
      </c>
      <c r="AT218" s="230">
        <v>132375</v>
      </c>
      <c r="AU218" s="229">
        <v>0.4274</v>
      </c>
      <c r="AV218" s="230">
        <v>352875</v>
      </c>
      <c r="AW218" s="230">
        <v>268875</v>
      </c>
      <c r="AX218" s="230">
        <v>84000</v>
      </c>
      <c r="AY218" s="229">
        <v>0.31240000000000001</v>
      </c>
      <c r="AZ218" s="230">
        <v>88125</v>
      </c>
      <c r="BA218" s="230">
        <v>37875</v>
      </c>
      <c r="BB218" s="230">
        <v>50250</v>
      </c>
      <c r="BC218" s="229">
        <v>1.3267</v>
      </c>
      <c r="BD218" s="228">
        <v>0</v>
      </c>
      <c r="BE218" s="228">
        <v>0</v>
      </c>
      <c r="BF218" s="228">
        <v>0</v>
      </c>
      <c r="BG218" s="229">
        <v>0</v>
      </c>
      <c r="BH218" s="230">
        <v>817500</v>
      </c>
      <c r="BI218" s="230">
        <v>1024500</v>
      </c>
      <c r="BJ218" s="230">
        <v>-207000</v>
      </c>
      <c r="BK218" s="229">
        <v>-0.20200000000000001</v>
      </c>
      <c r="BL218" s="230">
        <v>295875</v>
      </c>
      <c r="BM218" s="230">
        <v>650250</v>
      </c>
      <c r="BN218" s="230">
        <v>-354375</v>
      </c>
      <c r="BO218" s="229">
        <v>-0.54500000000000004</v>
      </c>
      <c r="BP218" s="230">
        <v>1555500</v>
      </c>
      <c r="BQ218" s="230">
        <v>1984500</v>
      </c>
      <c r="BR218" s="230">
        <v>-429000</v>
      </c>
      <c r="BS218" s="229">
        <v>-0.2162</v>
      </c>
      <c r="BT218" s="230">
        <v>360174</v>
      </c>
      <c r="BU218" s="230">
        <v>276531</v>
      </c>
      <c r="BV218" s="230">
        <v>83643</v>
      </c>
      <c r="BW218" s="229">
        <v>0.30249999999999999</v>
      </c>
      <c r="BX218" s="230">
        <v>2494875</v>
      </c>
      <c r="BY218" s="230">
        <v>2430750</v>
      </c>
      <c r="BZ218" s="230">
        <v>64125</v>
      </c>
      <c r="CA218" s="229">
        <v>2.64E-2</v>
      </c>
      <c r="CB218" s="230">
        <v>2338500</v>
      </c>
      <c r="CC218" s="230">
        <v>2287125</v>
      </c>
      <c r="CD218" s="230">
        <v>51375</v>
      </c>
      <c r="CE218" s="229">
        <v>2.2499999999999999E-2</v>
      </c>
      <c r="CF218" s="230">
        <v>147375</v>
      </c>
      <c r="CG218" s="230">
        <v>135375</v>
      </c>
      <c r="CH218" s="230">
        <v>12000</v>
      </c>
      <c r="CI218" s="229">
        <v>8.8599999999999998E-2</v>
      </c>
      <c r="CJ218" s="228">
        <v>0</v>
      </c>
      <c r="CK218" s="228">
        <v>0</v>
      </c>
      <c r="CL218" s="228">
        <v>0</v>
      </c>
      <c r="CM218" s="229">
        <v>0</v>
      </c>
      <c r="CN218" s="230">
        <v>1156125</v>
      </c>
      <c r="CO218" s="230">
        <v>1237500</v>
      </c>
      <c r="CP218" s="230">
        <v>-81375</v>
      </c>
      <c r="CQ218" s="229">
        <v>-6.5799999999999997E-2</v>
      </c>
      <c r="CR218" s="230">
        <v>548250</v>
      </c>
      <c r="CS218" s="230">
        <v>538875</v>
      </c>
      <c r="CT218" s="230">
        <v>9375</v>
      </c>
      <c r="CU218" s="229">
        <v>1.7399999999999999E-2</v>
      </c>
      <c r="CV218" s="230">
        <v>4199250</v>
      </c>
      <c r="CW218" s="230">
        <v>4207125</v>
      </c>
      <c r="CX218" s="230">
        <v>-7875</v>
      </c>
      <c r="CY218" s="229">
        <v>-1.9E-3</v>
      </c>
      <c r="CZ218" s="228">
        <v>37.47</v>
      </c>
      <c r="DA218" s="228">
        <v>38.99</v>
      </c>
      <c r="DB218" s="228">
        <v>-1.52</v>
      </c>
      <c r="DC218" s="228">
        <v>-1.52</v>
      </c>
      <c r="DD218" s="228">
        <v>46.04</v>
      </c>
      <c r="DE218" s="228">
        <v>46.09</v>
      </c>
      <c r="DF218" s="228">
        <v>-8.57</v>
      </c>
      <c r="DG218" s="228">
        <v>-0.05</v>
      </c>
      <c r="DH218" s="228">
        <v>36.99</v>
      </c>
      <c r="DI218" s="228">
        <v>36.99</v>
      </c>
      <c r="DJ218" s="228">
        <v>0</v>
      </c>
      <c r="DK218" s="228">
        <v>0</v>
      </c>
      <c r="DL218" s="228">
        <v>38.78</v>
      </c>
      <c r="DM218" s="228">
        <v>42.15</v>
      </c>
      <c r="DN218" s="228">
        <v>-3.37</v>
      </c>
      <c r="DO218" s="228">
        <v>-3.37</v>
      </c>
      <c r="DP218" s="228">
        <v>0.47</v>
      </c>
      <c r="DQ218" s="228">
        <v>0.44</v>
      </c>
      <c r="DR218" s="228">
        <v>0.03</v>
      </c>
      <c r="DS218" s="229">
        <v>6.8199999999999997E-2</v>
      </c>
      <c r="DT218" s="231">
        <v>1500</v>
      </c>
      <c r="DU218" s="231">
        <v>1400</v>
      </c>
      <c r="DV218" s="228">
        <v>0.36</v>
      </c>
      <c r="DW218" s="228">
        <v>0.63</v>
      </c>
      <c r="DX218" s="228">
        <v>-0.27</v>
      </c>
      <c r="DY218" s="229">
        <v>-0.42859999999999998</v>
      </c>
      <c r="DZ218" s="229">
        <v>5.91E-2</v>
      </c>
      <c r="EA218" s="230">
        <v>135375</v>
      </c>
      <c r="EB218" s="229">
        <v>5.0000000000000001E-3</v>
      </c>
      <c r="EC218" s="229">
        <v>5.91E-2</v>
      </c>
      <c r="ED218" s="228">
        <v>4.46</v>
      </c>
      <c r="EE218" s="229">
        <v>3.3E-3</v>
      </c>
      <c r="EF218" s="230">
        <v>169122</v>
      </c>
      <c r="EG218" s="230">
        <v>131599</v>
      </c>
      <c r="EH218" s="229">
        <v>0.28510000000000002</v>
      </c>
      <c r="EI218" s="229">
        <v>0.46960000000000002</v>
      </c>
      <c r="EJ218" s="231">
        <v>11911.32</v>
      </c>
      <c r="EK218" s="231">
        <v>3825.41</v>
      </c>
      <c r="EL218" s="231">
        <v>5989.29</v>
      </c>
      <c r="EM218" s="228">
        <v>0</v>
      </c>
      <c r="EN218" s="231">
        <v>21726.02</v>
      </c>
      <c r="EO218" s="231">
        <v>27289.23</v>
      </c>
      <c r="EP218" s="231">
        <v>-5563.21</v>
      </c>
      <c r="EQ218" s="229">
        <v>-0.2039</v>
      </c>
      <c r="ER218" s="231">
        <v>17147</v>
      </c>
      <c r="ES218" s="231">
        <v>7307</v>
      </c>
      <c r="ET218" s="231">
        <v>33596</v>
      </c>
      <c r="EU218" s="231">
        <v>49292045</v>
      </c>
      <c r="EV218" s="231">
        <v>58050</v>
      </c>
      <c r="EW218" s="231">
        <v>58883</v>
      </c>
      <c r="EX218" s="228">
        <v>-833</v>
      </c>
      <c r="EY218" s="229">
        <v>-1.41E-2</v>
      </c>
      <c r="EZ218" s="229">
        <v>8.5199999999999998E-2</v>
      </c>
      <c r="FA218" s="227" t="s">
        <v>567</v>
      </c>
      <c r="FB218" s="161">
        <f t="shared" si="5"/>
        <v>0</v>
      </c>
    </row>
    <row r="219" spans="1:158" ht="17.25" thickBot="1" x14ac:dyDescent="0.3">
      <c r="A219" s="226">
        <v>45860</v>
      </c>
      <c r="B219" s="227" t="s">
        <v>197</v>
      </c>
      <c r="C219" s="227" t="s">
        <v>482</v>
      </c>
      <c r="D219" s="228">
        <v>100</v>
      </c>
      <c r="E219" s="231">
        <v>5372.5</v>
      </c>
      <c r="F219" s="231">
        <v>5394.5</v>
      </c>
      <c r="G219" s="228">
        <v>-22</v>
      </c>
      <c r="H219" s="229">
        <v>-4.1000000000000003E-3</v>
      </c>
      <c r="I219" s="231">
        <v>5360.5</v>
      </c>
      <c r="J219" s="231">
        <v>5376</v>
      </c>
      <c r="K219" s="228">
        <v>-15.5</v>
      </c>
      <c r="L219" s="229">
        <v>-2.8999999999999998E-3</v>
      </c>
      <c r="M219" s="231">
        <v>5372.5</v>
      </c>
      <c r="N219" s="231">
        <v>5394.5</v>
      </c>
      <c r="O219" s="228">
        <v>-22</v>
      </c>
      <c r="P219" s="229">
        <v>-4.1000000000000003E-3</v>
      </c>
      <c r="Q219" s="231">
        <v>5398.5</v>
      </c>
      <c r="R219" s="231">
        <v>5420</v>
      </c>
      <c r="S219" s="228">
        <v>-21.5</v>
      </c>
      <c r="T219" s="229">
        <v>-4.0000000000000001E-3</v>
      </c>
      <c r="U219" s="228">
        <v>0</v>
      </c>
      <c r="V219" s="228">
        <v>0</v>
      </c>
      <c r="W219" s="228">
        <v>0</v>
      </c>
      <c r="X219" s="229">
        <v>0</v>
      </c>
      <c r="Y219" s="228">
        <v>12</v>
      </c>
      <c r="Z219" s="228">
        <v>18.5</v>
      </c>
      <c r="AA219" s="228">
        <v>-6.5</v>
      </c>
      <c r="AB219" s="229">
        <v>2.2000000000000001E-3</v>
      </c>
      <c r="AC219" s="228">
        <v>12</v>
      </c>
      <c r="AD219" s="228">
        <v>18.5</v>
      </c>
      <c r="AE219" s="228">
        <v>-6.5</v>
      </c>
      <c r="AF219" s="229">
        <v>2.2000000000000001E-3</v>
      </c>
      <c r="AG219" s="228">
        <v>38</v>
      </c>
      <c r="AH219" s="228">
        <v>44</v>
      </c>
      <c r="AI219" s="228">
        <v>-6</v>
      </c>
      <c r="AJ219" s="229">
        <v>7.1000000000000004E-3</v>
      </c>
      <c r="AK219" s="228">
        <v>0</v>
      </c>
      <c r="AL219" s="228">
        <v>0</v>
      </c>
      <c r="AM219" s="228">
        <v>0</v>
      </c>
      <c r="AN219" s="229">
        <v>0</v>
      </c>
      <c r="AO219" s="231">
        <v>5414.3</v>
      </c>
      <c r="AP219" s="231">
        <v>5435.19</v>
      </c>
      <c r="AQ219" s="228">
        <v>0</v>
      </c>
      <c r="AR219" s="230">
        <v>676800</v>
      </c>
      <c r="AS219" s="230">
        <v>516800</v>
      </c>
      <c r="AT219" s="230">
        <v>160000</v>
      </c>
      <c r="AU219" s="229">
        <v>0.30959999999999999</v>
      </c>
      <c r="AV219" s="230">
        <v>539000</v>
      </c>
      <c r="AW219" s="230">
        <v>434100</v>
      </c>
      <c r="AX219" s="230">
        <v>104900</v>
      </c>
      <c r="AY219" s="229">
        <v>0.24160000000000001</v>
      </c>
      <c r="AZ219" s="230">
        <v>131500</v>
      </c>
      <c r="BA219" s="230">
        <v>75100</v>
      </c>
      <c r="BB219" s="230">
        <v>56400</v>
      </c>
      <c r="BC219" s="229">
        <v>0.751</v>
      </c>
      <c r="BD219" s="228">
        <v>0</v>
      </c>
      <c r="BE219" s="228">
        <v>0</v>
      </c>
      <c r="BF219" s="228">
        <v>0</v>
      </c>
      <c r="BG219" s="229">
        <v>0</v>
      </c>
      <c r="BH219" s="230">
        <v>6254400</v>
      </c>
      <c r="BI219" s="230">
        <v>4433900</v>
      </c>
      <c r="BJ219" s="230">
        <v>1820500</v>
      </c>
      <c r="BK219" s="229">
        <v>0.41060000000000002</v>
      </c>
      <c r="BL219" s="230">
        <v>1727600</v>
      </c>
      <c r="BM219" s="230">
        <v>1132600</v>
      </c>
      <c r="BN219" s="230">
        <v>595000</v>
      </c>
      <c r="BO219" s="229">
        <v>0.52529999999999999</v>
      </c>
      <c r="BP219" s="230">
        <v>8658800</v>
      </c>
      <c r="BQ219" s="230">
        <v>6083300</v>
      </c>
      <c r="BR219" s="230">
        <v>2575500</v>
      </c>
      <c r="BS219" s="229">
        <v>0.4234</v>
      </c>
      <c r="BT219" s="230">
        <v>517102</v>
      </c>
      <c r="BU219" s="230">
        <v>418243</v>
      </c>
      <c r="BV219" s="230">
        <v>98859</v>
      </c>
      <c r="BW219" s="229">
        <v>0.2364</v>
      </c>
      <c r="BX219" s="230">
        <v>8260900</v>
      </c>
      <c r="BY219" s="230">
        <v>8278500</v>
      </c>
      <c r="BZ219" s="230">
        <v>-17600</v>
      </c>
      <c r="CA219" s="229">
        <v>-2.0999999999999999E-3</v>
      </c>
      <c r="CB219" s="230">
        <v>7484900</v>
      </c>
      <c r="CC219" s="230">
        <v>7560900</v>
      </c>
      <c r="CD219" s="230">
        <v>-76000</v>
      </c>
      <c r="CE219" s="229">
        <v>-1.01E-2</v>
      </c>
      <c r="CF219" s="230">
        <v>685700</v>
      </c>
      <c r="CG219" s="230">
        <v>628500</v>
      </c>
      <c r="CH219" s="230">
        <v>57200</v>
      </c>
      <c r="CI219" s="229">
        <v>9.0999999999999998E-2</v>
      </c>
      <c r="CJ219" s="228">
        <v>0</v>
      </c>
      <c r="CK219" s="228">
        <v>0</v>
      </c>
      <c r="CL219" s="228">
        <v>0</v>
      </c>
      <c r="CM219" s="229">
        <v>0</v>
      </c>
      <c r="CN219" s="230">
        <v>8139900</v>
      </c>
      <c r="CO219" s="230">
        <v>8289800</v>
      </c>
      <c r="CP219" s="230">
        <v>-149900</v>
      </c>
      <c r="CQ219" s="229">
        <v>-1.8100000000000002E-2</v>
      </c>
      <c r="CR219" s="230">
        <v>3442400</v>
      </c>
      <c r="CS219" s="230">
        <v>3396100</v>
      </c>
      <c r="CT219" s="230">
        <v>46300</v>
      </c>
      <c r="CU219" s="229">
        <v>1.3599999999999999E-2</v>
      </c>
      <c r="CV219" s="230">
        <v>19843200</v>
      </c>
      <c r="CW219" s="230">
        <v>19964400</v>
      </c>
      <c r="CX219" s="230">
        <v>-121200</v>
      </c>
      <c r="CY219" s="229">
        <v>-6.1000000000000004E-3</v>
      </c>
      <c r="CZ219" s="228">
        <v>36.64</v>
      </c>
      <c r="DA219" s="228">
        <v>38.299999999999997</v>
      </c>
      <c r="DB219" s="228">
        <v>-1.66</v>
      </c>
      <c r="DC219" s="228">
        <v>-1.66</v>
      </c>
      <c r="DD219" s="228">
        <v>49.29</v>
      </c>
      <c r="DE219" s="228">
        <v>49.41</v>
      </c>
      <c r="DF219" s="228">
        <v>-12.65</v>
      </c>
      <c r="DG219" s="228">
        <v>-0.12</v>
      </c>
      <c r="DH219" s="228">
        <v>37.409999999999997</v>
      </c>
      <c r="DI219" s="228">
        <v>39.130000000000003</v>
      </c>
      <c r="DJ219" s="228">
        <v>-1.72</v>
      </c>
      <c r="DK219" s="228">
        <v>-1.72</v>
      </c>
      <c r="DL219" s="228">
        <v>33.85</v>
      </c>
      <c r="DM219" s="228">
        <v>35.049999999999997</v>
      </c>
      <c r="DN219" s="228">
        <v>-1.2</v>
      </c>
      <c r="DO219" s="228">
        <v>-1.2</v>
      </c>
      <c r="DP219" s="228">
        <v>0.42</v>
      </c>
      <c r="DQ219" s="228">
        <v>0.41</v>
      </c>
      <c r="DR219" s="228">
        <v>0.01</v>
      </c>
      <c r="DS219" s="229">
        <v>2.4400000000000002E-2</v>
      </c>
      <c r="DT219" s="231">
        <v>6000</v>
      </c>
      <c r="DU219" s="231">
        <v>5500</v>
      </c>
      <c r="DV219" s="228">
        <v>0.28000000000000003</v>
      </c>
      <c r="DW219" s="228">
        <v>0.26</v>
      </c>
      <c r="DX219" s="228">
        <v>0.02</v>
      </c>
      <c r="DY219" s="229">
        <v>7.6899999999999996E-2</v>
      </c>
      <c r="DZ219" s="229">
        <v>8.3000000000000004E-2</v>
      </c>
      <c r="EA219" s="230">
        <v>628500</v>
      </c>
      <c r="EB219" s="229">
        <v>4.7999999999999996E-3</v>
      </c>
      <c r="EC219" s="229">
        <v>8.3000000000000004E-2</v>
      </c>
      <c r="ED219" s="228">
        <v>20.89</v>
      </c>
      <c r="EE219" s="229">
        <v>3.8999999999999998E-3</v>
      </c>
      <c r="EF219" s="230">
        <v>301778</v>
      </c>
      <c r="EG219" s="230">
        <v>251458</v>
      </c>
      <c r="EH219" s="229">
        <v>0.2001</v>
      </c>
      <c r="EI219" s="229">
        <v>0.58360000000000001</v>
      </c>
      <c r="EJ219" s="231">
        <v>364974.14</v>
      </c>
      <c r="EK219" s="231">
        <v>91144.8</v>
      </c>
      <c r="EL219" s="231">
        <v>36674.980000000003</v>
      </c>
      <c r="EM219" s="228">
        <v>0</v>
      </c>
      <c r="EN219" s="231">
        <v>492793.92</v>
      </c>
      <c r="EO219" s="231">
        <v>349832.21</v>
      </c>
      <c r="EP219" s="231">
        <v>142961.71</v>
      </c>
      <c r="EQ219" s="229">
        <v>0.40870000000000001</v>
      </c>
      <c r="ER219" s="231">
        <v>484121</v>
      </c>
      <c r="ES219" s="231">
        <v>188444</v>
      </c>
      <c r="ET219" s="231">
        <v>444048</v>
      </c>
      <c r="EU219" s="231">
        <v>44787316</v>
      </c>
      <c r="EV219" s="231">
        <v>1116614</v>
      </c>
      <c r="EW219" s="231">
        <v>1127522</v>
      </c>
      <c r="EX219" s="231">
        <v>-10908</v>
      </c>
      <c r="EY219" s="229">
        <v>-9.7000000000000003E-3</v>
      </c>
      <c r="EZ219" s="229">
        <v>0.44309999999999999</v>
      </c>
      <c r="FA219" s="227" t="s">
        <v>568</v>
      </c>
      <c r="FB219" s="161">
        <f t="shared" si="5"/>
        <v>0</v>
      </c>
    </row>
    <row r="220" spans="1:158" ht="17.25" thickBot="1" x14ac:dyDescent="0.3">
      <c r="A220" s="226">
        <v>45860</v>
      </c>
      <c r="B220" s="227" t="s">
        <v>162</v>
      </c>
      <c r="C220" s="227" t="s">
        <v>300</v>
      </c>
      <c r="D220" s="228">
        <v>350</v>
      </c>
      <c r="E220" s="231">
        <v>2802.1</v>
      </c>
      <c r="F220" s="231">
        <v>2845.5</v>
      </c>
      <c r="G220" s="228">
        <v>-43.4</v>
      </c>
      <c r="H220" s="229">
        <v>-1.5299999999999999E-2</v>
      </c>
      <c r="I220" s="231">
        <v>2795.4</v>
      </c>
      <c r="J220" s="231">
        <v>2835.5</v>
      </c>
      <c r="K220" s="228">
        <v>-40.1</v>
      </c>
      <c r="L220" s="229">
        <v>-1.41E-2</v>
      </c>
      <c r="M220" s="231">
        <v>2802.1</v>
      </c>
      <c r="N220" s="231">
        <v>2845.5</v>
      </c>
      <c r="O220" s="228">
        <v>-43.4</v>
      </c>
      <c r="P220" s="229">
        <v>-1.5299999999999999E-2</v>
      </c>
      <c r="Q220" s="231">
        <v>2806.3</v>
      </c>
      <c r="R220" s="231">
        <v>2845.6</v>
      </c>
      <c r="S220" s="228">
        <v>-39.299999999999997</v>
      </c>
      <c r="T220" s="229">
        <v>-1.38E-2</v>
      </c>
      <c r="U220" s="228">
        <v>0</v>
      </c>
      <c r="V220" s="228">
        <v>0</v>
      </c>
      <c r="W220" s="228">
        <v>0</v>
      </c>
      <c r="X220" s="229">
        <v>0</v>
      </c>
      <c r="Y220" s="228">
        <v>6.7</v>
      </c>
      <c r="Z220" s="228">
        <v>10</v>
      </c>
      <c r="AA220" s="228">
        <v>-3.3</v>
      </c>
      <c r="AB220" s="229">
        <v>2.3999999999999998E-3</v>
      </c>
      <c r="AC220" s="228">
        <v>6.7</v>
      </c>
      <c r="AD220" s="228">
        <v>10</v>
      </c>
      <c r="AE220" s="228">
        <v>-3.3</v>
      </c>
      <c r="AF220" s="229">
        <v>2.3999999999999998E-3</v>
      </c>
      <c r="AG220" s="228">
        <v>10.9</v>
      </c>
      <c r="AH220" s="228">
        <v>10.1</v>
      </c>
      <c r="AI220" s="228">
        <v>0.8</v>
      </c>
      <c r="AJ220" s="229">
        <v>3.8999999999999998E-3</v>
      </c>
      <c r="AK220" s="228">
        <v>0</v>
      </c>
      <c r="AL220" s="228">
        <v>0</v>
      </c>
      <c r="AM220" s="228">
        <v>0</v>
      </c>
      <c r="AN220" s="229">
        <v>0</v>
      </c>
      <c r="AO220" s="231">
        <v>2809.52</v>
      </c>
      <c r="AP220" s="231">
        <v>2812.55</v>
      </c>
      <c r="AQ220" s="228">
        <v>0</v>
      </c>
      <c r="AR220" s="230">
        <v>916300</v>
      </c>
      <c r="AS220" s="230">
        <v>875700</v>
      </c>
      <c r="AT220" s="230">
        <v>40600</v>
      </c>
      <c r="AU220" s="229">
        <v>4.6399999999999997E-2</v>
      </c>
      <c r="AV220" s="230">
        <v>731500</v>
      </c>
      <c r="AW220" s="230">
        <v>792750</v>
      </c>
      <c r="AX220" s="230">
        <v>-61250</v>
      </c>
      <c r="AY220" s="229">
        <v>-7.7299999999999994E-2</v>
      </c>
      <c r="AZ220" s="230">
        <v>180250</v>
      </c>
      <c r="BA220" s="230">
        <v>78750</v>
      </c>
      <c r="BB220" s="230">
        <v>101500</v>
      </c>
      <c r="BC220" s="229">
        <v>1.2888999999999999</v>
      </c>
      <c r="BD220" s="228">
        <v>0</v>
      </c>
      <c r="BE220" s="228">
        <v>0</v>
      </c>
      <c r="BF220" s="228">
        <v>0</v>
      </c>
      <c r="BG220" s="229">
        <v>0</v>
      </c>
      <c r="BH220" s="230">
        <v>2246300</v>
      </c>
      <c r="BI220" s="230">
        <v>1681750</v>
      </c>
      <c r="BJ220" s="230">
        <v>564550</v>
      </c>
      <c r="BK220" s="229">
        <v>0.3357</v>
      </c>
      <c r="BL220" s="230">
        <v>1408050</v>
      </c>
      <c r="BM220" s="230">
        <v>814450</v>
      </c>
      <c r="BN220" s="230">
        <v>593600</v>
      </c>
      <c r="BO220" s="229">
        <v>0.7288</v>
      </c>
      <c r="BP220" s="230">
        <v>4570650</v>
      </c>
      <c r="BQ220" s="230">
        <v>3371900</v>
      </c>
      <c r="BR220" s="230">
        <v>1198750</v>
      </c>
      <c r="BS220" s="229">
        <v>0.35549999999999998</v>
      </c>
      <c r="BT220" s="230">
        <v>362229</v>
      </c>
      <c r="BU220" s="230">
        <v>507085</v>
      </c>
      <c r="BV220" s="230">
        <v>-144856</v>
      </c>
      <c r="BW220" s="229">
        <v>-0.28570000000000001</v>
      </c>
      <c r="BX220" s="230">
        <v>7352450</v>
      </c>
      <c r="BY220" s="230">
        <v>7359450</v>
      </c>
      <c r="BZ220" s="230">
        <v>-7000</v>
      </c>
      <c r="CA220" s="229">
        <v>-1E-3</v>
      </c>
      <c r="CB220" s="230">
        <v>6628300</v>
      </c>
      <c r="CC220" s="230">
        <v>6661550</v>
      </c>
      <c r="CD220" s="230">
        <v>-33250</v>
      </c>
      <c r="CE220" s="229">
        <v>-5.0000000000000001E-3</v>
      </c>
      <c r="CF220" s="230">
        <v>701750</v>
      </c>
      <c r="CG220" s="230">
        <v>675850</v>
      </c>
      <c r="CH220" s="230">
        <v>25900</v>
      </c>
      <c r="CI220" s="229">
        <v>3.8300000000000001E-2</v>
      </c>
      <c r="CJ220" s="228">
        <v>0</v>
      </c>
      <c r="CK220" s="228">
        <v>0</v>
      </c>
      <c r="CL220" s="228">
        <v>0</v>
      </c>
      <c r="CM220" s="229">
        <v>0</v>
      </c>
      <c r="CN220" s="230">
        <v>2749600</v>
      </c>
      <c r="CO220" s="230">
        <v>2683100</v>
      </c>
      <c r="CP220" s="230">
        <v>66500</v>
      </c>
      <c r="CQ220" s="229">
        <v>2.4799999999999999E-2</v>
      </c>
      <c r="CR220" s="230">
        <v>1713600</v>
      </c>
      <c r="CS220" s="230">
        <v>1654800</v>
      </c>
      <c r="CT220" s="230">
        <v>58800</v>
      </c>
      <c r="CU220" s="229">
        <v>3.5499999999999997E-2</v>
      </c>
      <c r="CV220" s="230">
        <v>11815650</v>
      </c>
      <c r="CW220" s="230">
        <v>11697350</v>
      </c>
      <c r="CX220" s="230">
        <v>118300</v>
      </c>
      <c r="CY220" s="229">
        <v>1.01E-2</v>
      </c>
      <c r="CZ220" s="228">
        <v>26.91</v>
      </c>
      <c r="DA220" s="228">
        <v>26.68</v>
      </c>
      <c r="DB220" s="228">
        <v>0.23</v>
      </c>
      <c r="DC220" s="228">
        <v>0.23</v>
      </c>
      <c r="DD220" s="228">
        <v>32.71</v>
      </c>
      <c r="DE220" s="228">
        <v>32.74</v>
      </c>
      <c r="DF220" s="228">
        <v>-5.8</v>
      </c>
      <c r="DG220" s="228">
        <v>-0.03</v>
      </c>
      <c r="DH220" s="228">
        <v>27.66</v>
      </c>
      <c r="DI220" s="228">
        <v>27.07</v>
      </c>
      <c r="DJ220" s="228">
        <v>0.59</v>
      </c>
      <c r="DK220" s="228">
        <v>0.59</v>
      </c>
      <c r="DL220" s="228">
        <v>25.72</v>
      </c>
      <c r="DM220" s="228">
        <v>25.89</v>
      </c>
      <c r="DN220" s="228">
        <v>-0.17</v>
      </c>
      <c r="DO220" s="228">
        <v>-0.17</v>
      </c>
      <c r="DP220" s="228">
        <v>0.62</v>
      </c>
      <c r="DQ220" s="228">
        <v>0.62</v>
      </c>
      <c r="DR220" s="228">
        <v>0</v>
      </c>
      <c r="DS220" s="229">
        <v>0</v>
      </c>
      <c r="DT220" s="231">
        <v>3000</v>
      </c>
      <c r="DU220" s="231">
        <v>2800</v>
      </c>
      <c r="DV220" s="228">
        <v>0.63</v>
      </c>
      <c r="DW220" s="228">
        <v>0.48</v>
      </c>
      <c r="DX220" s="228">
        <v>0.15</v>
      </c>
      <c r="DY220" s="229">
        <v>0.3125</v>
      </c>
      <c r="DZ220" s="229">
        <v>9.5399999999999999E-2</v>
      </c>
      <c r="EA220" s="230">
        <v>675850</v>
      </c>
      <c r="EB220" s="229">
        <v>1.5E-3</v>
      </c>
      <c r="EC220" s="229">
        <v>9.5399999999999999E-2</v>
      </c>
      <c r="ED220" s="228">
        <v>3.03</v>
      </c>
      <c r="EE220" s="229">
        <v>1.1000000000000001E-3</v>
      </c>
      <c r="EF220" s="230">
        <v>188309</v>
      </c>
      <c r="EG220" s="230">
        <v>330648</v>
      </c>
      <c r="EH220" s="229">
        <v>-0.43049999999999999</v>
      </c>
      <c r="EI220" s="229">
        <v>0.51990000000000003</v>
      </c>
      <c r="EJ220" s="231">
        <v>66136.37</v>
      </c>
      <c r="EK220" s="231">
        <v>39512</v>
      </c>
      <c r="EL220" s="231">
        <v>25749.55</v>
      </c>
      <c r="EM220" s="228">
        <v>0</v>
      </c>
      <c r="EN220" s="231">
        <v>131397.92000000001</v>
      </c>
      <c r="EO220" s="231">
        <v>98094.91</v>
      </c>
      <c r="EP220" s="231">
        <v>33303.01</v>
      </c>
      <c r="EQ220" s="229">
        <v>0.33950000000000002</v>
      </c>
      <c r="ER220" s="231">
        <v>81565</v>
      </c>
      <c r="ES220" s="231">
        <v>47436</v>
      </c>
      <c r="ET220" s="231">
        <v>206054</v>
      </c>
      <c r="EU220" s="231">
        <v>47184665</v>
      </c>
      <c r="EV220" s="231">
        <v>335055</v>
      </c>
      <c r="EW220" s="231">
        <v>335183</v>
      </c>
      <c r="EX220" s="228">
        <v>-128</v>
      </c>
      <c r="EY220" s="229">
        <v>-4.0000000000000002E-4</v>
      </c>
      <c r="EZ220" s="229">
        <v>0.25040000000000001</v>
      </c>
      <c r="FA220" s="227" t="s">
        <v>568</v>
      </c>
      <c r="FB220" s="161">
        <f t="shared" si="5"/>
        <v>0</v>
      </c>
    </row>
    <row r="221" spans="1:158" ht="17.25" thickBot="1" x14ac:dyDescent="0.3">
      <c r="A221" s="226">
        <v>45860</v>
      </c>
      <c r="B221" s="227" t="s">
        <v>157</v>
      </c>
      <c r="C221" s="227" t="s">
        <v>302</v>
      </c>
      <c r="D221" s="228">
        <v>50</v>
      </c>
      <c r="E221" s="231">
        <v>12400</v>
      </c>
      <c r="F221" s="231">
        <v>12581</v>
      </c>
      <c r="G221" s="228">
        <v>-181</v>
      </c>
      <c r="H221" s="229">
        <v>-1.44E-2</v>
      </c>
      <c r="I221" s="231">
        <v>12452</v>
      </c>
      <c r="J221" s="231">
        <v>12577</v>
      </c>
      <c r="K221" s="228">
        <v>-125</v>
      </c>
      <c r="L221" s="229">
        <v>-9.9000000000000008E-3</v>
      </c>
      <c r="M221" s="231">
        <v>12400</v>
      </c>
      <c r="N221" s="231">
        <v>12581</v>
      </c>
      <c r="O221" s="228">
        <v>-181</v>
      </c>
      <c r="P221" s="229">
        <v>-1.44E-2</v>
      </c>
      <c r="Q221" s="231">
        <v>12456</v>
      </c>
      <c r="R221" s="231">
        <v>12601</v>
      </c>
      <c r="S221" s="228">
        <v>-145</v>
      </c>
      <c r="T221" s="229">
        <v>-1.15E-2</v>
      </c>
      <c r="U221" s="228">
        <v>0</v>
      </c>
      <c r="V221" s="228">
        <v>0</v>
      </c>
      <c r="W221" s="228">
        <v>0</v>
      </c>
      <c r="X221" s="229">
        <v>0</v>
      </c>
      <c r="Y221" s="228">
        <v>-52</v>
      </c>
      <c r="Z221" s="228">
        <v>4</v>
      </c>
      <c r="AA221" s="228">
        <v>-56</v>
      </c>
      <c r="AB221" s="229">
        <v>-4.1999999999999997E-3</v>
      </c>
      <c r="AC221" s="228">
        <v>-52</v>
      </c>
      <c r="AD221" s="228">
        <v>4</v>
      </c>
      <c r="AE221" s="228">
        <v>-56</v>
      </c>
      <c r="AF221" s="229">
        <v>-4.1999999999999997E-3</v>
      </c>
      <c r="AG221" s="228">
        <v>4</v>
      </c>
      <c r="AH221" s="228">
        <v>24</v>
      </c>
      <c r="AI221" s="228">
        <v>-20</v>
      </c>
      <c r="AJ221" s="229">
        <v>2.9999999999999997E-4</v>
      </c>
      <c r="AK221" s="228">
        <v>0</v>
      </c>
      <c r="AL221" s="228">
        <v>0</v>
      </c>
      <c r="AM221" s="228">
        <v>0</v>
      </c>
      <c r="AN221" s="229">
        <v>0</v>
      </c>
      <c r="AO221" s="231">
        <v>12412.7</v>
      </c>
      <c r="AP221" s="231">
        <v>12471.31</v>
      </c>
      <c r="AQ221" s="228">
        <v>0</v>
      </c>
      <c r="AR221" s="230">
        <v>857200</v>
      </c>
      <c r="AS221" s="230">
        <v>986800</v>
      </c>
      <c r="AT221" s="230">
        <v>-129600</v>
      </c>
      <c r="AU221" s="229">
        <v>-0.1313</v>
      </c>
      <c r="AV221" s="230">
        <v>731900</v>
      </c>
      <c r="AW221" s="230">
        <v>874200</v>
      </c>
      <c r="AX221" s="230">
        <v>-142300</v>
      </c>
      <c r="AY221" s="229">
        <v>-0.1628</v>
      </c>
      <c r="AZ221" s="230">
        <v>119650</v>
      </c>
      <c r="BA221" s="230">
        <v>108600</v>
      </c>
      <c r="BB221" s="230">
        <v>11050</v>
      </c>
      <c r="BC221" s="229">
        <v>0.1017</v>
      </c>
      <c r="BD221" s="228">
        <v>0</v>
      </c>
      <c r="BE221" s="228">
        <v>0</v>
      </c>
      <c r="BF221" s="228">
        <v>0</v>
      </c>
      <c r="BG221" s="229">
        <v>0</v>
      </c>
      <c r="BH221" s="230">
        <v>7123200</v>
      </c>
      <c r="BI221" s="230">
        <v>8080400</v>
      </c>
      <c r="BJ221" s="230">
        <v>-957200</v>
      </c>
      <c r="BK221" s="229">
        <v>-0.11849999999999999</v>
      </c>
      <c r="BL221" s="230">
        <v>2639400</v>
      </c>
      <c r="BM221" s="230">
        <v>3079600</v>
      </c>
      <c r="BN221" s="230">
        <v>-440200</v>
      </c>
      <c r="BO221" s="229">
        <v>-0.1429</v>
      </c>
      <c r="BP221" s="230">
        <v>10619800</v>
      </c>
      <c r="BQ221" s="230">
        <v>12146800</v>
      </c>
      <c r="BR221" s="230">
        <v>-1527000</v>
      </c>
      <c r="BS221" s="229">
        <v>-0.12570000000000001</v>
      </c>
      <c r="BT221" s="230">
        <v>543768</v>
      </c>
      <c r="BU221" s="230">
        <v>530218</v>
      </c>
      <c r="BV221" s="230">
        <v>13550</v>
      </c>
      <c r="BW221" s="229">
        <v>2.5600000000000001E-2</v>
      </c>
      <c r="BX221" s="230">
        <v>2665600</v>
      </c>
      <c r="BY221" s="230">
        <v>2740850</v>
      </c>
      <c r="BZ221" s="230">
        <v>-75250</v>
      </c>
      <c r="CA221" s="229">
        <v>-2.75E-2</v>
      </c>
      <c r="CB221" s="230">
        <v>1138400</v>
      </c>
      <c r="CC221" s="230">
        <v>1219000</v>
      </c>
      <c r="CD221" s="230">
        <v>-80600</v>
      </c>
      <c r="CE221" s="229">
        <v>-6.6100000000000006E-2</v>
      </c>
      <c r="CF221" s="230">
        <v>1520900</v>
      </c>
      <c r="CG221" s="230">
        <v>1516350</v>
      </c>
      <c r="CH221" s="230">
        <v>4550</v>
      </c>
      <c r="CI221" s="229">
        <v>3.0000000000000001E-3</v>
      </c>
      <c r="CJ221" s="228">
        <v>0</v>
      </c>
      <c r="CK221" s="228">
        <v>0</v>
      </c>
      <c r="CL221" s="228">
        <v>0</v>
      </c>
      <c r="CM221" s="229">
        <v>0</v>
      </c>
      <c r="CN221" s="230">
        <v>1913550</v>
      </c>
      <c r="CO221" s="230">
        <v>1481750</v>
      </c>
      <c r="CP221" s="230">
        <v>431800</v>
      </c>
      <c r="CQ221" s="229">
        <v>0.29139999999999999</v>
      </c>
      <c r="CR221" s="230">
        <v>811650</v>
      </c>
      <c r="CS221" s="230">
        <v>872150</v>
      </c>
      <c r="CT221" s="230">
        <v>-60500</v>
      </c>
      <c r="CU221" s="229">
        <v>-6.9400000000000003E-2</v>
      </c>
      <c r="CV221" s="230">
        <v>5390800</v>
      </c>
      <c r="CW221" s="230">
        <v>5094750</v>
      </c>
      <c r="CX221" s="230">
        <v>296050</v>
      </c>
      <c r="CY221" s="229">
        <v>5.8099999999999999E-2</v>
      </c>
      <c r="CZ221" s="228">
        <v>22.43</v>
      </c>
      <c r="DA221" s="228">
        <v>23.88</v>
      </c>
      <c r="DB221" s="228">
        <v>-1.45</v>
      </c>
      <c r="DC221" s="228">
        <v>-1.45</v>
      </c>
      <c r="DD221" s="228">
        <v>27.06</v>
      </c>
      <c r="DE221" s="228">
        <v>27.09</v>
      </c>
      <c r="DF221" s="228">
        <v>-4.63</v>
      </c>
      <c r="DG221" s="228">
        <v>-0.03</v>
      </c>
      <c r="DH221" s="228">
        <v>22.69</v>
      </c>
      <c r="DI221" s="228">
        <v>23.78</v>
      </c>
      <c r="DJ221" s="228">
        <v>-1.0900000000000001</v>
      </c>
      <c r="DK221" s="228">
        <v>-1.0900000000000001</v>
      </c>
      <c r="DL221" s="228">
        <v>21.72</v>
      </c>
      <c r="DM221" s="228">
        <v>24.16</v>
      </c>
      <c r="DN221" s="228">
        <v>-2.44</v>
      </c>
      <c r="DO221" s="228">
        <v>-2.44</v>
      </c>
      <c r="DP221" s="228">
        <v>0.42</v>
      </c>
      <c r="DQ221" s="228">
        <v>0.59</v>
      </c>
      <c r="DR221" s="228">
        <v>-0.17</v>
      </c>
      <c r="DS221" s="229">
        <v>-0.28810000000000002</v>
      </c>
      <c r="DT221" s="231">
        <v>13000</v>
      </c>
      <c r="DU221" s="231">
        <v>12000</v>
      </c>
      <c r="DV221" s="228">
        <v>0.37</v>
      </c>
      <c r="DW221" s="228">
        <v>0.38</v>
      </c>
      <c r="DX221" s="228">
        <v>-0.01</v>
      </c>
      <c r="DY221" s="229">
        <v>-2.63E-2</v>
      </c>
      <c r="DZ221" s="229">
        <v>0.5706</v>
      </c>
      <c r="EA221" s="230">
        <v>1516350</v>
      </c>
      <c r="EB221" s="229">
        <v>4.4999999999999997E-3</v>
      </c>
      <c r="EC221" s="229">
        <v>0.5706</v>
      </c>
      <c r="ED221" s="228">
        <v>58.61</v>
      </c>
      <c r="EE221" s="229">
        <v>4.7000000000000002E-3</v>
      </c>
      <c r="EF221" s="230">
        <v>234683</v>
      </c>
      <c r="EG221" s="230">
        <v>218724</v>
      </c>
      <c r="EH221" s="229">
        <v>7.2999999999999995E-2</v>
      </c>
      <c r="EI221" s="229">
        <v>0.43159999999999998</v>
      </c>
      <c r="EJ221" s="231">
        <v>917581.28</v>
      </c>
      <c r="EK221" s="231">
        <v>324308.53000000003</v>
      </c>
      <c r="EL221" s="231">
        <v>106477.24</v>
      </c>
      <c r="EM221" s="228">
        <v>0</v>
      </c>
      <c r="EN221" s="231">
        <v>1348367.05</v>
      </c>
      <c r="EO221" s="231">
        <v>1555109.7</v>
      </c>
      <c r="EP221" s="231">
        <v>-206742.65</v>
      </c>
      <c r="EQ221" s="229">
        <v>-0.13289999999999999</v>
      </c>
      <c r="ER221" s="231">
        <v>246984</v>
      </c>
      <c r="ES221" s="231">
        <v>94492</v>
      </c>
      <c r="ET221" s="231">
        <v>331394</v>
      </c>
      <c r="EU221" s="231">
        <v>23922935</v>
      </c>
      <c r="EV221" s="231">
        <v>672871</v>
      </c>
      <c r="EW221" s="231">
        <v>638878</v>
      </c>
      <c r="EX221" s="231">
        <v>33993</v>
      </c>
      <c r="EY221" s="229">
        <v>5.3199999999999997E-2</v>
      </c>
      <c r="EZ221" s="229">
        <v>0.2253</v>
      </c>
      <c r="FA221" s="227" t="s">
        <v>568</v>
      </c>
      <c r="FB221" s="161">
        <f t="shared" si="5"/>
        <v>0</v>
      </c>
    </row>
    <row r="222" spans="1:158" ht="17.25" thickBot="1" x14ac:dyDescent="0.3">
      <c r="A222" s="226">
        <v>45860</v>
      </c>
      <c r="B222" s="227" t="s">
        <v>172</v>
      </c>
      <c r="C222" s="227" t="s">
        <v>594</v>
      </c>
      <c r="D222" s="228">
        <v>4425</v>
      </c>
      <c r="E222" s="228">
        <v>142.12</v>
      </c>
      <c r="F222" s="228">
        <v>142.46</v>
      </c>
      <c r="G222" s="228">
        <v>-0.34</v>
      </c>
      <c r="H222" s="229">
        <v>-2.3999999999999998E-3</v>
      </c>
      <c r="I222" s="228">
        <v>142.93</v>
      </c>
      <c r="J222" s="228">
        <v>142.63999999999999</v>
      </c>
      <c r="K222" s="228">
        <v>0.28999999999999998</v>
      </c>
      <c r="L222" s="229">
        <v>2E-3</v>
      </c>
      <c r="M222" s="228">
        <v>142.12</v>
      </c>
      <c r="N222" s="228">
        <v>142.46</v>
      </c>
      <c r="O222" s="228">
        <v>-0.34</v>
      </c>
      <c r="P222" s="229">
        <v>-2.3999999999999998E-3</v>
      </c>
      <c r="Q222" s="228">
        <v>141.66</v>
      </c>
      <c r="R222" s="228">
        <v>142.4</v>
      </c>
      <c r="S222" s="228">
        <v>-0.74</v>
      </c>
      <c r="T222" s="229">
        <v>-5.1999999999999998E-3</v>
      </c>
      <c r="U222" s="228">
        <v>0</v>
      </c>
      <c r="V222" s="228">
        <v>0</v>
      </c>
      <c r="W222" s="228">
        <v>0</v>
      </c>
      <c r="X222" s="229">
        <v>0</v>
      </c>
      <c r="Y222" s="228">
        <v>-0.81</v>
      </c>
      <c r="Z222" s="228">
        <v>-0.18</v>
      </c>
      <c r="AA222" s="228">
        <v>-0.63</v>
      </c>
      <c r="AB222" s="229">
        <v>-5.7000000000000002E-3</v>
      </c>
      <c r="AC222" s="228">
        <v>-0.81</v>
      </c>
      <c r="AD222" s="228">
        <v>-0.18</v>
      </c>
      <c r="AE222" s="228">
        <v>-0.63</v>
      </c>
      <c r="AF222" s="229">
        <v>-5.7000000000000002E-3</v>
      </c>
      <c r="AG222" s="228">
        <v>-1.27</v>
      </c>
      <c r="AH222" s="228">
        <v>-0.24</v>
      </c>
      <c r="AI222" s="228">
        <v>-1.03</v>
      </c>
      <c r="AJ222" s="229">
        <v>-8.8999999999999999E-3</v>
      </c>
      <c r="AK222" s="228">
        <v>0</v>
      </c>
      <c r="AL222" s="228">
        <v>0</v>
      </c>
      <c r="AM222" s="228">
        <v>0</v>
      </c>
      <c r="AN222" s="229">
        <v>0</v>
      </c>
      <c r="AO222" s="228">
        <v>143.13</v>
      </c>
      <c r="AP222" s="228">
        <v>142.94</v>
      </c>
      <c r="AQ222" s="228">
        <v>0</v>
      </c>
      <c r="AR222" s="230">
        <v>24740175</v>
      </c>
      <c r="AS222" s="230">
        <v>35784975</v>
      </c>
      <c r="AT222" s="230">
        <v>-11044800</v>
      </c>
      <c r="AU222" s="229">
        <v>-0.30859999999999999</v>
      </c>
      <c r="AV222" s="230">
        <v>18093825</v>
      </c>
      <c r="AW222" s="230">
        <v>28536825</v>
      </c>
      <c r="AX222" s="230">
        <v>-10443000</v>
      </c>
      <c r="AY222" s="229">
        <v>-0.3659</v>
      </c>
      <c r="AZ222" s="230">
        <v>6438375</v>
      </c>
      <c r="BA222" s="230">
        <v>7066725</v>
      </c>
      <c r="BB222" s="230">
        <v>-628350</v>
      </c>
      <c r="BC222" s="229">
        <v>-8.8900000000000007E-2</v>
      </c>
      <c r="BD222" s="228">
        <v>0</v>
      </c>
      <c r="BE222" s="228">
        <v>0</v>
      </c>
      <c r="BF222" s="228">
        <v>0</v>
      </c>
      <c r="BG222" s="229">
        <v>0</v>
      </c>
      <c r="BH222" s="230">
        <v>38201025</v>
      </c>
      <c r="BI222" s="230">
        <v>82203225</v>
      </c>
      <c r="BJ222" s="230">
        <v>-44002200</v>
      </c>
      <c r="BK222" s="229">
        <v>-0.5353</v>
      </c>
      <c r="BL222" s="230">
        <v>22483425</v>
      </c>
      <c r="BM222" s="230">
        <v>49843200</v>
      </c>
      <c r="BN222" s="230">
        <v>-27359775</v>
      </c>
      <c r="BO222" s="229">
        <v>-0.54890000000000005</v>
      </c>
      <c r="BP222" s="230">
        <v>85424625</v>
      </c>
      <c r="BQ222" s="230">
        <v>167831400</v>
      </c>
      <c r="BR222" s="230">
        <v>-82406775</v>
      </c>
      <c r="BS222" s="229">
        <v>-0.49099999999999999</v>
      </c>
      <c r="BT222" s="230">
        <v>13546552</v>
      </c>
      <c r="BU222" s="230">
        <v>22421740</v>
      </c>
      <c r="BV222" s="230">
        <v>-8875188</v>
      </c>
      <c r="BW222" s="229">
        <v>-0.39579999999999999</v>
      </c>
      <c r="BX222" s="230">
        <v>87340650</v>
      </c>
      <c r="BY222" s="230">
        <v>83778525</v>
      </c>
      <c r="BZ222" s="230">
        <v>3562125</v>
      </c>
      <c r="CA222" s="229">
        <v>4.2500000000000003E-2</v>
      </c>
      <c r="CB222" s="230">
        <v>75207300</v>
      </c>
      <c r="CC222" s="230">
        <v>74016975</v>
      </c>
      <c r="CD222" s="230">
        <v>1190325</v>
      </c>
      <c r="CE222" s="229">
        <v>1.61E-2</v>
      </c>
      <c r="CF222" s="230">
        <v>11549250</v>
      </c>
      <c r="CG222" s="230">
        <v>9283650</v>
      </c>
      <c r="CH222" s="230">
        <v>2265600</v>
      </c>
      <c r="CI222" s="229">
        <v>0.24399999999999999</v>
      </c>
      <c r="CJ222" s="228">
        <v>0</v>
      </c>
      <c r="CK222" s="228">
        <v>0</v>
      </c>
      <c r="CL222" s="228">
        <v>0</v>
      </c>
      <c r="CM222" s="229">
        <v>0</v>
      </c>
      <c r="CN222" s="230">
        <v>48011250</v>
      </c>
      <c r="CO222" s="230">
        <v>46940400</v>
      </c>
      <c r="CP222" s="230">
        <v>1070850</v>
      </c>
      <c r="CQ222" s="229">
        <v>2.2800000000000001E-2</v>
      </c>
      <c r="CR222" s="230">
        <v>35205300</v>
      </c>
      <c r="CS222" s="230">
        <v>33961875</v>
      </c>
      <c r="CT222" s="230">
        <v>1243425</v>
      </c>
      <c r="CU222" s="229">
        <v>3.6600000000000001E-2</v>
      </c>
      <c r="CV222" s="230">
        <v>170557200</v>
      </c>
      <c r="CW222" s="230">
        <v>164680800</v>
      </c>
      <c r="CX222" s="230">
        <v>5876400</v>
      </c>
      <c r="CY222" s="229">
        <v>3.5700000000000003E-2</v>
      </c>
      <c r="CZ222" s="228">
        <v>29.63</v>
      </c>
      <c r="DA222" s="228">
        <v>30.12</v>
      </c>
      <c r="DB222" s="228">
        <v>-0.49</v>
      </c>
      <c r="DC222" s="228">
        <v>-0.49</v>
      </c>
      <c r="DD222" s="228">
        <v>46.3</v>
      </c>
      <c r="DE222" s="228">
        <v>46.42</v>
      </c>
      <c r="DF222" s="228">
        <v>-16.670000000000002</v>
      </c>
      <c r="DG222" s="228">
        <v>-0.12</v>
      </c>
      <c r="DH222" s="228">
        <v>31.08</v>
      </c>
      <c r="DI222" s="228">
        <v>32.54</v>
      </c>
      <c r="DJ222" s="228">
        <v>-1.46</v>
      </c>
      <c r="DK222" s="228">
        <v>-1.46</v>
      </c>
      <c r="DL222" s="228">
        <v>27.17</v>
      </c>
      <c r="DM222" s="228">
        <v>26.12</v>
      </c>
      <c r="DN222" s="228">
        <v>1.05</v>
      </c>
      <c r="DO222" s="228">
        <v>1.05</v>
      </c>
      <c r="DP222" s="228">
        <v>0.73</v>
      </c>
      <c r="DQ222" s="228">
        <v>0.72</v>
      </c>
      <c r="DR222" s="228">
        <v>0.01</v>
      </c>
      <c r="DS222" s="229">
        <v>1.3899999999999999E-2</v>
      </c>
      <c r="DT222" s="228">
        <v>150</v>
      </c>
      <c r="DU222" s="228">
        <v>140</v>
      </c>
      <c r="DV222" s="228">
        <v>0.59</v>
      </c>
      <c r="DW222" s="228">
        <v>0.61</v>
      </c>
      <c r="DX222" s="228">
        <v>-0.02</v>
      </c>
      <c r="DY222" s="229">
        <v>-3.2800000000000003E-2</v>
      </c>
      <c r="DZ222" s="229">
        <v>0.13220000000000001</v>
      </c>
      <c r="EA222" s="230">
        <v>9283650</v>
      </c>
      <c r="EB222" s="229">
        <v>-3.2000000000000002E-3</v>
      </c>
      <c r="EC222" s="229">
        <v>0.13220000000000001</v>
      </c>
      <c r="ED222" s="228">
        <v>-0.19</v>
      </c>
      <c r="EE222" s="229">
        <v>-1.2999999999999999E-3</v>
      </c>
      <c r="EF222" s="230">
        <v>6773711</v>
      </c>
      <c r="EG222" s="230">
        <v>7862531</v>
      </c>
      <c r="EH222" s="229">
        <v>-0.13850000000000001</v>
      </c>
      <c r="EI222" s="229">
        <v>0.5</v>
      </c>
      <c r="EJ222" s="231">
        <v>57073.32</v>
      </c>
      <c r="EK222" s="231">
        <v>32280.75</v>
      </c>
      <c r="EL222" s="231">
        <v>35398.839999999997</v>
      </c>
      <c r="EM222" s="228">
        <v>0</v>
      </c>
      <c r="EN222" s="231">
        <v>124752.91</v>
      </c>
      <c r="EO222" s="231">
        <v>246436.22</v>
      </c>
      <c r="EP222" s="231">
        <v>-121683.31</v>
      </c>
      <c r="EQ222" s="229">
        <v>-0.49380000000000002</v>
      </c>
      <c r="ER222" s="231">
        <v>73187</v>
      </c>
      <c r="ES222" s="231">
        <v>50237</v>
      </c>
      <c r="ET222" s="231">
        <v>124074</v>
      </c>
      <c r="EU222" s="231">
        <v>385388951</v>
      </c>
      <c r="EV222" s="231">
        <v>247498</v>
      </c>
      <c r="EW222" s="231">
        <v>239475</v>
      </c>
      <c r="EX222" s="231">
        <v>8023</v>
      </c>
      <c r="EY222" s="229">
        <v>3.3500000000000002E-2</v>
      </c>
      <c r="EZ222" s="229">
        <v>0.44259999999999999</v>
      </c>
      <c r="FA222" s="227" t="s">
        <v>567</v>
      </c>
      <c r="FB222" s="161">
        <f t="shared" si="5"/>
        <v>0</v>
      </c>
    </row>
    <row r="223" spans="1:158" ht="17.25" thickBot="1" x14ac:dyDescent="0.3">
      <c r="A223" s="226">
        <v>45860</v>
      </c>
      <c r="B223" s="227" t="s">
        <v>168</v>
      </c>
      <c r="C223" s="227" t="s">
        <v>569</v>
      </c>
      <c r="D223" s="228">
        <v>400</v>
      </c>
      <c r="E223" s="231">
        <v>1345.7</v>
      </c>
      <c r="F223" s="231">
        <v>1370</v>
      </c>
      <c r="G223" s="228">
        <v>-24.3</v>
      </c>
      <c r="H223" s="229">
        <v>-1.77E-2</v>
      </c>
      <c r="I223" s="231">
        <v>1343.5</v>
      </c>
      <c r="J223" s="231">
        <v>1366.4</v>
      </c>
      <c r="K223" s="228">
        <v>-22.9</v>
      </c>
      <c r="L223" s="229">
        <v>-1.6799999999999999E-2</v>
      </c>
      <c r="M223" s="231">
        <v>1345.7</v>
      </c>
      <c r="N223" s="231">
        <v>1370</v>
      </c>
      <c r="O223" s="228">
        <v>-24.3</v>
      </c>
      <c r="P223" s="229">
        <v>-1.77E-2</v>
      </c>
      <c r="Q223" s="231">
        <v>1344.8</v>
      </c>
      <c r="R223" s="231">
        <v>1369.4</v>
      </c>
      <c r="S223" s="228">
        <v>-24.6</v>
      </c>
      <c r="T223" s="229">
        <v>-1.7999999999999999E-2</v>
      </c>
      <c r="U223" s="228">
        <v>0</v>
      </c>
      <c r="V223" s="228">
        <v>0</v>
      </c>
      <c r="W223" s="228">
        <v>0</v>
      </c>
      <c r="X223" s="229">
        <v>0</v>
      </c>
      <c r="Y223" s="228">
        <v>2.2000000000000002</v>
      </c>
      <c r="Z223" s="228">
        <v>3.6</v>
      </c>
      <c r="AA223" s="228">
        <v>-1.4</v>
      </c>
      <c r="AB223" s="229">
        <v>1.6000000000000001E-3</v>
      </c>
      <c r="AC223" s="228">
        <v>2.2000000000000002</v>
      </c>
      <c r="AD223" s="228">
        <v>3.6</v>
      </c>
      <c r="AE223" s="228">
        <v>-1.4</v>
      </c>
      <c r="AF223" s="229">
        <v>1.6000000000000001E-3</v>
      </c>
      <c r="AG223" s="228">
        <v>1.3</v>
      </c>
      <c r="AH223" s="228">
        <v>3</v>
      </c>
      <c r="AI223" s="228">
        <v>-1.7</v>
      </c>
      <c r="AJ223" s="229">
        <v>1E-3</v>
      </c>
      <c r="AK223" s="228">
        <v>0</v>
      </c>
      <c r="AL223" s="228">
        <v>0</v>
      </c>
      <c r="AM223" s="228">
        <v>0</v>
      </c>
      <c r="AN223" s="229">
        <v>0</v>
      </c>
      <c r="AO223" s="231">
        <v>1354.05</v>
      </c>
      <c r="AP223" s="231">
        <v>1353.07</v>
      </c>
      <c r="AQ223" s="228">
        <v>0</v>
      </c>
      <c r="AR223" s="230">
        <v>1683200</v>
      </c>
      <c r="AS223" s="230">
        <v>2014000</v>
      </c>
      <c r="AT223" s="230">
        <v>-330800</v>
      </c>
      <c r="AU223" s="229">
        <v>-0.1643</v>
      </c>
      <c r="AV223" s="230">
        <v>1198400</v>
      </c>
      <c r="AW223" s="230">
        <v>1494400</v>
      </c>
      <c r="AX223" s="230">
        <v>-296000</v>
      </c>
      <c r="AY223" s="229">
        <v>-0.1981</v>
      </c>
      <c r="AZ223" s="230">
        <v>466400</v>
      </c>
      <c r="BA223" s="230">
        <v>497200</v>
      </c>
      <c r="BB223" s="230">
        <v>-30800</v>
      </c>
      <c r="BC223" s="229">
        <v>-6.1899999999999997E-2</v>
      </c>
      <c r="BD223" s="228">
        <v>0</v>
      </c>
      <c r="BE223" s="228">
        <v>0</v>
      </c>
      <c r="BF223" s="228">
        <v>0</v>
      </c>
      <c r="BG223" s="229">
        <v>0</v>
      </c>
      <c r="BH223" s="230">
        <v>3996000</v>
      </c>
      <c r="BI223" s="230">
        <v>2534800</v>
      </c>
      <c r="BJ223" s="230">
        <v>1461200</v>
      </c>
      <c r="BK223" s="229">
        <v>0.57650000000000001</v>
      </c>
      <c r="BL223" s="230">
        <v>1161600</v>
      </c>
      <c r="BM223" s="230">
        <v>991600</v>
      </c>
      <c r="BN223" s="230">
        <v>170000</v>
      </c>
      <c r="BO223" s="229">
        <v>0.1714</v>
      </c>
      <c r="BP223" s="230">
        <v>6840800</v>
      </c>
      <c r="BQ223" s="230">
        <v>5540400</v>
      </c>
      <c r="BR223" s="230">
        <v>1300400</v>
      </c>
      <c r="BS223" s="229">
        <v>0.23469999999999999</v>
      </c>
      <c r="BT223" s="230">
        <v>851739</v>
      </c>
      <c r="BU223" s="230">
        <v>970946</v>
      </c>
      <c r="BV223" s="230">
        <v>-119207</v>
      </c>
      <c r="BW223" s="229">
        <v>-0.12280000000000001</v>
      </c>
      <c r="BX223" s="230">
        <v>16764400</v>
      </c>
      <c r="BY223" s="230">
        <v>16490800</v>
      </c>
      <c r="BZ223" s="230">
        <v>273600</v>
      </c>
      <c r="CA223" s="229">
        <v>1.66E-2</v>
      </c>
      <c r="CB223" s="230">
        <v>14742000</v>
      </c>
      <c r="CC223" s="230">
        <v>14791200</v>
      </c>
      <c r="CD223" s="230">
        <v>-49200</v>
      </c>
      <c r="CE223" s="229">
        <v>-3.3E-3</v>
      </c>
      <c r="CF223" s="230">
        <v>1904800</v>
      </c>
      <c r="CG223" s="230">
        <v>1594400</v>
      </c>
      <c r="CH223" s="230">
        <v>310400</v>
      </c>
      <c r="CI223" s="229">
        <v>0.19470000000000001</v>
      </c>
      <c r="CJ223" s="228">
        <v>0</v>
      </c>
      <c r="CK223" s="228">
        <v>0</v>
      </c>
      <c r="CL223" s="228">
        <v>0</v>
      </c>
      <c r="CM223" s="229">
        <v>0</v>
      </c>
      <c r="CN223" s="230">
        <v>5900400</v>
      </c>
      <c r="CO223" s="230">
        <v>5865600</v>
      </c>
      <c r="CP223" s="230">
        <v>34800</v>
      </c>
      <c r="CQ223" s="229">
        <v>5.8999999999999999E-3</v>
      </c>
      <c r="CR223" s="230">
        <v>4028000</v>
      </c>
      <c r="CS223" s="230">
        <v>4000400</v>
      </c>
      <c r="CT223" s="230">
        <v>27600</v>
      </c>
      <c r="CU223" s="229">
        <v>6.8999999999999999E-3</v>
      </c>
      <c r="CV223" s="230">
        <v>26692800</v>
      </c>
      <c r="CW223" s="230">
        <v>26356800</v>
      </c>
      <c r="CX223" s="230">
        <v>336000</v>
      </c>
      <c r="CY223" s="229">
        <v>1.2699999999999999E-2</v>
      </c>
      <c r="CZ223" s="228">
        <v>30.61</v>
      </c>
      <c r="DA223" s="228">
        <v>30.65</v>
      </c>
      <c r="DB223" s="228">
        <v>-0.04</v>
      </c>
      <c r="DC223" s="228">
        <v>-0.04</v>
      </c>
      <c r="DD223" s="228">
        <v>30.2</v>
      </c>
      <c r="DE223" s="228">
        <v>30.19</v>
      </c>
      <c r="DF223" s="228">
        <v>0.41</v>
      </c>
      <c r="DG223" s="228">
        <v>0.01</v>
      </c>
      <c r="DH223" s="228">
        <v>31.24</v>
      </c>
      <c r="DI223" s="228">
        <v>31.13</v>
      </c>
      <c r="DJ223" s="228">
        <v>0.11</v>
      </c>
      <c r="DK223" s="228">
        <v>0.11</v>
      </c>
      <c r="DL223" s="228">
        <v>28.43</v>
      </c>
      <c r="DM223" s="228">
        <v>29.43</v>
      </c>
      <c r="DN223" s="228">
        <v>-1</v>
      </c>
      <c r="DO223" s="228">
        <v>-1</v>
      </c>
      <c r="DP223" s="228">
        <v>0.68</v>
      </c>
      <c r="DQ223" s="228">
        <v>0.68</v>
      </c>
      <c r="DR223" s="228">
        <v>0</v>
      </c>
      <c r="DS223" s="229">
        <v>0</v>
      </c>
      <c r="DT223" s="231">
        <v>1400</v>
      </c>
      <c r="DU223" s="231">
        <v>1400</v>
      </c>
      <c r="DV223" s="228">
        <v>0.28999999999999998</v>
      </c>
      <c r="DW223" s="228">
        <v>0.39</v>
      </c>
      <c r="DX223" s="228">
        <v>-0.1</v>
      </c>
      <c r="DY223" s="229">
        <v>-0.25640000000000002</v>
      </c>
      <c r="DZ223" s="229">
        <v>0.11360000000000001</v>
      </c>
      <c r="EA223" s="230">
        <v>1594400</v>
      </c>
      <c r="EB223" s="229">
        <v>-6.9999999999999999E-4</v>
      </c>
      <c r="EC223" s="229">
        <v>0.11360000000000001</v>
      </c>
      <c r="ED223" s="228">
        <v>-0.98</v>
      </c>
      <c r="EE223" s="229">
        <v>-6.9999999999999999E-4</v>
      </c>
      <c r="EF223" s="230">
        <v>535068</v>
      </c>
      <c r="EG223" s="230">
        <v>582231</v>
      </c>
      <c r="EH223" s="229">
        <v>-8.1000000000000003E-2</v>
      </c>
      <c r="EI223" s="229">
        <v>0.62819999999999998</v>
      </c>
      <c r="EJ223" s="231">
        <v>57174.48</v>
      </c>
      <c r="EK223" s="231">
        <v>16073.78</v>
      </c>
      <c r="EL223" s="231">
        <v>22787.77</v>
      </c>
      <c r="EM223" s="228">
        <v>0</v>
      </c>
      <c r="EN223" s="231">
        <v>96036.03</v>
      </c>
      <c r="EO223" s="231">
        <v>78132</v>
      </c>
      <c r="EP223" s="231">
        <v>17904.03</v>
      </c>
      <c r="EQ223" s="229">
        <v>0.22919999999999999</v>
      </c>
      <c r="ER223" s="231">
        <v>86117</v>
      </c>
      <c r="ES223" s="231">
        <v>56241</v>
      </c>
      <c r="ET223" s="231">
        <v>225590</v>
      </c>
      <c r="EU223" s="231">
        <v>63025888</v>
      </c>
      <c r="EV223" s="231">
        <v>367948</v>
      </c>
      <c r="EW223" s="231">
        <v>367705</v>
      </c>
      <c r="EX223" s="228">
        <v>243</v>
      </c>
      <c r="EY223" s="229">
        <v>6.9999999999999999E-4</v>
      </c>
      <c r="EZ223" s="229">
        <v>0.42349999999999999</v>
      </c>
      <c r="FA223" s="227" t="s">
        <v>567</v>
      </c>
      <c r="FB223" s="161">
        <f t="shared" si="5"/>
        <v>0</v>
      </c>
    </row>
    <row r="224" spans="1:158" ht="17.25" thickBot="1" x14ac:dyDescent="0.3">
      <c r="A224" s="226">
        <v>45860</v>
      </c>
      <c r="B224" s="227" t="s">
        <v>162</v>
      </c>
      <c r="C224" s="227" t="s">
        <v>676</v>
      </c>
      <c r="D224" s="228">
        <v>550</v>
      </c>
      <c r="E224" s="231">
        <v>1064</v>
      </c>
      <c r="F224" s="231">
        <v>1081.0999999999999</v>
      </c>
      <c r="G224" s="228">
        <v>-17.100000000000001</v>
      </c>
      <c r="H224" s="229">
        <v>-1.5800000000000002E-2</v>
      </c>
      <c r="I224" s="231">
        <v>1061.4000000000001</v>
      </c>
      <c r="J224" s="231">
        <v>1078</v>
      </c>
      <c r="K224" s="228">
        <v>-16.600000000000001</v>
      </c>
      <c r="L224" s="229">
        <v>-1.54E-2</v>
      </c>
      <c r="M224" s="231">
        <v>1064</v>
      </c>
      <c r="N224" s="231">
        <v>1081.0999999999999</v>
      </c>
      <c r="O224" s="228">
        <v>-17.100000000000001</v>
      </c>
      <c r="P224" s="229">
        <v>-1.5800000000000002E-2</v>
      </c>
      <c r="Q224" s="231">
        <v>1069.3</v>
      </c>
      <c r="R224" s="231">
        <v>1086.4000000000001</v>
      </c>
      <c r="S224" s="228">
        <v>-17.100000000000001</v>
      </c>
      <c r="T224" s="229">
        <v>-1.5699999999999999E-2</v>
      </c>
      <c r="U224" s="228">
        <v>0</v>
      </c>
      <c r="V224" s="228">
        <v>0</v>
      </c>
      <c r="W224" s="228">
        <v>0</v>
      </c>
      <c r="X224" s="229">
        <v>0</v>
      </c>
      <c r="Y224" s="228">
        <v>2.6</v>
      </c>
      <c r="Z224" s="228">
        <v>3.1</v>
      </c>
      <c r="AA224" s="228">
        <v>-0.5</v>
      </c>
      <c r="AB224" s="229">
        <v>2.3999999999999998E-3</v>
      </c>
      <c r="AC224" s="228">
        <v>2.6</v>
      </c>
      <c r="AD224" s="228">
        <v>3.1</v>
      </c>
      <c r="AE224" s="228">
        <v>-0.5</v>
      </c>
      <c r="AF224" s="229">
        <v>2.3999999999999998E-3</v>
      </c>
      <c r="AG224" s="228">
        <v>7.9</v>
      </c>
      <c r="AH224" s="228">
        <v>8.4</v>
      </c>
      <c r="AI224" s="228">
        <v>-0.5</v>
      </c>
      <c r="AJ224" s="229">
        <v>7.4000000000000003E-3</v>
      </c>
      <c r="AK224" s="228">
        <v>0</v>
      </c>
      <c r="AL224" s="228">
        <v>0</v>
      </c>
      <c r="AM224" s="228">
        <v>0</v>
      </c>
      <c r="AN224" s="229">
        <v>0</v>
      </c>
      <c r="AO224" s="231">
        <v>1069.48</v>
      </c>
      <c r="AP224" s="231">
        <v>1075.5</v>
      </c>
      <c r="AQ224" s="228">
        <v>0</v>
      </c>
      <c r="AR224" s="230">
        <v>446050</v>
      </c>
      <c r="AS224" s="230">
        <v>457050</v>
      </c>
      <c r="AT224" s="230">
        <v>-11000</v>
      </c>
      <c r="AU224" s="229">
        <v>-2.41E-2</v>
      </c>
      <c r="AV224" s="230">
        <v>408100</v>
      </c>
      <c r="AW224" s="230">
        <v>386650</v>
      </c>
      <c r="AX224" s="230">
        <v>21450</v>
      </c>
      <c r="AY224" s="229">
        <v>5.5500000000000001E-2</v>
      </c>
      <c r="AZ224" s="230">
        <v>35750</v>
      </c>
      <c r="BA224" s="230">
        <v>69300</v>
      </c>
      <c r="BB224" s="230">
        <v>-33550</v>
      </c>
      <c r="BC224" s="229">
        <v>-0.48409999999999997</v>
      </c>
      <c r="BD224" s="228">
        <v>0</v>
      </c>
      <c r="BE224" s="228">
        <v>0</v>
      </c>
      <c r="BF224" s="228">
        <v>0</v>
      </c>
      <c r="BG224" s="229">
        <v>0</v>
      </c>
      <c r="BH224" s="230">
        <v>1104950</v>
      </c>
      <c r="BI224" s="230">
        <v>1334300</v>
      </c>
      <c r="BJ224" s="230">
        <v>-229350</v>
      </c>
      <c r="BK224" s="229">
        <v>-0.1719</v>
      </c>
      <c r="BL224" s="230">
        <v>961950</v>
      </c>
      <c r="BM224" s="230">
        <v>1192400</v>
      </c>
      <c r="BN224" s="230">
        <v>-230450</v>
      </c>
      <c r="BO224" s="229">
        <v>-0.1933</v>
      </c>
      <c r="BP224" s="230">
        <v>2512950</v>
      </c>
      <c r="BQ224" s="230">
        <v>2983750</v>
      </c>
      <c r="BR224" s="230">
        <v>-470800</v>
      </c>
      <c r="BS224" s="229">
        <v>-0.1578</v>
      </c>
      <c r="BT224" s="230">
        <v>357276</v>
      </c>
      <c r="BU224" s="230">
        <v>381704</v>
      </c>
      <c r="BV224" s="230">
        <v>-24428</v>
      </c>
      <c r="BW224" s="229">
        <v>-6.4000000000000001E-2</v>
      </c>
      <c r="BX224" s="230">
        <v>2749450</v>
      </c>
      <c r="BY224" s="230">
        <v>2814900</v>
      </c>
      <c r="BZ224" s="230">
        <v>-65450</v>
      </c>
      <c r="CA224" s="229">
        <v>-2.3300000000000001E-2</v>
      </c>
      <c r="CB224" s="230">
        <v>2647700</v>
      </c>
      <c r="CC224" s="230">
        <v>2720300</v>
      </c>
      <c r="CD224" s="230">
        <v>-72600</v>
      </c>
      <c r="CE224" s="229">
        <v>-2.6700000000000002E-2</v>
      </c>
      <c r="CF224" s="230">
        <v>94050</v>
      </c>
      <c r="CG224" s="230">
        <v>89100</v>
      </c>
      <c r="CH224" s="230">
        <v>4950</v>
      </c>
      <c r="CI224" s="229">
        <v>5.5599999999999997E-2</v>
      </c>
      <c r="CJ224" s="228">
        <v>0</v>
      </c>
      <c r="CK224" s="228">
        <v>0</v>
      </c>
      <c r="CL224" s="228">
        <v>0</v>
      </c>
      <c r="CM224" s="229">
        <v>0</v>
      </c>
      <c r="CN224" s="230">
        <v>1835350</v>
      </c>
      <c r="CO224" s="230">
        <v>1747900</v>
      </c>
      <c r="CP224" s="230">
        <v>87450</v>
      </c>
      <c r="CQ224" s="229">
        <v>0.05</v>
      </c>
      <c r="CR224" s="230">
        <v>702350</v>
      </c>
      <c r="CS224" s="230">
        <v>771650</v>
      </c>
      <c r="CT224" s="230">
        <v>-69300</v>
      </c>
      <c r="CU224" s="229">
        <v>-8.9800000000000005E-2</v>
      </c>
      <c r="CV224" s="230">
        <v>5287150</v>
      </c>
      <c r="CW224" s="230">
        <v>5334450</v>
      </c>
      <c r="CX224" s="230">
        <v>-47300</v>
      </c>
      <c r="CY224" s="229">
        <v>-8.8999999999999999E-3</v>
      </c>
      <c r="CZ224" s="228">
        <v>36.61</v>
      </c>
      <c r="DA224" s="228">
        <v>37.54</v>
      </c>
      <c r="DB224" s="228">
        <v>-0.93</v>
      </c>
      <c r="DC224" s="228">
        <v>-0.93</v>
      </c>
      <c r="DD224" s="228">
        <v>43.68</v>
      </c>
      <c r="DE224" s="228">
        <v>43.73</v>
      </c>
      <c r="DF224" s="228">
        <v>-7.07</v>
      </c>
      <c r="DG224" s="228">
        <v>-0.05</v>
      </c>
      <c r="DH224" s="228">
        <v>38.85</v>
      </c>
      <c r="DI224" s="228">
        <v>38.6</v>
      </c>
      <c r="DJ224" s="228">
        <v>0.25</v>
      </c>
      <c r="DK224" s="228">
        <v>0.25</v>
      </c>
      <c r="DL224" s="228">
        <v>34.049999999999997</v>
      </c>
      <c r="DM224" s="228">
        <v>36.35</v>
      </c>
      <c r="DN224" s="228">
        <v>-2.2999999999999998</v>
      </c>
      <c r="DO224" s="228">
        <v>-2.2999999999999998</v>
      </c>
      <c r="DP224" s="228">
        <v>0.38</v>
      </c>
      <c r="DQ224" s="228">
        <v>0.44</v>
      </c>
      <c r="DR224" s="228">
        <v>-0.06</v>
      </c>
      <c r="DS224" s="229">
        <v>-0.13639999999999999</v>
      </c>
      <c r="DT224" s="231">
        <v>1200</v>
      </c>
      <c r="DU224" s="231">
        <v>1040</v>
      </c>
      <c r="DV224" s="228">
        <v>0.87</v>
      </c>
      <c r="DW224" s="228">
        <v>0.89</v>
      </c>
      <c r="DX224" s="228">
        <v>-0.02</v>
      </c>
      <c r="DY224" s="229">
        <v>-2.2499999999999999E-2</v>
      </c>
      <c r="DZ224" s="229">
        <v>3.4200000000000001E-2</v>
      </c>
      <c r="EA224" s="230">
        <v>89100</v>
      </c>
      <c r="EB224" s="229">
        <v>5.0000000000000001E-3</v>
      </c>
      <c r="EC224" s="229">
        <v>3.4200000000000001E-2</v>
      </c>
      <c r="ED224" s="228">
        <v>6.02</v>
      </c>
      <c r="EE224" s="229">
        <v>5.5999999999999999E-3</v>
      </c>
      <c r="EF224" s="230">
        <v>211547</v>
      </c>
      <c r="EG224" s="230">
        <v>222537</v>
      </c>
      <c r="EH224" s="229">
        <v>-4.9399999999999999E-2</v>
      </c>
      <c r="EI224" s="229">
        <v>0.59209999999999996</v>
      </c>
      <c r="EJ224" s="231">
        <v>12817.92</v>
      </c>
      <c r="EK224" s="231">
        <v>10307.469999999999</v>
      </c>
      <c r="EL224" s="231">
        <v>4772.9399999999996</v>
      </c>
      <c r="EM224" s="228">
        <v>0</v>
      </c>
      <c r="EN224" s="231">
        <v>27898.33</v>
      </c>
      <c r="EO224" s="231">
        <v>33200.5</v>
      </c>
      <c r="EP224" s="231">
        <v>-5302.17</v>
      </c>
      <c r="EQ224" s="229">
        <v>-0.15970000000000001</v>
      </c>
      <c r="ER224" s="231">
        <v>21266</v>
      </c>
      <c r="ES224" s="231">
        <v>7378</v>
      </c>
      <c r="ET224" s="231">
        <v>29261</v>
      </c>
      <c r="EU224" s="231">
        <v>35881800</v>
      </c>
      <c r="EV224" s="231">
        <v>57904</v>
      </c>
      <c r="EW224" s="231">
        <v>58839</v>
      </c>
      <c r="EX224" s="228">
        <v>-935</v>
      </c>
      <c r="EY224" s="229">
        <v>-1.5900000000000001E-2</v>
      </c>
      <c r="EZ224" s="229">
        <v>0.14729999999999999</v>
      </c>
      <c r="FA224" s="227" t="s">
        <v>568</v>
      </c>
      <c r="FB224" s="161">
        <f t="shared" si="5"/>
        <v>0</v>
      </c>
    </row>
    <row r="225" spans="1:158" ht="17.25" thickBot="1" x14ac:dyDescent="0.3">
      <c r="A225" s="226">
        <v>45860</v>
      </c>
      <c r="B225" s="227" t="s">
        <v>498</v>
      </c>
      <c r="C225" s="227" t="s">
        <v>303</v>
      </c>
      <c r="D225" s="228">
        <v>1355</v>
      </c>
      <c r="E225" s="228">
        <v>725.1</v>
      </c>
      <c r="F225" s="228">
        <v>715.6</v>
      </c>
      <c r="G225" s="228">
        <v>9.5</v>
      </c>
      <c r="H225" s="229">
        <v>1.3299999999999999E-2</v>
      </c>
      <c r="I225" s="228">
        <v>722.85</v>
      </c>
      <c r="J225" s="228">
        <v>713.75</v>
      </c>
      <c r="K225" s="228">
        <v>9.1</v>
      </c>
      <c r="L225" s="229">
        <v>1.2699999999999999E-2</v>
      </c>
      <c r="M225" s="228">
        <v>725.1</v>
      </c>
      <c r="N225" s="228">
        <v>715.6</v>
      </c>
      <c r="O225" s="228">
        <v>9.5</v>
      </c>
      <c r="P225" s="229">
        <v>1.3299999999999999E-2</v>
      </c>
      <c r="Q225" s="228">
        <v>727.45</v>
      </c>
      <c r="R225" s="228">
        <v>717.5</v>
      </c>
      <c r="S225" s="228">
        <v>9.9499999999999993</v>
      </c>
      <c r="T225" s="229">
        <v>1.3899999999999999E-2</v>
      </c>
      <c r="U225" s="228">
        <v>0</v>
      </c>
      <c r="V225" s="228">
        <v>0</v>
      </c>
      <c r="W225" s="228">
        <v>0</v>
      </c>
      <c r="X225" s="229">
        <v>0</v>
      </c>
      <c r="Y225" s="228">
        <v>2.25</v>
      </c>
      <c r="Z225" s="228">
        <v>1.85</v>
      </c>
      <c r="AA225" s="228">
        <v>0.4</v>
      </c>
      <c r="AB225" s="229">
        <v>3.0999999999999999E-3</v>
      </c>
      <c r="AC225" s="228">
        <v>2.25</v>
      </c>
      <c r="AD225" s="228">
        <v>1.85</v>
      </c>
      <c r="AE225" s="228">
        <v>0.4</v>
      </c>
      <c r="AF225" s="229">
        <v>3.0999999999999999E-3</v>
      </c>
      <c r="AG225" s="228">
        <v>4.5999999999999996</v>
      </c>
      <c r="AH225" s="228">
        <v>3.75</v>
      </c>
      <c r="AI225" s="228">
        <v>0.85</v>
      </c>
      <c r="AJ225" s="229">
        <v>6.4000000000000003E-3</v>
      </c>
      <c r="AK225" s="228">
        <v>0</v>
      </c>
      <c r="AL225" s="228">
        <v>0</v>
      </c>
      <c r="AM225" s="228">
        <v>0</v>
      </c>
      <c r="AN225" s="229">
        <v>0</v>
      </c>
      <c r="AO225" s="228">
        <v>723.21</v>
      </c>
      <c r="AP225" s="228">
        <v>726.36</v>
      </c>
      <c r="AQ225" s="228">
        <v>0</v>
      </c>
      <c r="AR225" s="230">
        <v>13642140</v>
      </c>
      <c r="AS225" s="230">
        <v>12875210</v>
      </c>
      <c r="AT225" s="230">
        <v>766930</v>
      </c>
      <c r="AU225" s="229">
        <v>5.96E-2</v>
      </c>
      <c r="AV225" s="230">
        <v>10741085</v>
      </c>
      <c r="AW225" s="230">
        <v>10913170</v>
      </c>
      <c r="AX225" s="230">
        <v>-172085</v>
      </c>
      <c r="AY225" s="229">
        <v>-1.5800000000000002E-2</v>
      </c>
      <c r="AZ225" s="230">
        <v>2727615</v>
      </c>
      <c r="BA225" s="230">
        <v>1796730</v>
      </c>
      <c r="BB225" s="230">
        <v>930885</v>
      </c>
      <c r="BC225" s="229">
        <v>0.5181</v>
      </c>
      <c r="BD225" s="228">
        <v>0</v>
      </c>
      <c r="BE225" s="228">
        <v>0</v>
      </c>
      <c r="BF225" s="228">
        <v>0</v>
      </c>
      <c r="BG225" s="229">
        <v>0</v>
      </c>
      <c r="BH225" s="230">
        <v>54590240</v>
      </c>
      <c r="BI225" s="230">
        <v>85012700</v>
      </c>
      <c r="BJ225" s="230">
        <v>-30422460</v>
      </c>
      <c r="BK225" s="229">
        <v>-0.3579</v>
      </c>
      <c r="BL225" s="230">
        <v>22518745</v>
      </c>
      <c r="BM225" s="230">
        <v>27684005</v>
      </c>
      <c r="BN225" s="230">
        <v>-5165260</v>
      </c>
      <c r="BO225" s="229">
        <v>-0.18659999999999999</v>
      </c>
      <c r="BP225" s="230">
        <v>90751125</v>
      </c>
      <c r="BQ225" s="230">
        <v>125571915</v>
      </c>
      <c r="BR225" s="230">
        <v>-34820790</v>
      </c>
      <c r="BS225" s="229">
        <v>-0.27729999999999999</v>
      </c>
      <c r="BT225" s="230">
        <v>4268059</v>
      </c>
      <c r="BU225" s="230">
        <v>8341815</v>
      </c>
      <c r="BV225" s="230">
        <v>-4073756</v>
      </c>
      <c r="BW225" s="229">
        <v>-0.4884</v>
      </c>
      <c r="BX225" s="230">
        <v>35923760</v>
      </c>
      <c r="BY225" s="230">
        <v>36545705</v>
      </c>
      <c r="BZ225" s="230">
        <v>-621945</v>
      </c>
      <c r="CA225" s="229">
        <v>-1.7000000000000001E-2</v>
      </c>
      <c r="CB225" s="230">
        <v>30613515</v>
      </c>
      <c r="CC225" s="230">
        <v>31641960</v>
      </c>
      <c r="CD225" s="230">
        <v>-1028445</v>
      </c>
      <c r="CE225" s="229">
        <v>-3.2500000000000001E-2</v>
      </c>
      <c r="CF225" s="230">
        <v>5090735</v>
      </c>
      <c r="CG225" s="230">
        <v>4716755</v>
      </c>
      <c r="CH225" s="230">
        <v>373980</v>
      </c>
      <c r="CI225" s="229">
        <v>7.9299999999999995E-2</v>
      </c>
      <c r="CJ225" s="228">
        <v>0</v>
      </c>
      <c r="CK225" s="228">
        <v>0</v>
      </c>
      <c r="CL225" s="228">
        <v>0</v>
      </c>
      <c r="CM225" s="229">
        <v>0</v>
      </c>
      <c r="CN225" s="230">
        <v>16147535</v>
      </c>
      <c r="CO225" s="230">
        <v>16529645</v>
      </c>
      <c r="CP225" s="230">
        <v>-382110</v>
      </c>
      <c r="CQ225" s="229">
        <v>-2.3099999999999999E-2</v>
      </c>
      <c r="CR225" s="230">
        <v>12654345</v>
      </c>
      <c r="CS225" s="230">
        <v>11774950</v>
      </c>
      <c r="CT225" s="230">
        <v>879395</v>
      </c>
      <c r="CU225" s="229">
        <v>7.4700000000000003E-2</v>
      </c>
      <c r="CV225" s="230">
        <v>64725640</v>
      </c>
      <c r="CW225" s="230">
        <v>64850300</v>
      </c>
      <c r="CX225" s="230">
        <v>-124660</v>
      </c>
      <c r="CY225" s="229">
        <v>-1.9E-3</v>
      </c>
      <c r="CZ225" s="228">
        <v>27.77</v>
      </c>
      <c r="DA225" s="228">
        <v>27.1</v>
      </c>
      <c r="DB225" s="228">
        <v>0.67</v>
      </c>
      <c r="DC225" s="228">
        <v>0.67</v>
      </c>
      <c r="DD225" s="228">
        <v>34.409999999999997</v>
      </c>
      <c r="DE225" s="228">
        <v>34.450000000000003</v>
      </c>
      <c r="DF225" s="228">
        <v>-6.64</v>
      </c>
      <c r="DG225" s="228">
        <v>-0.04</v>
      </c>
      <c r="DH225" s="228">
        <v>27.42</v>
      </c>
      <c r="DI225" s="228">
        <v>26.6</v>
      </c>
      <c r="DJ225" s="228">
        <v>0.82</v>
      </c>
      <c r="DK225" s="228">
        <v>0.82</v>
      </c>
      <c r="DL225" s="228">
        <v>28.62</v>
      </c>
      <c r="DM225" s="228">
        <v>28.63</v>
      </c>
      <c r="DN225" s="228">
        <v>-0.01</v>
      </c>
      <c r="DO225" s="228">
        <v>-0.01</v>
      </c>
      <c r="DP225" s="228">
        <v>0.78</v>
      </c>
      <c r="DQ225" s="228">
        <v>0.71</v>
      </c>
      <c r="DR225" s="228">
        <v>7.0000000000000007E-2</v>
      </c>
      <c r="DS225" s="229">
        <v>9.8599999999999993E-2</v>
      </c>
      <c r="DT225" s="228">
        <v>700</v>
      </c>
      <c r="DU225" s="228">
        <v>700</v>
      </c>
      <c r="DV225" s="228">
        <v>0.41</v>
      </c>
      <c r="DW225" s="228">
        <v>0.33</v>
      </c>
      <c r="DX225" s="228">
        <v>0.08</v>
      </c>
      <c r="DY225" s="229">
        <v>0.2424</v>
      </c>
      <c r="DZ225" s="229">
        <v>0.14169999999999999</v>
      </c>
      <c r="EA225" s="230">
        <v>4716755</v>
      </c>
      <c r="EB225" s="229">
        <v>3.2000000000000002E-3</v>
      </c>
      <c r="EC225" s="229">
        <v>0.14169999999999999</v>
      </c>
      <c r="ED225" s="228">
        <v>3.15</v>
      </c>
      <c r="EE225" s="229">
        <v>4.4000000000000003E-3</v>
      </c>
      <c r="EF225" s="230">
        <v>1714836</v>
      </c>
      <c r="EG225" s="230">
        <v>4019910</v>
      </c>
      <c r="EH225" s="229">
        <v>-0.57340000000000002</v>
      </c>
      <c r="EI225" s="229">
        <v>0.40179999999999999</v>
      </c>
      <c r="EJ225" s="231">
        <v>407637.56</v>
      </c>
      <c r="EK225" s="231">
        <v>159534.42000000001</v>
      </c>
      <c r="EL225" s="231">
        <v>98757.03</v>
      </c>
      <c r="EM225" s="228">
        <v>0</v>
      </c>
      <c r="EN225" s="231">
        <v>665929.01</v>
      </c>
      <c r="EO225" s="231">
        <v>903326.74</v>
      </c>
      <c r="EP225" s="231">
        <v>-237397.73</v>
      </c>
      <c r="EQ225" s="229">
        <v>-0.26279999999999998</v>
      </c>
      <c r="ER225" s="231">
        <v>113257</v>
      </c>
      <c r="ES225" s="231">
        <v>85426</v>
      </c>
      <c r="ET225" s="231">
        <v>260611</v>
      </c>
      <c r="EU225" s="231">
        <v>112299677</v>
      </c>
      <c r="EV225" s="231">
        <v>459294</v>
      </c>
      <c r="EW225" s="231">
        <v>455246</v>
      </c>
      <c r="EX225" s="231">
        <v>4048</v>
      </c>
      <c r="EY225" s="229">
        <v>8.8999999999999999E-3</v>
      </c>
      <c r="EZ225" s="229">
        <v>0.57640000000000002</v>
      </c>
      <c r="FA225" s="227" t="s">
        <v>556</v>
      </c>
      <c r="FB225" s="161">
        <f t="shared" si="5"/>
        <v>0</v>
      </c>
    </row>
    <row r="226" spans="1:158" ht="17.25" thickBot="1" x14ac:dyDescent="0.3">
      <c r="A226" s="226">
        <v>45860</v>
      </c>
      <c r="B226" s="227" t="s">
        <v>168</v>
      </c>
      <c r="C226" s="227" t="s">
        <v>587</v>
      </c>
      <c r="D226" s="228">
        <v>1025</v>
      </c>
      <c r="E226" s="228">
        <v>485.45</v>
      </c>
      <c r="F226" s="228">
        <v>489.65</v>
      </c>
      <c r="G226" s="228">
        <v>-4.2</v>
      </c>
      <c r="H226" s="229">
        <v>-8.6E-3</v>
      </c>
      <c r="I226" s="228">
        <v>485.25</v>
      </c>
      <c r="J226" s="228">
        <v>489.3</v>
      </c>
      <c r="K226" s="228">
        <v>-4.05</v>
      </c>
      <c r="L226" s="229">
        <v>-8.3000000000000001E-3</v>
      </c>
      <c r="M226" s="228">
        <v>485.45</v>
      </c>
      <c r="N226" s="228">
        <v>489.65</v>
      </c>
      <c r="O226" s="228">
        <v>-4.2</v>
      </c>
      <c r="P226" s="229">
        <v>-8.6E-3</v>
      </c>
      <c r="Q226" s="228">
        <v>487.35</v>
      </c>
      <c r="R226" s="228">
        <v>491.6</v>
      </c>
      <c r="S226" s="228">
        <v>-4.25</v>
      </c>
      <c r="T226" s="229">
        <v>-8.6E-3</v>
      </c>
      <c r="U226" s="228">
        <v>0</v>
      </c>
      <c r="V226" s="228">
        <v>0</v>
      </c>
      <c r="W226" s="228">
        <v>0</v>
      </c>
      <c r="X226" s="229">
        <v>0</v>
      </c>
      <c r="Y226" s="228">
        <v>0.2</v>
      </c>
      <c r="Z226" s="228">
        <v>0.35</v>
      </c>
      <c r="AA226" s="228">
        <v>-0.15</v>
      </c>
      <c r="AB226" s="229">
        <v>4.0000000000000002E-4</v>
      </c>
      <c r="AC226" s="228">
        <v>0.2</v>
      </c>
      <c r="AD226" s="228">
        <v>0.35</v>
      </c>
      <c r="AE226" s="228">
        <v>-0.15</v>
      </c>
      <c r="AF226" s="229">
        <v>4.0000000000000002E-4</v>
      </c>
      <c r="AG226" s="228">
        <v>2.1</v>
      </c>
      <c r="AH226" s="228">
        <v>2.2999999999999998</v>
      </c>
      <c r="AI226" s="228">
        <v>-0.2</v>
      </c>
      <c r="AJ226" s="229">
        <v>4.3E-3</v>
      </c>
      <c r="AK226" s="228">
        <v>0</v>
      </c>
      <c r="AL226" s="228">
        <v>0</v>
      </c>
      <c r="AM226" s="228">
        <v>0</v>
      </c>
      <c r="AN226" s="229">
        <v>0</v>
      </c>
      <c r="AO226" s="228">
        <v>485.51</v>
      </c>
      <c r="AP226" s="228">
        <v>487.42</v>
      </c>
      <c r="AQ226" s="228">
        <v>0</v>
      </c>
      <c r="AR226" s="230">
        <v>4138950</v>
      </c>
      <c r="AS226" s="230">
        <v>5881450</v>
      </c>
      <c r="AT226" s="230">
        <v>-1742500</v>
      </c>
      <c r="AU226" s="229">
        <v>-0.29630000000000001</v>
      </c>
      <c r="AV226" s="230">
        <v>3528050</v>
      </c>
      <c r="AW226" s="230">
        <v>5041975</v>
      </c>
      <c r="AX226" s="230">
        <v>-1513925</v>
      </c>
      <c r="AY226" s="229">
        <v>-0.30030000000000001</v>
      </c>
      <c r="AZ226" s="230">
        <v>562725</v>
      </c>
      <c r="BA226" s="230">
        <v>769775</v>
      </c>
      <c r="BB226" s="230">
        <v>-207050</v>
      </c>
      <c r="BC226" s="229">
        <v>-0.26900000000000002</v>
      </c>
      <c r="BD226" s="228">
        <v>0</v>
      </c>
      <c r="BE226" s="228">
        <v>0</v>
      </c>
      <c r="BF226" s="228">
        <v>0</v>
      </c>
      <c r="BG226" s="229">
        <v>0</v>
      </c>
      <c r="BH226" s="230">
        <v>6373450</v>
      </c>
      <c r="BI226" s="230">
        <v>14827650</v>
      </c>
      <c r="BJ226" s="230">
        <v>-8454200</v>
      </c>
      <c r="BK226" s="229">
        <v>-0.57020000000000004</v>
      </c>
      <c r="BL226" s="230">
        <v>3533175</v>
      </c>
      <c r="BM226" s="230">
        <v>6811125</v>
      </c>
      <c r="BN226" s="230">
        <v>-3277950</v>
      </c>
      <c r="BO226" s="229">
        <v>-0.48130000000000001</v>
      </c>
      <c r="BP226" s="230">
        <v>14045575</v>
      </c>
      <c r="BQ226" s="230">
        <v>27520225</v>
      </c>
      <c r="BR226" s="230">
        <v>-13474650</v>
      </c>
      <c r="BS226" s="229">
        <v>-0.48959999999999998</v>
      </c>
      <c r="BT226" s="230">
        <v>4505643</v>
      </c>
      <c r="BU226" s="230">
        <v>5298220</v>
      </c>
      <c r="BV226" s="230">
        <v>-792577</v>
      </c>
      <c r="BW226" s="229">
        <v>-0.14960000000000001</v>
      </c>
      <c r="BX226" s="230">
        <v>39285175</v>
      </c>
      <c r="BY226" s="230">
        <v>40164625</v>
      </c>
      <c r="BZ226" s="230">
        <v>-879450</v>
      </c>
      <c r="CA226" s="229">
        <v>-2.1899999999999999E-2</v>
      </c>
      <c r="CB226" s="230">
        <v>36235800</v>
      </c>
      <c r="CC226" s="230">
        <v>37292575</v>
      </c>
      <c r="CD226" s="230">
        <v>-1056775</v>
      </c>
      <c r="CE226" s="229">
        <v>-2.8299999999999999E-2</v>
      </c>
      <c r="CF226" s="230">
        <v>2716250</v>
      </c>
      <c r="CG226" s="230">
        <v>2563525</v>
      </c>
      <c r="CH226" s="230">
        <v>152725</v>
      </c>
      <c r="CI226" s="229">
        <v>5.96E-2</v>
      </c>
      <c r="CJ226" s="228">
        <v>0</v>
      </c>
      <c r="CK226" s="228">
        <v>0</v>
      </c>
      <c r="CL226" s="228">
        <v>0</v>
      </c>
      <c r="CM226" s="229">
        <v>0</v>
      </c>
      <c r="CN226" s="230">
        <v>20205825</v>
      </c>
      <c r="CO226" s="230">
        <v>20372900</v>
      </c>
      <c r="CP226" s="230">
        <v>-167075</v>
      </c>
      <c r="CQ226" s="229">
        <v>-8.2000000000000007E-3</v>
      </c>
      <c r="CR226" s="230">
        <v>8948250</v>
      </c>
      <c r="CS226" s="230">
        <v>8884700</v>
      </c>
      <c r="CT226" s="230">
        <v>63550</v>
      </c>
      <c r="CU226" s="229">
        <v>7.1999999999999998E-3</v>
      </c>
      <c r="CV226" s="230">
        <v>68439250</v>
      </c>
      <c r="CW226" s="230">
        <v>69422225</v>
      </c>
      <c r="CX226" s="230">
        <v>-982975</v>
      </c>
      <c r="CY226" s="229">
        <v>-1.4200000000000001E-2</v>
      </c>
      <c r="CZ226" s="228">
        <v>25.9</v>
      </c>
      <c r="DA226" s="228">
        <v>26.85</v>
      </c>
      <c r="DB226" s="228">
        <v>-0.95</v>
      </c>
      <c r="DC226" s="228">
        <v>-0.95</v>
      </c>
      <c r="DD226" s="228">
        <v>40.659999999999997</v>
      </c>
      <c r="DE226" s="228">
        <v>40.75</v>
      </c>
      <c r="DF226" s="228">
        <v>-14.76</v>
      </c>
      <c r="DG226" s="228">
        <v>-0.09</v>
      </c>
      <c r="DH226" s="228">
        <v>26.18</v>
      </c>
      <c r="DI226" s="228">
        <v>26.91</v>
      </c>
      <c r="DJ226" s="228">
        <v>-0.73</v>
      </c>
      <c r="DK226" s="228">
        <v>-0.73</v>
      </c>
      <c r="DL226" s="228">
        <v>25.41</v>
      </c>
      <c r="DM226" s="228">
        <v>26.72</v>
      </c>
      <c r="DN226" s="228">
        <v>-1.31</v>
      </c>
      <c r="DO226" s="228">
        <v>-1.31</v>
      </c>
      <c r="DP226" s="228">
        <v>0.44</v>
      </c>
      <c r="DQ226" s="228">
        <v>0.44</v>
      </c>
      <c r="DR226" s="228">
        <v>0</v>
      </c>
      <c r="DS226" s="229">
        <v>0</v>
      </c>
      <c r="DT226" s="228">
        <v>480</v>
      </c>
      <c r="DU226" s="228">
        <v>490</v>
      </c>
      <c r="DV226" s="228">
        <v>0.55000000000000004</v>
      </c>
      <c r="DW226" s="228">
        <v>0.46</v>
      </c>
      <c r="DX226" s="228">
        <v>0.09</v>
      </c>
      <c r="DY226" s="229">
        <v>0.19570000000000001</v>
      </c>
      <c r="DZ226" s="229">
        <v>6.9099999999999995E-2</v>
      </c>
      <c r="EA226" s="230">
        <v>2563525</v>
      </c>
      <c r="EB226" s="229">
        <v>3.8999999999999998E-3</v>
      </c>
      <c r="EC226" s="229">
        <v>6.9099999999999995E-2</v>
      </c>
      <c r="ED226" s="228">
        <v>1.91</v>
      </c>
      <c r="EE226" s="229">
        <v>3.8999999999999998E-3</v>
      </c>
      <c r="EF226" s="230">
        <v>3197839</v>
      </c>
      <c r="EG226" s="230">
        <v>3593159</v>
      </c>
      <c r="EH226" s="229">
        <v>-0.11</v>
      </c>
      <c r="EI226" s="229">
        <v>0.7097</v>
      </c>
      <c r="EJ226" s="231">
        <v>32085.29</v>
      </c>
      <c r="EK226" s="231">
        <v>17003.8</v>
      </c>
      <c r="EL226" s="231">
        <v>20107.97</v>
      </c>
      <c r="EM226" s="228">
        <v>0</v>
      </c>
      <c r="EN226" s="231">
        <v>69197.06</v>
      </c>
      <c r="EO226" s="231">
        <v>136263.51999999999</v>
      </c>
      <c r="EP226" s="231">
        <v>-67066.460000000006</v>
      </c>
      <c r="EQ226" s="229">
        <v>-0.49220000000000003</v>
      </c>
      <c r="ER226" s="231">
        <v>98984</v>
      </c>
      <c r="ES226" s="231">
        <v>41870</v>
      </c>
      <c r="ET226" s="231">
        <v>190778</v>
      </c>
      <c r="EU226" s="231">
        <v>268960013</v>
      </c>
      <c r="EV226" s="231">
        <v>331632</v>
      </c>
      <c r="EW226" s="231">
        <v>338066</v>
      </c>
      <c r="EX226" s="231">
        <v>-6434</v>
      </c>
      <c r="EY226" s="229">
        <v>-1.9E-2</v>
      </c>
      <c r="EZ226" s="229">
        <v>0.2545</v>
      </c>
      <c r="FA226" s="227" t="s">
        <v>568</v>
      </c>
      <c r="FB226" s="161">
        <f t="shared" si="5"/>
        <v>0</v>
      </c>
    </row>
    <row r="227" spans="1:158" ht="17.25" thickBot="1" x14ac:dyDescent="0.3">
      <c r="A227" s="226">
        <v>45860</v>
      </c>
      <c r="B227" s="227" t="s">
        <v>227</v>
      </c>
      <c r="C227" s="227" t="s">
        <v>304</v>
      </c>
      <c r="D227" s="228">
        <v>1150</v>
      </c>
      <c r="E227" s="228">
        <v>452</v>
      </c>
      <c r="F227" s="228">
        <v>455.15</v>
      </c>
      <c r="G227" s="228">
        <v>-3.15</v>
      </c>
      <c r="H227" s="229">
        <v>-6.8999999999999999E-3</v>
      </c>
      <c r="I227" s="228">
        <v>450.6</v>
      </c>
      <c r="J227" s="228">
        <v>453.85</v>
      </c>
      <c r="K227" s="228">
        <v>-3.25</v>
      </c>
      <c r="L227" s="229">
        <v>-7.1999999999999998E-3</v>
      </c>
      <c r="M227" s="228">
        <v>452</v>
      </c>
      <c r="N227" s="228">
        <v>455.15</v>
      </c>
      <c r="O227" s="228">
        <v>-3.15</v>
      </c>
      <c r="P227" s="229">
        <v>-6.8999999999999999E-3</v>
      </c>
      <c r="Q227" s="228">
        <v>454.1</v>
      </c>
      <c r="R227" s="228">
        <v>457.5</v>
      </c>
      <c r="S227" s="228">
        <v>-3.4</v>
      </c>
      <c r="T227" s="229">
        <v>-7.4000000000000003E-3</v>
      </c>
      <c r="U227" s="228">
        <v>0</v>
      </c>
      <c r="V227" s="228">
        <v>0</v>
      </c>
      <c r="W227" s="228">
        <v>0</v>
      </c>
      <c r="X227" s="229">
        <v>0</v>
      </c>
      <c r="Y227" s="228">
        <v>1.4</v>
      </c>
      <c r="Z227" s="228">
        <v>1.3</v>
      </c>
      <c r="AA227" s="228">
        <v>0.1</v>
      </c>
      <c r="AB227" s="229">
        <v>3.0999999999999999E-3</v>
      </c>
      <c r="AC227" s="228">
        <v>1.4</v>
      </c>
      <c r="AD227" s="228">
        <v>1.3</v>
      </c>
      <c r="AE227" s="228">
        <v>0.1</v>
      </c>
      <c r="AF227" s="229">
        <v>3.0999999999999999E-3</v>
      </c>
      <c r="AG227" s="228">
        <v>3.5</v>
      </c>
      <c r="AH227" s="228">
        <v>3.65</v>
      </c>
      <c r="AI227" s="228">
        <v>-0.15</v>
      </c>
      <c r="AJ227" s="229">
        <v>7.7999999999999996E-3</v>
      </c>
      <c r="AK227" s="228">
        <v>0</v>
      </c>
      <c r="AL227" s="228">
        <v>0</v>
      </c>
      <c r="AM227" s="228">
        <v>0</v>
      </c>
      <c r="AN227" s="229">
        <v>0</v>
      </c>
      <c r="AO227" s="228">
        <v>454.35</v>
      </c>
      <c r="AP227" s="228">
        <v>456.38</v>
      </c>
      <c r="AQ227" s="228">
        <v>0</v>
      </c>
      <c r="AR227" s="230">
        <v>5700550</v>
      </c>
      <c r="AS227" s="230">
        <v>14869500</v>
      </c>
      <c r="AT227" s="230">
        <v>-9168950</v>
      </c>
      <c r="AU227" s="229">
        <v>-0.61660000000000004</v>
      </c>
      <c r="AV227" s="230">
        <v>4619550</v>
      </c>
      <c r="AW227" s="230">
        <v>11763350</v>
      </c>
      <c r="AX227" s="230">
        <v>-7143800</v>
      </c>
      <c r="AY227" s="229">
        <v>-0.60729999999999995</v>
      </c>
      <c r="AZ227" s="230">
        <v>1009700</v>
      </c>
      <c r="BA227" s="230">
        <v>2931350</v>
      </c>
      <c r="BB227" s="230">
        <v>-1921650</v>
      </c>
      <c r="BC227" s="229">
        <v>-0.65559999999999996</v>
      </c>
      <c r="BD227" s="228">
        <v>0</v>
      </c>
      <c r="BE227" s="228">
        <v>0</v>
      </c>
      <c r="BF227" s="228">
        <v>0</v>
      </c>
      <c r="BG227" s="229">
        <v>0</v>
      </c>
      <c r="BH227" s="230">
        <v>16638200</v>
      </c>
      <c r="BI227" s="230">
        <v>32163200</v>
      </c>
      <c r="BJ227" s="230">
        <v>-15525000</v>
      </c>
      <c r="BK227" s="229">
        <v>-0.48270000000000002</v>
      </c>
      <c r="BL227" s="230">
        <v>14962650</v>
      </c>
      <c r="BM227" s="230">
        <v>19599450</v>
      </c>
      <c r="BN227" s="230">
        <v>-4636800</v>
      </c>
      <c r="BO227" s="229">
        <v>-0.2366</v>
      </c>
      <c r="BP227" s="230">
        <v>37301400</v>
      </c>
      <c r="BQ227" s="230">
        <v>66632150</v>
      </c>
      <c r="BR227" s="230">
        <v>-29330750</v>
      </c>
      <c r="BS227" s="229">
        <v>-0.44019999999999998</v>
      </c>
      <c r="BT227" s="230">
        <v>3011612</v>
      </c>
      <c r="BU227" s="230">
        <v>6669788</v>
      </c>
      <c r="BV227" s="230">
        <v>-3658176</v>
      </c>
      <c r="BW227" s="229">
        <v>-0.54849999999999999</v>
      </c>
      <c r="BX227" s="230">
        <v>83498050</v>
      </c>
      <c r="BY227" s="230">
        <v>84099500</v>
      </c>
      <c r="BZ227" s="230">
        <v>-601450</v>
      </c>
      <c r="CA227" s="229">
        <v>-7.1999999999999998E-3</v>
      </c>
      <c r="CB227" s="230">
        <v>75889650</v>
      </c>
      <c r="CC227" s="230">
        <v>76959150</v>
      </c>
      <c r="CD227" s="230">
        <v>-1069500</v>
      </c>
      <c r="CE227" s="229">
        <v>-1.3899999999999999E-2</v>
      </c>
      <c r="CF227" s="230">
        <v>6916100</v>
      </c>
      <c r="CG227" s="230">
        <v>6454950</v>
      </c>
      <c r="CH227" s="230">
        <v>461150</v>
      </c>
      <c r="CI227" s="229">
        <v>7.1400000000000005E-2</v>
      </c>
      <c r="CJ227" s="228">
        <v>0</v>
      </c>
      <c r="CK227" s="228">
        <v>0</v>
      </c>
      <c r="CL227" s="228">
        <v>0</v>
      </c>
      <c r="CM227" s="229">
        <v>0</v>
      </c>
      <c r="CN227" s="230">
        <v>31643400</v>
      </c>
      <c r="CO227" s="230">
        <v>31901000</v>
      </c>
      <c r="CP227" s="230">
        <v>-257600</v>
      </c>
      <c r="CQ227" s="229">
        <v>-8.0999999999999996E-3</v>
      </c>
      <c r="CR227" s="230">
        <v>31569800</v>
      </c>
      <c r="CS227" s="230">
        <v>33707650</v>
      </c>
      <c r="CT227" s="230">
        <v>-2137850</v>
      </c>
      <c r="CU227" s="229">
        <v>-6.3399999999999998E-2</v>
      </c>
      <c r="CV227" s="230">
        <v>146711250</v>
      </c>
      <c r="CW227" s="230">
        <v>149708150</v>
      </c>
      <c r="CX227" s="230">
        <v>-2996900</v>
      </c>
      <c r="CY227" s="229">
        <v>-0.02</v>
      </c>
      <c r="CZ227" s="228">
        <v>33.01</v>
      </c>
      <c r="DA227" s="228">
        <v>31.46</v>
      </c>
      <c r="DB227" s="228">
        <v>1.55</v>
      </c>
      <c r="DC227" s="228">
        <v>1.55</v>
      </c>
      <c r="DD227" s="228">
        <v>41.15</v>
      </c>
      <c r="DE227" s="228">
        <v>41.24</v>
      </c>
      <c r="DF227" s="228">
        <v>-8.14</v>
      </c>
      <c r="DG227" s="228">
        <v>-0.09</v>
      </c>
      <c r="DH227" s="228">
        <v>29.85</v>
      </c>
      <c r="DI227" s="228">
        <v>29.04</v>
      </c>
      <c r="DJ227" s="228">
        <v>0.81</v>
      </c>
      <c r="DK227" s="228">
        <v>0.81</v>
      </c>
      <c r="DL227" s="228">
        <v>36.54</v>
      </c>
      <c r="DM227" s="228">
        <v>35.43</v>
      </c>
      <c r="DN227" s="228">
        <v>1.1100000000000001</v>
      </c>
      <c r="DO227" s="228">
        <v>1.1100000000000001</v>
      </c>
      <c r="DP227" s="228">
        <v>1</v>
      </c>
      <c r="DQ227" s="228">
        <v>1.06</v>
      </c>
      <c r="DR227" s="228">
        <v>-0.06</v>
      </c>
      <c r="DS227" s="229">
        <v>-5.6599999999999998E-2</v>
      </c>
      <c r="DT227" s="228">
        <v>480</v>
      </c>
      <c r="DU227" s="228">
        <v>430</v>
      </c>
      <c r="DV227" s="228">
        <v>0.9</v>
      </c>
      <c r="DW227" s="228">
        <v>0.61</v>
      </c>
      <c r="DX227" s="228">
        <v>0.28999999999999998</v>
      </c>
      <c r="DY227" s="229">
        <v>0.47539999999999999</v>
      </c>
      <c r="DZ227" s="229">
        <v>8.2799999999999999E-2</v>
      </c>
      <c r="EA227" s="230">
        <v>6454950</v>
      </c>
      <c r="EB227" s="229">
        <v>4.5999999999999999E-3</v>
      </c>
      <c r="EC227" s="229">
        <v>8.2799999999999999E-2</v>
      </c>
      <c r="ED227" s="228">
        <v>2.0299999999999998</v>
      </c>
      <c r="EE227" s="229">
        <v>4.4999999999999997E-3</v>
      </c>
      <c r="EF227" s="230">
        <v>1418800</v>
      </c>
      <c r="EG227" s="230">
        <v>3096846</v>
      </c>
      <c r="EH227" s="229">
        <v>-0.54190000000000005</v>
      </c>
      <c r="EI227" s="229">
        <v>0.47110000000000002</v>
      </c>
      <c r="EJ227" s="231">
        <v>78732.17</v>
      </c>
      <c r="EK227" s="231">
        <v>65499.32</v>
      </c>
      <c r="EL227" s="231">
        <v>25923.81</v>
      </c>
      <c r="EM227" s="228">
        <v>0</v>
      </c>
      <c r="EN227" s="231">
        <v>170155.3</v>
      </c>
      <c r="EO227" s="231">
        <v>305771.38</v>
      </c>
      <c r="EP227" s="231">
        <v>-135616.07999999999</v>
      </c>
      <c r="EQ227" s="229">
        <v>-0.44350000000000001</v>
      </c>
      <c r="ER227" s="231">
        <v>149481</v>
      </c>
      <c r="ES227" s="231">
        <v>135891</v>
      </c>
      <c r="ET227" s="231">
        <v>377585</v>
      </c>
      <c r="EU227" s="231">
        <v>340087358</v>
      </c>
      <c r="EV227" s="231">
        <v>662957</v>
      </c>
      <c r="EW227" s="231">
        <v>678610</v>
      </c>
      <c r="EX227" s="231">
        <v>-15653</v>
      </c>
      <c r="EY227" s="229">
        <v>-2.3099999999999999E-2</v>
      </c>
      <c r="EZ227" s="229">
        <v>0.43140000000000001</v>
      </c>
      <c r="FA227" s="227" t="s">
        <v>568</v>
      </c>
      <c r="FB227" s="161">
        <f t="shared" si="5"/>
        <v>0</v>
      </c>
    </row>
    <row r="228" spans="1:158" ht="17.25" thickBot="1" x14ac:dyDescent="0.3">
      <c r="A228" s="226">
        <v>45860</v>
      </c>
      <c r="B228" s="227" t="s">
        <v>184</v>
      </c>
      <c r="C228" s="227" t="s">
        <v>305</v>
      </c>
      <c r="D228" s="228">
        <v>375</v>
      </c>
      <c r="E228" s="231">
        <v>1350.5</v>
      </c>
      <c r="F228" s="231">
        <v>1384.4</v>
      </c>
      <c r="G228" s="228">
        <v>-33.9</v>
      </c>
      <c r="H228" s="229">
        <v>-2.4500000000000001E-2</v>
      </c>
      <c r="I228" s="231">
        <v>1357.4</v>
      </c>
      <c r="J228" s="231">
        <v>1385.7</v>
      </c>
      <c r="K228" s="228">
        <v>-28.3</v>
      </c>
      <c r="L228" s="229">
        <v>-2.0400000000000001E-2</v>
      </c>
      <c r="M228" s="231">
        <v>1350.5</v>
      </c>
      <c r="N228" s="231">
        <v>1384.4</v>
      </c>
      <c r="O228" s="228">
        <v>-33.9</v>
      </c>
      <c r="P228" s="229">
        <v>-2.4500000000000001E-2</v>
      </c>
      <c r="Q228" s="231">
        <v>1347</v>
      </c>
      <c r="R228" s="231">
        <v>1383.1</v>
      </c>
      <c r="S228" s="228">
        <v>-36.1</v>
      </c>
      <c r="T228" s="229">
        <v>-2.6100000000000002E-2</v>
      </c>
      <c r="U228" s="228">
        <v>0</v>
      </c>
      <c r="V228" s="228">
        <v>0</v>
      </c>
      <c r="W228" s="228">
        <v>0</v>
      </c>
      <c r="X228" s="229">
        <v>0</v>
      </c>
      <c r="Y228" s="228">
        <v>-6.9</v>
      </c>
      <c r="Z228" s="228">
        <v>-1.3</v>
      </c>
      <c r="AA228" s="228">
        <v>-5.6</v>
      </c>
      <c r="AB228" s="229">
        <v>-5.1000000000000004E-3</v>
      </c>
      <c r="AC228" s="228">
        <v>-6.9</v>
      </c>
      <c r="AD228" s="228">
        <v>-1.3</v>
      </c>
      <c r="AE228" s="228">
        <v>-5.6</v>
      </c>
      <c r="AF228" s="229">
        <v>-5.1000000000000004E-3</v>
      </c>
      <c r="AG228" s="228">
        <v>-10.4</v>
      </c>
      <c r="AH228" s="228">
        <v>-2.6</v>
      </c>
      <c r="AI228" s="228">
        <v>-7.8</v>
      </c>
      <c r="AJ228" s="229">
        <v>-7.7000000000000002E-3</v>
      </c>
      <c r="AK228" s="228">
        <v>0</v>
      </c>
      <c r="AL228" s="228">
        <v>0</v>
      </c>
      <c r="AM228" s="228">
        <v>0</v>
      </c>
      <c r="AN228" s="229">
        <v>0</v>
      </c>
      <c r="AO228" s="231">
        <v>1351.36</v>
      </c>
      <c r="AP228" s="231">
        <v>1347.38</v>
      </c>
      <c r="AQ228" s="228">
        <v>0</v>
      </c>
      <c r="AR228" s="230">
        <v>3971250</v>
      </c>
      <c r="AS228" s="230">
        <v>1107375</v>
      </c>
      <c r="AT228" s="230">
        <v>2863875</v>
      </c>
      <c r="AU228" s="229">
        <v>2.5861999999999998</v>
      </c>
      <c r="AV228" s="230">
        <v>2868750</v>
      </c>
      <c r="AW228" s="230">
        <v>943875</v>
      </c>
      <c r="AX228" s="230">
        <v>1924875</v>
      </c>
      <c r="AY228" s="229">
        <v>2.0392999999999999</v>
      </c>
      <c r="AZ228" s="230">
        <v>1026000</v>
      </c>
      <c r="BA228" s="230">
        <v>152250</v>
      </c>
      <c r="BB228" s="230">
        <v>873750</v>
      </c>
      <c r="BC228" s="229">
        <v>5.7389000000000001</v>
      </c>
      <c r="BD228" s="228">
        <v>0</v>
      </c>
      <c r="BE228" s="228">
        <v>0</v>
      </c>
      <c r="BF228" s="228">
        <v>0</v>
      </c>
      <c r="BG228" s="229">
        <v>0</v>
      </c>
      <c r="BH228" s="230">
        <v>7285875</v>
      </c>
      <c r="BI228" s="230">
        <v>2080125</v>
      </c>
      <c r="BJ228" s="230">
        <v>5205750</v>
      </c>
      <c r="BK228" s="229">
        <v>2.5026000000000002</v>
      </c>
      <c r="BL228" s="230">
        <v>4629000</v>
      </c>
      <c r="BM228" s="230">
        <v>1173375</v>
      </c>
      <c r="BN228" s="230">
        <v>3455625</v>
      </c>
      <c r="BO228" s="229">
        <v>2.9449999999999998</v>
      </c>
      <c r="BP228" s="230">
        <v>15886125</v>
      </c>
      <c r="BQ228" s="230">
        <v>4360875</v>
      </c>
      <c r="BR228" s="230">
        <v>11525250</v>
      </c>
      <c r="BS228" s="229">
        <v>2.6429</v>
      </c>
      <c r="BT228" s="230">
        <v>1733025</v>
      </c>
      <c r="BU228" s="230">
        <v>492346</v>
      </c>
      <c r="BV228" s="230">
        <v>1240679</v>
      </c>
      <c r="BW228" s="229">
        <v>2.5198999999999998</v>
      </c>
      <c r="BX228" s="230">
        <v>12153000</v>
      </c>
      <c r="BY228" s="230">
        <v>11354625</v>
      </c>
      <c r="BZ228" s="230">
        <v>798375</v>
      </c>
      <c r="CA228" s="229">
        <v>7.0300000000000001E-2</v>
      </c>
      <c r="CB228" s="230">
        <v>10791375</v>
      </c>
      <c r="CC228" s="230">
        <v>10554750</v>
      </c>
      <c r="CD228" s="230">
        <v>236625</v>
      </c>
      <c r="CE228" s="229">
        <v>2.24E-2</v>
      </c>
      <c r="CF228" s="230">
        <v>1248000</v>
      </c>
      <c r="CG228" s="230">
        <v>710625</v>
      </c>
      <c r="CH228" s="230">
        <v>537375</v>
      </c>
      <c r="CI228" s="229">
        <v>0.75619999999999998</v>
      </c>
      <c r="CJ228" s="228">
        <v>0</v>
      </c>
      <c r="CK228" s="228">
        <v>0</v>
      </c>
      <c r="CL228" s="228">
        <v>0</v>
      </c>
      <c r="CM228" s="229">
        <v>0</v>
      </c>
      <c r="CN228" s="230">
        <v>3712875</v>
      </c>
      <c r="CO228" s="230">
        <v>3415875</v>
      </c>
      <c r="CP228" s="230">
        <v>297000</v>
      </c>
      <c r="CQ228" s="229">
        <v>8.6900000000000005E-2</v>
      </c>
      <c r="CR228" s="230">
        <v>2790000</v>
      </c>
      <c r="CS228" s="230">
        <v>2963250</v>
      </c>
      <c r="CT228" s="230">
        <v>-173250</v>
      </c>
      <c r="CU228" s="229">
        <v>-5.8500000000000003E-2</v>
      </c>
      <c r="CV228" s="230">
        <v>18655875</v>
      </c>
      <c r="CW228" s="230">
        <v>17733750</v>
      </c>
      <c r="CX228" s="230">
        <v>922125</v>
      </c>
      <c r="CY228" s="229">
        <v>5.1999999999999998E-2</v>
      </c>
      <c r="CZ228" s="228">
        <v>26.01</v>
      </c>
      <c r="DA228" s="228">
        <v>25.65</v>
      </c>
      <c r="DB228" s="228">
        <v>0.36</v>
      </c>
      <c r="DC228" s="228">
        <v>0.36</v>
      </c>
      <c r="DD228" s="228">
        <v>40.020000000000003</v>
      </c>
      <c r="DE228" s="228">
        <v>40.03</v>
      </c>
      <c r="DF228" s="228">
        <v>-14.01</v>
      </c>
      <c r="DG228" s="228">
        <v>-0.01</v>
      </c>
      <c r="DH228" s="228">
        <v>26.68</v>
      </c>
      <c r="DI228" s="228">
        <v>25.11</v>
      </c>
      <c r="DJ228" s="228">
        <v>1.57</v>
      </c>
      <c r="DK228" s="228">
        <v>1.57</v>
      </c>
      <c r="DL228" s="228">
        <v>24.96</v>
      </c>
      <c r="DM228" s="228">
        <v>26.62</v>
      </c>
      <c r="DN228" s="228">
        <v>-1.66</v>
      </c>
      <c r="DO228" s="228">
        <v>-1.66</v>
      </c>
      <c r="DP228" s="228">
        <v>0.75</v>
      </c>
      <c r="DQ228" s="228">
        <v>0.87</v>
      </c>
      <c r="DR228" s="228">
        <v>-0.12</v>
      </c>
      <c r="DS228" s="229">
        <v>-0.13789999999999999</v>
      </c>
      <c r="DT228" s="231">
        <v>1400</v>
      </c>
      <c r="DU228" s="231">
        <v>1300</v>
      </c>
      <c r="DV228" s="228">
        <v>0.64</v>
      </c>
      <c r="DW228" s="228">
        <v>0.56000000000000005</v>
      </c>
      <c r="DX228" s="228">
        <v>0.08</v>
      </c>
      <c r="DY228" s="229">
        <v>0.1429</v>
      </c>
      <c r="DZ228" s="229">
        <v>0.1027</v>
      </c>
      <c r="EA228" s="230">
        <v>710625</v>
      </c>
      <c r="EB228" s="229">
        <v>-2.5999999999999999E-3</v>
      </c>
      <c r="EC228" s="229">
        <v>0.1027</v>
      </c>
      <c r="ED228" s="228">
        <v>-3.98</v>
      </c>
      <c r="EE228" s="229">
        <v>-2.8999999999999998E-3</v>
      </c>
      <c r="EF228" s="230">
        <v>903477</v>
      </c>
      <c r="EG228" s="230">
        <v>258103</v>
      </c>
      <c r="EH228" s="229">
        <v>2.5005000000000002</v>
      </c>
      <c r="EI228" s="229">
        <v>0.52129999999999999</v>
      </c>
      <c r="EJ228" s="231">
        <v>102631.39</v>
      </c>
      <c r="EK228" s="231">
        <v>62711.33</v>
      </c>
      <c r="EL228" s="231">
        <v>53624.79</v>
      </c>
      <c r="EM228" s="228">
        <v>0</v>
      </c>
      <c r="EN228" s="231">
        <v>218967.51</v>
      </c>
      <c r="EO228" s="231">
        <v>60990.28</v>
      </c>
      <c r="EP228" s="231">
        <v>157977.23000000001</v>
      </c>
      <c r="EQ228" s="229">
        <v>2.5901999999999998</v>
      </c>
      <c r="ER228" s="231">
        <v>51691</v>
      </c>
      <c r="ES228" s="231">
        <v>36312</v>
      </c>
      <c r="ET228" s="231">
        <v>164080</v>
      </c>
      <c r="EU228" s="231">
        <v>46126252</v>
      </c>
      <c r="EV228" s="231">
        <v>252082</v>
      </c>
      <c r="EW228" s="231">
        <v>243605</v>
      </c>
      <c r="EX228" s="231">
        <v>8477</v>
      </c>
      <c r="EY228" s="229">
        <v>3.4799999999999998E-2</v>
      </c>
      <c r="EZ228" s="229">
        <v>0.40450000000000003</v>
      </c>
      <c r="FA228" s="227" t="s">
        <v>567</v>
      </c>
      <c r="FB228" s="161">
        <f t="shared" si="5"/>
        <v>0</v>
      </c>
    </row>
    <row r="229" spans="1:158" ht="17.25" thickBot="1" x14ac:dyDescent="0.3">
      <c r="A229" s="226">
        <v>45860</v>
      </c>
      <c r="B229" s="227" t="s">
        <v>221</v>
      </c>
      <c r="C229" s="227" t="s">
        <v>306</v>
      </c>
      <c r="D229" s="228">
        <v>3000</v>
      </c>
      <c r="E229" s="228">
        <v>254.55</v>
      </c>
      <c r="F229" s="228">
        <v>255.55</v>
      </c>
      <c r="G229" s="228">
        <v>-1</v>
      </c>
      <c r="H229" s="229">
        <v>-3.8999999999999998E-3</v>
      </c>
      <c r="I229" s="228">
        <v>259.7</v>
      </c>
      <c r="J229" s="228">
        <v>260.35000000000002</v>
      </c>
      <c r="K229" s="228">
        <v>-0.65</v>
      </c>
      <c r="L229" s="229">
        <v>-2.5000000000000001E-3</v>
      </c>
      <c r="M229" s="228">
        <v>254.55</v>
      </c>
      <c r="N229" s="228">
        <v>255.55</v>
      </c>
      <c r="O229" s="228">
        <v>-1</v>
      </c>
      <c r="P229" s="229">
        <v>-3.8999999999999998E-3</v>
      </c>
      <c r="Q229" s="228">
        <v>255.35</v>
      </c>
      <c r="R229" s="228">
        <v>256.60000000000002</v>
      </c>
      <c r="S229" s="228">
        <v>-1.25</v>
      </c>
      <c r="T229" s="229">
        <v>-4.8999999999999998E-3</v>
      </c>
      <c r="U229" s="228">
        <v>0</v>
      </c>
      <c r="V229" s="228">
        <v>0</v>
      </c>
      <c r="W229" s="228">
        <v>0</v>
      </c>
      <c r="X229" s="229">
        <v>0</v>
      </c>
      <c r="Y229" s="228">
        <v>-5.15</v>
      </c>
      <c r="Z229" s="228">
        <v>-4.8</v>
      </c>
      <c r="AA229" s="228">
        <v>-0.35</v>
      </c>
      <c r="AB229" s="229">
        <v>-1.9800000000000002E-2</v>
      </c>
      <c r="AC229" s="228">
        <v>-5.15</v>
      </c>
      <c r="AD229" s="228">
        <v>-4.8</v>
      </c>
      <c r="AE229" s="228">
        <v>-0.35</v>
      </c>
      <c r="AF229" s="229">
        <v>-1.9800000000000002E-2</v>
      </c>
      <c r="AG229" s="228">
        <v>-4.3499999999999996</v>
      </c>
      <c r="AH229" s="228">
        <v>-3.75</v>
      </c>
      <c r="AI229" s="228">
        <v>-0.6</v>
      </c>
      <c r="AJ229" s="229">
        <v>-1.6799999999999999E-2</v>
      </c>
      <c r="AK229" s="228">
        <v>0</v>
      </c>
      <c r="AL229" s="228">
        <v>0</v>
      </c>
      <c r="AM229" s="228">
        <v>0</v>
      </c>
      <c r="AN229" s="229">
        <v>0</v>
      </c>
      <c r="AO229" s="228">
        <v>255.21</v>
      </c>
      <c r="AP229" s="228">
        <v>256</v>
      </c>
      <c r="AQ229" s="228">
        <v>0</v>
      </c>
      <c r="AR229" s="230">
        <v>14502000</v>
      </c>
      <c r="AS229" s="230">
        <v>33783000</v>
      </c>
      <c r="AT229" s="230">
        <v>-19281000</v>
      </c>
      <c r="AU229" s="229">
        <v>-0.57069999999999999</v>
      </c>
      <c r="AV229" s="230">
        <v>11145000</v>
      </c>
      <c r="AW229" s="230">
        <v>26022000</v>
      </c>
      <c r="AX229" s="230">
        <v>-14877000</v>
      </c>
      <c r="AY229" s="229">
        <v>-0.57169999999999999</v>
      </c>
      <c r="AZ229" s="230">
        <v>3174000</v>
      </c>
      <c r="BA229" s="230">
        <v>7395000</v>
      </c>
      <c r="BB229" s="230">
        <v>-4221000</v>
      </c>
      <c r="BC229" s="229">
        <v>-0.57079999999999997</v>
      </c>
      <c r="BD229" s="228">
        <v>0</v>
      </c>
      <c r="BE229" s="228">
        <v>0</v>
      </c>
      <c r="BF229" s="228">
        <v>0</v>
      </c>
      <c r="BG229" s="229">
        <v>0</v>
      </c>
      <c r="BH229" s="230">
        <v>87678000</v>
      </c>
      <c r="BI229" s="230">
        <v>175140000</v>
      </c>
      <c r="BJ229" s="230">
        <v>-87462000</v>
      </c>
      <c r="BK229" s="229">
        <v>-0.49940000000000001</v>
      </c>
      <c r="BL229" s="230">
        <v>26676000</v>
      </c>
      <c r="BM229" s="230">
        <v>73035000</v>
      </c>
      <c r="BN229" s="230">
        <v>-46359000</v>
      </c>
      <c r="BO229" s="229">
        <v>-0.63480000000000003</v>
      </c>
      <c r="BP229" s="230">
        <v>128856000</v>
      </c>
      <c r="BQ229" s="230">
        <v>281958000</v>
      </c>
      <c r="BR229" s="230">
        <v>-153102000</v>
      </c>
      <c r="BS229" s="229">
        <v>-0.54300000000000004</v>
      </c>
      <c r="BT229" s="230">
        <v>7052543</v>
      </c>
      <c r="BU229" s="230">
        <v>12642126</v>
      </c>
      <c r="BV229" s="230">
        <v>-5589583</v>
      </c>
      <c r="BW229" s="229">
        <v>-0.44209999999999999</v>
      </c>
      <c r="BX229" s="230">
        <v>108153000</v>
      </c>
      <c r="BY229" s="230">
        <v>108387000</v>
      </c>
      <c r="BZ229" s="230">
        <v>-234000</v>
      </c>
      <c r="CA229" s="229">
        <v>-2.2000000000000001E-3</v>
      </c>
      <c r="CB229" s="230">
        <v>94608000</v>
      </c>
      <c r="CC229" s="230">
        <v>95316000</v>
      </c>
      <c r="CD229" s="230">
        <v>-708000</v>
      </c>
      <c r="CE229" s="229">
        <v>-7.4000000000000003E-3</v>
      </c>
      <c r="CF229" s="230">
        <v>12243000</v>
      </c>
      <c r="CG229" s="230">
        <v>11835000</v>
      </c>
      <c r="CH229" s="230">
        <v>408000</v>
      </c>
      <c r="CI229" s="229">
        <v>3.4500000000000003E-2</v>
      </c>
      <c r="CJ229" s="228">
        <v>0</v>
      </c>
      <c r="CK229" s="228">
        <v>0</v>
      </c>
      <c r="CL229" s="228">
        <v>0</v>
      </c>
      <c r="CM229" s="229">
        <v>0</v>
      </c>
      <c r="CN229" s="230">
        <v>83124000</v>
      </c>
      <c r="CO229" s="230">
        <v>87435000</v>
      </c>
      <c r="CP229" s="230">
        <v>-4311000</v>
      </c>
      <c r="CQ229" s="229">
        <v>-4.9299999999999997E-2</v>
      </c>
      <c r="CR229" s="230">
        <v>43176000</v>
      </c>
      <c r="CS229" s="230">
        <v>43944000</v>
      </c>
      <c r="CT229" s="230">
        <v>-768000</v>
      </c>
      <c r="CU229" s="229">
        <v>-1.7500000000000002E-2</v>
      </c>
      <c r="CV229" s="230">
        <v>234453000</v>
      </c>
      <c r="CW229" s="230">
        <v>239766000</v>
      </c>
      <c r="CX229" s="230">
        <v>-5313000</v>
      </c>
      <c r="CY229" s="229">
        <v>-2.2200000000000001E-2</v>
      </c>
      <c r="CZ229" s="228">
        <v>28.34</v>
      </c>
      <c r="DA229" s="228">
        <v>29.03</v>
      </c>
      <c r="DB229" s="228">
        <v>-0.69</v>
      </c>
      <c r="DC229" s="228">
        <v>-0.69</v>
      </c>
      <c r="DD229" s="228">
        <v>32.630000000000003</v>
      </c>
      <c r="DE229" s="228">
        <v>32.71</v>
      </c>
      <c r="DF229" s="228">
        <v>-4.29</v>
      </c>
      <c r="DG229" s="228">
        <v>-0.08</v>
      </c>
      <c r="DH229" s="228">
        <v>29.07</v>
      </c>
      <c r="DI229" s="228">
        <v>29.98</v>
      </c>
      <c r="DJ229" s="228">
        <v>-0.91</v>
      </c>
      <c r="DK229" s="228">
        <v>-0.91</v>
      </c>
      <c r="DL229" s="228">
        <v>25.93</v>
      </c>
      <c r="DM229" s="228">
        <v>26.76</v>
      </c>
      <c r="DN229" s="228">
        <v>-0.83</v>
      </c>
      <c r="DO229" s="228">
        <v>-0.83</v>
      </c>
      <c r="DP229" s="228">
        <v>0.52</v>
      </c>
      <c r="DQ229" s="228">
        <v>0.5</v>
      </c>
      <c r="DR229" s="228">
        <v>0.02</v>
      </c>
      <c r="DS229" s="229">
        <v>0.04</v>
      </c>
      <c r="DT229" s="228">
        <v>270</v>
      </c>
      <c r="DU229" s="228">
        <v>250</v>
      </c>
      <c r="DV229" s="228">
        <v>0.3</v>
      </c>
      <c r="DW229" s="228">
        <v>0.42</v>
      </c>
      <c r="DX229" s="228">
        <v>-0.12</v>
      </c>
      <c r="DY229" s="229">
        <v>-0.28570000000000001</v>
      </c>
      <c r="DZ229" s="229">
        <v>0.1132</v>
      </c>
      <c r="EA229" s="230">
        <v>11835000</v>
      </c>
      <c r="EB229" s="229">
        <v>3.0999999999999999E-3</v>
      </c>
      <c r="EC229" s="229">
        <v>0.1132</v>
      </c>
      <c r="ED229" s="228">
        <v>0.79</v>
      </c>
      <c r="EE229" s="229">
        <v>3.0999999999999999E-3</v>
      </c>
      <c r="EF229" s="230">
        <v>3387022</v>
      </c>
      <c r="EG229" s="230">
        <v>4707861</v>
      </c>
      <c r="EH229" s="229">
        <v>-0.28060000000000002</v>
      </c>
      <c r="EI229" s="229">
        <v>0.4803</v>
      </c>
      <c r="EJ229" s="231">
        <v>235292.95</v>
      </c>
      <c r="EK229" s="231">
        <v>68881.87</v>
      </c>
      <c r="EL229" s="231">
        <v>37038.43</v>
      </c>
      <c r="EM229" s="228">
        <v>0</v>
      </c>
      <c r="EN229" s="231">
        <v>341213.25</v>
      </c>
      <c r="EO229" s="231">
        <v>749383.77</v>
      </c>
      <c r="EP229" s="231">
        <v>-408170.52</v>
      </c>
      <c r="EQ229" s="229">
        <v>-0.54469999999999996</v>
      </c>
      <c r="ER229" s="231">
        <v>227759</v>
      </c>
      <c r="ES229" s="231">
        <v>107990</v>
      </c>
      <c r="ET229" s="231">
        <v>275425</v>
      </c>
      <c r="EU229" s="231">
        <v>570590784</v>
      </c>
      <c r="EV229" s="231">
        <v>611174</v>
      </c>
      <c r="EW229" s="231">
        <v>626843</v>
      </c>
      <c r="EX229" s="231">
        <v>-15669</v>
      </c>
      <c r="EY229" s="229">
        <v>-2.5000000000000001E-2</v>
      </c>
      <c r="EZ229" s="229">
        <v>0.41089999999999999</v>
      </c>
      <c r="FA229" s="227" t="s">
        <v>568</v>
      </c>
      <c r="FB229" s="161">
        <f t="shared" si="5"/>
        <v>0</v>
      </c>
    </row>
    <row r="230" spans="1:158" ht="17.25" thickBot="1" x14ac:dyDescent="0.3">
      <c r="A230" s="226">
        <v>45860</v>
      </c>
      <c r="B230" s="227" t="s">
        <v>172</v>
      </c>
      <c r="C230" s="227" t="s">
        <v>591</v>
      </c>
      <c r="D230" s="228">
        <v>31100</v>
      </c>
      <c r="E230" s="228">
        <v>20.02</v>
      </c>
      <c r="F230" s="228">
        <v>20.18</v>
      </c>
      <c r="G230" s="228">
        <v>-0.16</v>
      </c>
      <c r="H230" s="229">
        <v>-7.9000000000000008E-3</v>
      </c>
      <c r="I230" s="228">
        <v>19.989999999999998</v>
      </c>
      <c r="J230" s="228">
        <v>20.16</v>
      </c>
      <c r="K230" s="228">
        <v>-0.17</v>
      </c>
      <c r="L230" s="229">
        <v>-8.3999999999999995E-3</v>
      </c>
      <c r="M230" s="228">
        <v>20.02</v>
      </c>
      <c r="N230" s="228">
        <v>20.18</v>
      </c>
      <c r="O230" s="228">
        <v>-0.16</v>
      </c>
      <c r="P230" s="229">
        <v>-7.9000000000000008E-3</v>
      </c>
      <c r="Q230" s="228">
        <v>20.13</v>
      </c>
      <c r="R230" s="228">
        <v>20.28</v>
      </c>
      <c r="S230" s="228">
        <v>-0.15</v>
      </c>
      <c r="T230" s="229">
        <v>-7.4000000000000003E-3</v>
      </c>
      <c r="U230" s="228">
        <v>0</v>
      </c>
      <c r="V230" s="228">
        <v>0</v>
      </c>
      <c r="W230" s="228">
        <v>0</v>
      </c>
      <c r="X230" s="229">
        <v>0</v>
      </c>
      <c r="Y230" s="228">
        <v>0.03</v>
      </c>
      <c r="Z230" s="228">
        <v>0.02</v>
      </c>
      <c r="AA230" s="228">
        <v>0.01</v>
      </c>
      <c r="AB230" s="229">
        <v>1.5E-3</v>
      </c>
      <c r="AC230" s="228">
        <v>0.03</v>
      </c>
      <c r="AD230" s="228">
        <v>0.02</v>
      </c>
      <c r="AE230" s="228">
        <v>0.01</v>
      </c>
      <c r="AF230" s="229">
        <v>1.5E-3</v>
      </c>
      <c r="AG230" s="228">
        <v>0.14000000000000001</v>
      </c>
      <c r="AH230" s="228">
        <v>0.12</v>
      </c>
      <c r="AI230" s="228">
        <v>0.02</v>
      </c>
      <c r="AJ230" s="229">
        <v>7.0000000000000001E-3</v>
      </c>
      <c r="AK230" s="228">
        <v>0</v>
      </c>
      <c r="AL230" s="228">
        <v>0</v>
      </c>
      <c r="AM230" s="228">
        <v>0</v>
      </c>
      <c r="AN230" s="229">
        <v>0</v>
      </c>
      <c r="AO230" s="228">
        <v>20.14</v>
      </c>
      <c r="AP230" s="228">
        <v>20.25</v>
      </c>
      <c r="AQ230" s="228">
        <v>0</v>
      </c>
      <c r="AR230" s="230">
        <v>102941000</v>
      </c>
      <c r="AS230" s="230">
        <v>147911600</v>
      </c>
      <c r="AT230" s="230">
        <v>-44970600</v>
      </c>
      <c r="AU230" s="229">
        <v>-0.30399999999999999</v>
      </c>
      <c r="AV230" s="230">
        <v>69010900</v>
      </c>
      <c r="AW230" s="230">
        <v>108787800</v>
      </c>
      <c r="AX230" s="230">
        <v>-39776900</v>
      </c>
      <c r="AY230" s="229">
        <v>-0.36559999999999998</v>
      </c>
      <c r="AZ230" s="230">
        <v>29265100</v>
      </c>
      <c r="BA230" s="230">
        <v>34178900</v>
      </c>
      <c r="BB230" s="230">
        <v>-4913800</v>
      </c>
      <c r="BC230" s="229">
        <v>-0.14380000000000001</v>
      </c>
      <c r="BD230" s="228">
        <v>0</v>
      </c>
      <c r="BE230" s="228">
        <v>0</v>
      </c>
      <c r="BF230" s="228">
        <v>0</v>
      </c>
      <c r="BG230" s="229">
        <v>0</v>
      </c>
      <c r="BH230" s="230">
        <v>120388100</v>
      </c>
      <c r="BI230" s="230">
        <v>367913000</v>
      </c>
      <c r="BJ230" s="230">
        <v>-247524900</v>
      </c>
      <c r="BK230" s="229">
        <v>-0.67279999999999995</v>
      </c>
      <c r="BL230" s="230">
        <v>53523100</v>
      </c>
      <c r="BM230" s="230">
        <v>68077900</v>
      </c>
      <c r="BN230" s="230">
        <v>-14554800</v>
      </c>
      <c r="BO230" s="229">
        <v>-0.21379999999999999</v>
      </c>
      <c r="BP230" s="230">
        <v>276852200</v>
      </c>
      <c r="BQ230" s="230">
        <v>583902500</v>
      </c>
      <c r="BR230" s="230">
        <v>-307050300</v>
      </c>
      <c r="BS230" s="229">
        <v>-0.52590000000000003</v>
      </c>
      <c r="BT230" s="230">
        <v>64476781</v>
      </c>
      <c r="BU230" s="230">
        <v>138598913</v>
      </c>
      <c r="BV230" s="230">
        <v>-74122132</v>
      </c>
      <c r="BW230" s="229">
        <v>-0.53480000000000005</v>
      </c>
      <c r="BX230" s="230">
        <v>1047199200</v>
      </c>
      <c r="BY230" s="230">
        <v>1043809300</v>
      </c>
      <c r="BZ230" s="230">
        <v>3389900</v>
      </c>
      <c r="CA230" s="229">
        <v>3.2000000000000002E-3</v>
      </c>
      <c r="CB230" s="230">
        <v>853259600</v>
      </c>
      <c r="CC230" s="230">
        <v>868747400</v>
      </c>
      <c r="CD230" s="230">
        <v>-15487800</v>
      </c>
      <c r="CE230" s="229">
        <v>-1.78E-2</v>
      </c>
      <c r="CF230" s="230">
        <v>176337000</v>
      </c>
      <c r="CG230" s="230">
        <v>159760700</v>
      </c>
      <c r="CH230" s="230">
        <v>16576300</v>
      </c>
      <c r="CI230" s="229">
        <v>0.1038</v>
      </c>
      <c r="CJ230" s="228">
        <v>0</v>
      </c>
      <c r="CK230" s="228">
        <v>0</v>
      </c>
      <c r="CL230" s="228">
        <v>0</v>
      </c>
      <c r="CM230" s="229">
        <v>0</v>
      </c>
      <c r="CN230" s="230">
        <v>432507700</v>
      </c>
      <c r="CO230" s="230">
        <v>426785300</v>
      </c>
      <c r="CP230" s="230">
        <v>5722400</v>
      </c>
      <c r="CQ230" s="229">
        <v>1.34E-2</v>
      </c>
      <c r="CR230" s="230">
        <v>213221600</v>
      </c>
      <c r="CS230" s="230">
        <v>210173800</v>
      </c>
      <c r="CT230" s="230">
        <v>3047800</v>
      </c>
      <c r="CU230" s="229">
        <v>1.4500000000000001E-2</v>
      </c>
      <c r="CV230" s="230">
        <v>1692928500</v>
      </c>
      <c r="CW230" s="230">
        <v>1680768400</v>
      </c>
      <c r="CX230" s="230">
        <v>12160100</v>
      </c>
      <c r="CY230" s="229">
        <v>7.1999999999999998E-3</v>
      </c>
      <c r="CZ230" s="228">
        <v>33.659999999999997</v>
      </c>
      <c r="DA230" s="228">
        <v>35.090000000000003</v>
      </c>
      <c r="DB230" s="228">
        <v>-1.43</v>
      </c>
      <c r="DC230" s="228">
        <v>-1.43</v>
      </c>
      <c r="DD230" s="228">
        <v>44.99</v>
      </c>
      <c r="DE230" s="228">
        <v>45.09</v>
      </c>
      <c r="DF230" s="228">
        <v>-11.33</v>
      </c>
      <c r="DG230" s="228">
        <v>-0.1</v>
      </c>
      <c r="DH230" s="228">
        <v>36.020000000000003</v>
      </c>
      <c r="DI230" s="228">
        <v>36.119999999999997</v>
      </c>
      <c r="DJ230" s="228">
        <v>-0.1</v>
      </c>
      <c r="DK230" s="228">
        <v>-0.1</v>
      </c>
      <c r="DL230" s="228">
        <v>28.35</v>
      </c>
      <c r="DM230" s="228">
        <v>29.54</v>
      </c>
      <c r="DN230" s="228">
        <v>-1.19</v>
      </c>
      <c r="DO230" s="228">
        <v>-1.19</v>
      </c>
      <c r="DP230" s="228">
        <v>0.49</v>
      </c>
      <c r="DQ230" s="228">
        <v>0.49</v>
      </c>
      <c r="DR230" s="228">
        <v>0</v>
      </c>
      <c r="DS230" s="229">
        <v>0</v>
      </c>
      <c r="DT230" s="228">
        <v>21</v>
      </c>
      <c r="DU230" s="228">
        <v>20</v>
      </c>
      <c r="DV230" s="228">
        <v>0.44</v>
      </c>
      <c r="DW230" s="228">
        <v>0.19</v>
      </c>
      <c r="DX230" s="228">
        <v>0.25</v>
      </c>
      <c r="DY230" s="229">
        <v>1.3158000000000001</v>
      </c>
      <c r="DZ230" s="229">
        <v>0.16839999999999999</v>
      </c>
      <c r="EA230" s="230">
        <v>159760700</v>
      </c>
      <c r="EB230" s="229">
        <v>5.4999999999999997E-3</v>
      </c>
      <c r="EC230" s="229">
        <v>0.16839999999999999</v>
      </c>
      <c r="ED230" s="228">
        <v>0.11</v>
      </c>
      <c r="EE230" s="229">
        <v>5.4999999999999997E-3</v>
      </c>
      <c r="EF230" s="230">
        <v>29206979</v>
      </c>
      <c r="EG230" s="230">
        <v>53554562</v>
      </c>
      <c r="EH230" s="229">
        <v>-0.4546</v>
      </c>
      <c r="EI230" s="229">
        <v>0.45300000000000001</v>
      </c>
      <c r="EJ230" s="231">
        <v>25727.67</v>
      </c>
      <c r="EK230" s="231">
        <v>11017.07</v>
      </c>
      <c r="EL230" s="231">
        <v>20776.03</v>
      </c>
      <c r="EM230" s="228">
        <v>0</v>
      </c>
      <c r="EN230" s="231">
        <v>57520.77</v>
      </c>
      <c r="EO230" s="231">
        <v>122912.73</v>
      </c>
      <c r="EP230" s="231">
        <v>-65391.96</v>
      </c>
      <c r="EQ230" s="229">
        <v>-0.53200000000000003</v>
      </c>
      <c r="ER230" s="231">
        <v>95091</v>
      </c>
      <c r="ES230" s="231">
        <v>42874</v>
      </c>
      <c r="ET230" s="231">
        <v>209884</v>
      </c>
      <c r="EU230" s="231">
        <v>6270823064</v>
      </c>
      <c r="EV230" s="231">
        <v>347849</v>
      </c>
      <c r="EW230" s="231">
        <v>347066</v>
      </c>
      <c r="EX230" s="228">
        <v>783</v>
      </c>
      <c r="EY230" s="229">
        <v>2.3E-3</v>
      </c>
      <c r="EZ230" s="229">
        <v>0.27</v>
      </c>
      <c r="FA230" s="227" t="s">
        <v>567</v>
      </c>
      <c r="FB230" s="161">
        <f t="shared" si="5"/>
        <v>0</v>
      </c>
    </row>
    <row r="231" spans="1:158" ht="17.25" thickBot="1" x14ac:dyDescent="0.3">
      <c r="A231" s="226">
        <v>45860</v>
      </c>
      <c r="B231" s="227" t="s">
        <v>170</v>
      </c>
      <c r="C231" s="227" t="s">
        <v>557</v>
      </c>
      <c r="D231" s="228">
        <v>900</v>
      </c>
      <c r="E231" s="228">
        <v>948.15</v>
      </c>
      <c r="F231" s="228">
        <v>962.6</v>
      </c>
      <c r="G231" s="228">
        <v>-14.45</v>
      </c>
      <c r="H231" s="229">
        <v>-1.4999999999999999E-2</v>
      </c>
      <c r="I231" s="228">
        <v>956.75</v>
      </c>
      <c r="J231" s="228">
        <v>970</v>
      </c>
      <c r="K231" s="228">
        <v>-13.25</v>
      </c>
      <c r="L231" s="229">
        <v>-1.37E-2</v>
      </c>
      <c r="M231" s="228">
        <v>948.15</v>
      </c>
      <c r="N231" s="228">
        <v>962.6</v>
      </c>
      <c r="O231" s="228">
        <v>-14.45</v>
      </c>
      <c r="P231" s="229">
        <v>-1.4999999999999999E-2</v>
      </c>
      <c r="Q231" s="228">
        <v>952.85</v>
      </c>
      <c r="R231" s="228">
        <v>967.65</v>
      </c>
      <c r="S231" s="228">
        <v>-14.8</v>
      </c>
      <c r="T231" s="229">
        <v>-1.5299999999999999E-2</v>
      </c>
      <c r="U231" s="228">
        <v>0</v>
      </c>
      <c r="V231" s="228">
        <v>0</v>
      </c>
      <c r="W231" s="228">
        <v>0</v>
      </c>
      <c r="X231" s="229">
        <v>0</v>
      </c>
      <c r="Y231" s="228">
        <v>-8.6</v>
      </c>
      <c r="Z231" s="228">
        <v>-7.4</v>
      </c>
      <c r="AA231" s="228">
        <v>-1.2</v>
      </c>
      <c r="AB231" s="229">
        <v>-8.9999999999999993E-3</v>
      </c>
      <c r="AC231" s="228">
        <v>-8.6</v>
      </c>
      <c r="AD231" s="228">
        <v>-7.4</v>
      </c>
      <c r="AE231" s="228">
        <v>-1.2</v>
      </c>
      <c r="AF231" s="229">
        <v>-8.9999999999999993E-3</v>
      </c>
      <c r="AG231" s="228">
        <v>-3.9</v>
      </c>
      <c r="AH231" s="228">
        <v>-2.35</v>
      </c>
      <c r="AI231" s="228">
        <v>-1.55</v>
      </c>
      <c r="AJ231" s="229">
        <v>-4.1000000000000003E-3</v>
      </c>
      <c r="AK231" s="228">
        <v>0</v>
      </c>
      <c r="AL231" s="228">
        <v>0</v>
      </c>
      <c r="AM231" s="228">
        <v>0</v>
      </c>
      <c r="AN231" s="229">
        <v>0</v>
      </c>
      <c r="AO231" s="228">
        <v>950.19</v>
      </c>
      <c r="AP231" s="228">
        <v>955.03</v>
      </c>
      <c r="AQ231" s="228">
        <v>0</v>
      </c>
      <c r="AR231" s="230">
        <v>1674900</v>
      </c>
      <c r="AS231" s="230">
        <v>2486700</v>
      </c>
      <c r="AT231" s="230">
        <v>-811800</v>
      </c>
      <c r="AU231" s="229">
        <v>-0.32650000000000001</v>
      </c>
      <c r="AV231" s="230">
        <v>1325700</v>
      </c>
      <c r="AW231" s="230">
        <v>1645200</v>
      </c>
      <c r="AX231" s="230">
        <v>-319500</v>
      </c>
      <c r="AY231" s="229">
        <v>-0.19420000000000001</v>
      </c>
      <c r="AZ231" s="230">
        <v>332100</v>
      </c>
      <c r="BA231" s="230">
        <v>834300</v>
      </c>
      <c r="BB231" s="230">
        <v>-502200</v>
      </c>
      <c r="BC231" s="229">
        <v>-0.60189999999999999</v>
      </c>
      <c r="BD231" s="228">
        <v>0</v>
      </c>
      <c r="BE231" s="228">
        <v>0</v>
      </c>
      <c r="BF231" s="228">
        <v>0</v>
      </c>
      <c r="BG231" s="229">
        <v>0</v>
      </c>
      <c r="BH231" s="230">
        <v>3254400</v>
      </c>
      <c r="BI231" s="230">
        <v>2725200</v>
      </c>
      <c r="BJ231" s="230">
        <v>529200</v>
      </c>
      <c r="BK231" s="229">
        <v>0.19420000000000001</v>
      </c>
      <c r="BL231" s="230">
        <v>1610100</v>
      </c>
      <c r="BM231" s="230">
        <v>783900</v>
      </c>
      <c r="BN231" s="230">
        <v>826200</v>
      </c>
      <c r="BO231" s="229">
        <v>1.054</v>
      </c>
      <c r="BP231" s="230">
        <v>6539400</v>
      </c>
      <c r="BQ231" s="230">
        <v>5995800</v>
      </c>
      <c r="BR231" s="230">
        <v>543600</v>
      </c>
      <c r="BS231" s="229">
        <v>9.0700000000000003E-2</v>
      </c>
      <c r="BT231" s="230">
        <v>885012</v>
      </c>
      <c r="BU231" s="230">
        <v>996286</v>
      </c>
      <c r="BV231" s="230">
        <v>-111274</v>
      </c>
      <c r="BW231" s="229">
        <v>-0.11169999999999999</v>
      </c>
      <c r="BX231" s="230">
        <v>10287000</v>
      </c>
      <c r="BY231" s="230">
        <v>10209600</v>
      </c>
      <c r="BZ231" s="230">
        <v>77400</v>
      </c>
      <c r="CA231" s="229">
        <v>7.6E-3</v>
      </c>
      <c r="CB231" s="230">
        <v>8715600</v>
      </c>
      <c r="CC231" s="230">
        <v>8776800</v>
      </c>
      <c r="CD231" s="230">
        <v>-61200</v>
      </c>
      <c r="CE231" s="229">
        <v>-7.0000000000000001E-3</v>
      </c>
      <c r="CF231" s="230">
        <v>1506600</v>
      </c>
      <c r="CG231" s="230">
        <v>1378800</v>
      </c>
      <c r="CH231" s="230">
        <v>127800</v>
      </c>
      <c r="CI231" s="229">
        <v>9.2700000000000005E-2</v>
      </c>
      <c r="CJ231" s="228">
        <v>0</v>
      </c>
      <c r="CK231" s="228">
        <v>0</v>
      </c>
      <c r="CL231" s="228">
        <v>0</v>
      </c>
      <c r="CM231" s="229">
        <v>0</v>
      </c>
      <c r="CN231" s="230">
        <v>3537900</v>
      </c>
      <c r="CO231" s="230">
        <v>3590100</v>
      </c>
      <c r="CP231" s="230">
        <v>-52200</v>
      </c>
      <c r="CQ231" s="229">
        <v>-1.4500000000000001E-2</v>
      </c>
      <c r="CR231" s="230">
        <v>2628900</v>
      </c>
      <c r="CS231" s="230">
        <v>2613600</v>
      </c>
      <c r="CT231" s="230">
        <v>15300</v>
      </c>
      <c r="CU231" s="229">
        <v>5.8999999999999999E-3</v>
      </c>
      <c r="CV231" s="230">
        <v>16453800</v>
      </c>
      <c r="CW231" s="230">
        <v>16413300</v>
      </c>
      <c r="CX231" s="230">
        <v>40500</v>
      </c>
      <c r="CY231" s="229">
        <v>2.5000000000000001E-3</v>
      </c>
      <c r="CZ231" s="228">
        <v>25.02</v>
      </c>
      <c r="DA231" s="228">
        <v>26.67</v>
      </c>
      <c r="DB231" s="228">
        <v>-1.65</v>
      </c>
      <c r="DC231" s="228">
        <v>-1.65</v>
      </c>
      <c r="DD231" s="228">
        <v>30.67</v>
      </c>
      <c r="DE231" s="228">
        <v>30.68</v>
      </c>
      <c r="DF231" s="228">
        <v>-5.65</v>
      </c>
      <c r="DG231" s="228">
        <v>-0.01</v>
      </c>
      <c r="DH231" s="228">
        <v>26.07</v>
      </c>
      <c r="DI231" s="228">
        <v>26.83</v>
      </c>
      <c r="DJ231" s="228">
        <v>-0.76</v>
      </c>
      <c r="DK231" s="228">
        <v>-0.76</v>
      </c>
      <c r="DL231" s="228">
        <v>22.9</v>
      </c>
      <c r="DM231" s="228">
        <v>26.1</v>
      </c>
      <c r="DN231" s="228">
        <v>-3.2</v>
      </c>
      <c r="DO231" s="228">
        <v>-3.2</v>
      </c>
      <c r="DP231" s="228">
        <v>0.74</v>
      </c>
      <c r="DQ231" s="228">
        <v>0.73</v>
      </c>
      <c r="DR231" s="228">
        <v>0.01</v>
      </c>
      <c r="DS231" s="229">
        <v>1.37E-2</v>
      </c>
      <c r="DT231" s="228">
        <v>980</v>
      </c>
      <c r="DU231" s="228">
        <v>900</v>
      </c>
      <c r="DV231" s="228">
        <v>0.49</v>
      </c>
      <c r="DW231" s="228">
        <v>0.28999999999999998</v>
      </c>
      <c r="DX231" s="228">
        <v>0.2</v>
      </c>
      <c r="DY231" s="229">
        <v>0.68969999999999998</v>
      </c>
      <c r="DZ231" s="229">
        <v>0.14649999999999999</v>
      </c>
      <c r="EA231" s="230">
        <v>1378800</v>
      </c>
      <c r="EB231" s="229">
        <v>5.0000000000000001E-3</v>
      </c>
      <c r="EC231" s="229">
        <v>0.14649999999999999</v>
      </c>
      <c r="ED231" s="228">
        <v>4.84</v>
      </c>
      <c r="EE231" s="229">
        <v>5.1000000000000004E-3</v>
      </c>
      <c r="EF231" s="230">
        <v>482653</v>
      </c>
      <c r="EG231" s="230">
        <v>777306</v>
      </c>
      <c r="EH231" s="229">
        <v>-0.37909999999999999</v>
      </c>
      <c r="EI231" s="229">
        <v>0.5454</v>
      </c>
      <c r="EJ231" s="231">
        <v>32297.35</v>
      </c>
      <c r="EK231" s="231">
        <v>15345.31</v>
      </c>
      <c r="EL231" s="231">
        <v>15932.59</v>
      </c>
      <c r="EM231" s="228">
        <v>0</v>
      </c>
      <c r="EN231" s="231">
        <v>63575.25</v>
      </c>
      <c r="EO231" s="231">
        <v>58894.84</v>
      </c>
      <c r="EP231" s="231">
        <v>4680.41</v>
      </c>
      <c r="EQ231" s="229">
        <v>7.9500000000000001E-2</v>
      </c>
      <c r="ER231" s="231">
        <v>35778</v>
      </c>
      <c r="ES231" s="231">
        <v>24645</v>
      </c>
      <c r="ET231" s="231">
        <v>97612</v>
      </c>
      <c r="EU231" s="231">
        <v>50321935</v>
      </c>
      <c r="EV231" s="231">
        <v>158035</v>
      </c>
      <c r="EW231" s="231">
        <v>159247</v>
      </c>
      <c r="EX231" s="231">
        <v>-1212</v>
      </c>
      <c r="EY231" s="229">
        <v>-7.6E-3</v>
      </c>
      <c r="EZ231" s="229">
        <v>0.32700000000000001</v>
      </c>
      <c r="FA231" s="227" t="s">
        <v>567</v>
      </c>
      <c r="FB231" s="161">
        <f t="shared" si="5"/>
        <v>0</v>
      </c>
    </row>
    <row r="232" spans="1:158" x14ac:dyDescent="0.25">
      <c r="FB232" s="161">
        <f t="shared" si="5"/>
        <v>0</v>
      </c>
    </row>
    <row r="233" spans="1:158" x14ac:dyDescent="0.25">
      <c r="FB233" s="161">
        <f t="shared" si="5"/>
        <v>0</v>
      </c>
    </row>
    <row r="234" spans="1:158" x14ac:dyDescent="0.25">
      <c r="FB234" s="161">
        <f t="shared" si="5"/>
        <v>0</v>
      </c>
    </row>
    <row r="235" spans="1:158" x14ac:dyDescent="0.25">
      <c r="FB235" s="161">
        <f t="shared" si="5"/>
        <v>0</v>
      </c>
    </row>
    <row r="236" spans="1:158" x14ac:dyDescent="0.25">
      <c r="FB236" s="161">
        <f t="shared" si="5"/>
        <v>0</v>
      </c>
    </row>
    <row r="237" spans="1:158" x14ac:dyDescent="0.25">
      <c r="FB237" s="161">
        <f t="shared" si="5"/>
        <v>0</v>
      </c>
    </row>
    <row r="238" spans="1:158" x14ac:dyDescent="0.25">
      <c r="FB238" s="161">
        <f t="shared" si="5"/>
        <v>0</v>
      </c>
    </row>
    <row r="239" spans="1:158" x14ac:dyDescent="0.25">
      <c r="FB239" s="161">
        <f t="shared" si="5"/>
        <v>0</v>
      </c>
    </row>
    <row r="240" spans="1: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BX341-CB341</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G10" sqref="G10"/>
    </sheetView>
  </sheetViews>
  <sheetFormatPr defaultRowHeight="15" x14ac:dyDescent="0.25"/>
  <cols>
    <col min="1" max="1" width="11.140625" bestFit="1" customWidth="1"/>
    <col min="2" max="2" width="16.42578125" bestFit="1" customWidth="1"/>
    <col min="3" max="3" width="17.570312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28515625"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6" width="11.42578125" bestFit="1" customWidth="1"/>
    <col min="87" max="87" width="7" bestFit="1" customWidth="1"/>
    <col min="88" max="88" width="12.85546875" bestFit="1" customWidth="1"/>
    <col min="89" max="89" width="11.5703125" bestFit="1" customWidth="1"/>
    <col min="90" max="90" width="9.7109375" bestFit="1" customWidth="1"/>
    <col min="91" max="92" width="14.28515625" bestFit="1" customWidth="1"/>
    <col min="93" max="93" width="13.140625" bestFit="1" customWidth="1"/>
    <col min="94" max="94" width="10.42578125" bestFit="1" customWidth="1"/>
    <col min="95" max="95" width="13.140625" bestFit="1" customWidth="1"/>
    <col min="96" max="96" width="13.28515625" bestFit="1" customWidth="1"/>
    <col min="97" max="97" width="13.140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45860</v>
      </c>
      <c r="B2" s="227" t="s">
        <v>215</v>
      </c>
      <c r="C2" s="227" t="s">
        <v>159</v>
      </c>
      <c r="D2" s="231">
        <v>2594.5</v>
      </c>
      <c r="E2" s="231">
        <v>2625.8</v>
      </c>
      <c r="F2" s="228">
        <v>-31.3</v>
      </c>
      <c r="G2" s="229">
        <v>-1.1900000000000001E-2</v>
      </c>
      <c r="H2" s="231">
        <v>2587.8000000000002</v>
      </c>
      <c r="I2" s="231">
        <v>2619.5</v>
      </c>
      <c r="J2" s="228">
        <v>-31.7</v>
      </c>
      <c r="K2" s="229">
        <v>-1.21E-2</v>
      </c>
      <c r="L2" s="231">
        <v>2594.5</v>
      </c>
      <c r="M2" s="231">
        <v>2625.8</v>
      </c>
      <c r="N2" s="228">
        <v>-31.3</v>
      </c>
      <c r="O2" s="229">
        <v>-1.1900000000000001E-2</v>
      </c>
      <c r="P2" s="231">
        <v>2608.1999999999998</v>
      </c>
      <c r="Q2" s="231">
        <v>2639.5</v>
      </c>
      <c r="R2" s="228">
        <v>-31.3</v>
      </c>
      <c r="S2" s="229">
        <v>-1.1900000000000001E-2</v>
      </c>
      <c r="T2" s="228">
        <v>0</v>
      </c>
      <c r="U2" s="228">
        <v>0</v>
      </c>
      <c r="V2" s="228">
        <v>0</v>
      </c>
      <c r="W2" s="229">
        <v>0</v>
      </c>
      <c r="X2" s="228">
        <v>6.7</v>
      </c>
      <c r="Y2" s="228">
        <v>6.3</v>
      </c>
      <c r="Z2" s="228">
        <v>0.4</v>
      </c>
      <c r="AA2" s="229">
        <v>2.5999999999999999E-3</v>
      </c>
      <c r="AB2" s="228">
        <v>6.7</v>
      </c>
      <c r="AC2" s="228">
        <v>6.3</v>
      </c>
      <c r="AD2" s="228">
        <v>0.4</v>
      </c>
      <c r="AE2" s="229">
        <v>2.5999999999999999E-3</v>
      </c>
      <c r="AF2" s="228">
        <v>20.399999999999999</v>
      </c>
      <c r="AG2" s="228">
        <v>20</v>
      </c>
      <c r="AH2" s="228">
        <v>0.4</v>
      </c>
      <c r="AI2" s="229">
        <v>7.9000000000000008E-3</v>
      </c>
      <c r="AJ2" s="228">
        <v>0</v>
      </c>
      <c r="AK2" s="228">
        <v>0</v>
      </c>
      <c r="AL2" s="228">
        <v>0</v>
      </c>
      <c r="AM2" s="229">
        <v>0</v>
      </c>
      <c r="AN2" s="231">
        <v>2607.9499999999998</v>
      </c>
      <c r="AO2" s="231">
        <v>2620.9699999999998</v>
      </c>
      <c r="AP2" s="228">
        <v>0</v>
      </c>
      <c r="AQ2" s="230">
        <v>3854</v>
      </c>
      <c r="AR2" s="230">
        <v>4114</v>
      </c>
      <c r="AS2" s="228">
        <v>-260</v>
      </c>
      <c r="AT2" s="229">
        <v>-6.3200000000000006E-2</v>
      </c>
      <c r="AU2" s="230">
        <v>3202</v>
      </c>
      <c r="AV2" s="230">
        <v>3707</v>
      </c>
      <c r="AW2" s="228">
        <v>-505</v>
      </c>
      <c r="AX2" s="229">
        <v>-0.13619999999999999</v>
      </c>
      <c r="AY2" s="228">
        <v>631</v>
      </c>
      <c r="AZ2" s="228">
        <v>401</v>
      </c>
      <c r="BA2" s="228">
        <v>230</v>
      </c>
      <c r="BB2" s="229">
        <v>0.5736</v>
      </c>
      <c r="BC2" s="228">
        <v>0</v>
      </c>
      <c r="BD2" s="228">
        <v>0</v>
      </c>
      <c r="BE2" s="228">
        <v>0</v>
      </c>
      <c r="BF2" s="229">
        <v>0</v>
      </c>
      <c r="BG2" s="230">
        <v>14364</v>
      </c>
      <c r="BH2" s="230">
        <v>14324</v>
      </c>
      <c r="BI2" s="228">
        <v>40</v>
      </c>
      <c r="BJ2" s="229">
        <v>2.8E-3</v>
      </c>
      <c r="BK2" s="230">
        <v>6677</v>
      </c>
      <c r="BL2" s="230">
        <v>7838</v>
      </c>
      <c r="BM2" s="230">
        <v>-1161</v>
      </c>
      <c r="BN2" s="229">
        <v>-0.14810000000000001</v>
      </c>
      <c r="BO2" s="230">
        <v>24895</v>
      </c>
      <c r="BP2" s="230">
        <v>26276</v>
      </c>
      <c r="BQ2" s="230">
        <v>-1381</v>
      </c>
      <c r="BR2" s="229">
        <v>-5.2600000000000001E-2</v>
      </c>
      <c r="BS2" s="230">
        <v>409117</v>
      </c>
      <c r="BT2" s="230">
        <v>412144</v>
      </c>
      <c r="BU2" s="230">
        <v>-3027</v>
      </c>
      <c r="BV2" s="229">
        <v>-7.3000000000000001E-3</v>
      </c>
      <c r="BW2" s="230">
        <v>18248700</v>
      </c>
      <c r="BX2" s="230">
        <v>18208200</v>
      </c>
      <c r="BY2" s="230">
        <v>40500</v>
      </c>
      <c r="BZ2" s="229">
        <v>2.2000000000000001E-3</v>
      </c>
      <c r="CA2" s="230">
        <v>17350500</v>
      </c>
      <c r="CB2" s="230">
        <v>17393100</v>
      </c>
      <c r="CC2" s="230">
        <v>-42600</v>
      </c>
      <c r="CD2" s="229">
        <v>-2.3999999999999998E-3</v>
      </c>
      <c r="CE2" s="230">
        <v>855300</v>
      </c>
      <c r="CF2" s="230">
        <v>776400</v>
      </c>
      <c r="CG2" s="230">
        <v>78900</v>
      </c>
      <c r="CH2" s="229">
        <v>0.1016</v>
      </c>
      <c r="CI2" s="228">
        <v>0</v>
      </c>
      <c r="CJ2" s="228">
        <v>0</v>
      </c>
      <c r="CK2" s="228">
        <v>0</v>
      </c>
      <c r="CL2" s="229">
        <v>0</v>
      </c>
      <c r="CM2" s="230">
        <v>8240700</v>
      </c>
      <c r="CN2" s="230">
        <v>8068200</v>
      </c>
      <c r="CO2" s="230">
        <v>172500</v>
      </c>
      <c r="CP2" s="229">
        <v>2.1399999999999999E-2</v>
      </c>
      <c r="CQ2" s="230">
        <v>6735600</v>
      </c>
      <c r="CR2" s="230">
        <v>6788400</v>
      </c>
      <c r="CS2" s="230">
        <v>-52800</v>
      </c>
      <c r="CT2" s="229">
        <v>-7.7999999999999996E-3</v>
      </c>
      <c r="CU2" s="230">
        <v>33225000</v>
      </c>
      <c r="CV2" s="230">
        <v>33064800</v>
      </c>
      <c r="CW2" s="230">
        <v>160200</v>
      </c>
      <c r="CX2" s="229">
        <v>4.7999999999999996E-3</v>
      </c>
      <c r="CY2" s="228">
        <v>26.5</v>
      </c>
      <c r="CZ2" s="228">
        <v>26.87</v>
      </c>
      <c r="DA2" s="228">
        <v>-0.37</v>
      </c>
      <c r="DB2" s="228">
        <v>-0.37</v>
      </c>
      <c r="DC2" s="228">
        <v>53.62</v>
      </c>
      <c r="DD2" s="228">
        <v>53.73</v>
      </c>
      <c r="DE2" s="228">
        <v>-27.12</v>
      </c>
      <c r="DF2" s="228">
        <v>-0.11</v>
      </c>
      <c r="DG2" s="228">
        <v>26.44</v>
      </c>
      <c r="DH2" s="228">
        <v>26.35</v>
      </c>
      <c r="DI2" s="228">
        <v>0.09</v>
      </c>
      <c r="DJ2" s="228">
        <v>0.09</v>
      </c>
      <c r="DK2" s="228">
        <v>26.61</v>
      </c>
      <c r="DL2" s="228">
        <v>27.83</v>
      </c>
      <c r="DM2" s="228">
        <v>-1.22</v>
      </c>
      <c r="DN2" s="228">
        <v>-1.22</v>
      </c>
      <c r="DO2" s="228">
        <v>0.82</v>
      </c>
      <c r="DP2" s="228">
        <v>0.84</v>
      </c>
      <c r="DQ2" s="228">
        <v>-0.02</v>
      </c>
      <c r="DR2" s="229">
        <v>-2.3800000000000002E-2</v>
      </c>
      <c r="DS2" s="231">
        <v>2600</v>
      </c>
      <c r="DT2" s="231">
        <v>2700</v>
      </c>
      <c r="DU2" s="228">
        <v>0.46</v>
      </c>
      <c r="DV2" s="228">
        <v>0.55000000000000004</v>
      </c>
      <c r="DW2" s="228">
        <v>-0.09</v>
      </c>
      <c r="DX2" s="229">
        <v>-0.1636</v>
      </c>
      <c r="DY2" s="229">
        <v>4.6899999999999997E-2</v>
      </c>
      <c r="DZ2" s="230">
        <v>776400</v>
      </c>
      <c r="EA2" s="229">
        <v>5.3E-3</v>
      </c>
      <c r="EB2" s="229">
        <v>4.6899999999999997E-2</v>
      </c>
      <c r="EC2" s="228">
        <v>13.02</v>
      </c>
      <c r="ED2" s="229">
        <v>5.0000000000000001E-3</v>
      </c>
      <c r="EE2" s="230">
        <v>135564</v>
      </c>
      <c r="EF2" s="230">
        <v>144998</v>
      </c>
      <c r="EG2" s="229">
        <v>-6.5100000000000005E-2</v>
      </c>
      <c r="EH2" s="229">
        <v>0.33139999999999997</v>
      </c>
      <c r="EI2" s="231">
        <v>116533.51</v>
      </c>
      <c r="EJ2" s="231">
        <v>51597.72</v>
      </c>
      <c r="EK2" s="231">
        <v>30179.439999999999</v>
      </c>
      <c r="EL2" s="228">
        <v>0</v>
      </c>
      <c r="EM2" s="231">
        <v>198310.67</v>
      </c>
      <c r="EN2" s="231">
        <v>208979.28</v>
      </c>
      <c r="EO2" s="231">
        <v>-10668.61</v>
      </c>
      <c r="EP2" s="229">
        <v>-5.11E-2</v>
      </c>
      <c r="EQ2" s="231">
        <v>220426</v>
      </c>
      <c r="ER2" s="231">
        <v>174442</v>
      </c>
      <c r="ES2" s="231">
        <v>473591</v>
      </c>
      <c r="ET2" s="231">
        <v>60081955</v>
      </c>
      <c r="EU2" s="231">
        <v>868459</v>
      </c>
      <c r="EV2" s="231">
        <v>869902</v>
      </c>
      <c r="EW2" s="231">
        <v>-1443</v>
      </c>
      <c r="EX2" s="229">
        <v>-1.6999999999999999E-3</v>
      </c>
      <c r="EY2" s="229">
        <v>0.55300000000000005</v>
      </c>
    </row>
    <row r="3" spans="1:155" ht="17.25" thickBot="1" x14ac:dyDescent="0.3">
      <c r="A3" s="226">
        <v>45860</v>
      </c>
      <c r="B3" s="227" t="s">
        <v>215</v>
      </c>
      <c r="C3" s="227" t="s">
        <v>160</v>
      </c>
      <c r="D3" s="231">
        <v>1425.7</v>
      </c>
      <c r="E3" s="231">
        <v>1452.9</v>
      </c>
      <c r="F3" s="228">
        <v>-27.2</v>
      </c>
      <c r="G3" s="229">
        <v>-1.8700000000000001E-2</v>
      </c>
      <c r="H3" s="231">
        <v>1420.7</v>
      </c>
      <c r="I3" s="231">
        <v>1450.5</v>
      </c>
      <c r="J3" s="228">
        <v>-29.8</v>
      </c>
      <c r="K3" s="229">
        <v>-2.0500000000000001E-2</v>
      </c>
      <c r="L3" s="231">
        <v>1425.7</v>
      </c>
      <c r="M3" s="231">
        <v>1452.9</v>
      </c>
      <c r="N3" s="228">
        <v>-27.2</v>
      </c>
      <c r="O3" s="229">
        <v>-1.8700000000000001E-2</v>
      </c>
      <c r="P3" s="231">
        <v>1432.5</v>
      </c>
      <c r="Q3" s="231">
        <v>1459.8</v>
      </c>
      <c r="R3" s="228">
        <v>-27.3</v>
      </c>
      <c r="S3" s="229">
        <v>-1.8700000000000001E-2</v>
      </c>
      <c r="T3" s="228">
        <v>0</v>
      </c>
      <c r="U3" s="228">
        <v>0</v>
      </c>
      <c r="V3" s="228">
        <v>0</v>
      </c>
      <c r="W3" s="229">
        <v>0</v>
      </c>
      <c r="X3" s="228">
        <v>5</v>
      </c>
      <c r="Y3" s="228">
        <v>2.4</v>
      </c>
      <c r="Z3" s="228">
        <v>2.6</v>
      </c>
      <c r="AA3" s="229">
        <v>3.5000000000000001E-3</v>
      </c>
      <c r="AB3" s="228">
        <v>5</v>
      </c>
      <c r="AC3" s="228">
        <v>2.4</v>
      </c>
      <c r="AD3" s="228">
        <v>2.6</v>
      </c>
      <c r="AE3" s="229">
        <v>3.5000000000000001E-3</v>
      </c>
      <c r="AF3" s="228">
        <v>11.8</v>
      </c>
      <c r="AG3" s="228">
        <v>9.3000000000000007</v>
      </c>
      <c r="AH3" s="228">
        <v>2.5</v>
      </c>
      <c r="AI3" s="229">
        <v>8.3000000000000001E-3</v>
      </c>
      <c r="AJ3" s="228">
        <v>0</v>
      </c>
      <c r="AK3" s="228">
        <v>0</v>
      </c>
      <c r="AL3" s="228">
        <v>0</v>
      </c>
      <c r="AM3" s="229">
        <v>0</v>
      </c>
      <c r="AN3" s="231">
        <v>1436.62</v>
      </c>
      <c r="AO3" s="231">
        <v>1442.73</v>
      </c>
      <c r="AP3" s="228">
        <v>0</v>
      </c>
      <c r="AQ3" s="230">
        <v>7031</v>
      </c>
      <c r="AR3" s="230">
        <v>3577</v>
      </c>
      <c r="AS3" s="230">
        <v>3454</v>
      </c>
      <c r="AT3" s="229">
        <v>0.96560000000000001</v>
      </c>
      <c r="AU3" s="230">
        <v>5111</v>
      </c>
      <c r="AV3" s="230">
        <v>2928</v>
      </c>
      <c r="AW3" s="230">
        <v>2183</v>
      </c>
      <c r="AX3" s="229">
        <v>0.74560000000000004</v>
      </c>
      <c r="AY3" s="228">
        <v>828</v>
      </c>
      <c r="AZ3" s="228">
        <v>610</v>
      </c>
      <c r="BA3" s="228">
        <v>218</v>
      </c>
      <c r="BB3" s="229">
        <v>0.3574</v>
      </c>
      <c r="BC3" s="228">
        <v>0</v>
      </c>
      <c r="BD3" s="228">
        <v>0</v>
      </c>
      <c r="BE3" s="228">
        <v>0</v>
      </c>
      <c r="BF3" s="229">
        <v>0</v>
      </c>
      <c r="BG3" s="230">
        <v>13892</v>
      </c>
      <c r="BH3" s="230">
        <v>13225</v>
      </c>
      <c r="BI3" s="228">
        <v>667</v>
      </c>
      <c r="BJ3" s="229">
        <v>5.04E-2</v>
      </c>
      <c r="BK3" s="230">
        <v>7933</v>
      </c>
      <c r="BL3" s="230">
        <v>5127</v>
      </c>
      <c r="BM3" s="230">
        <v>2806</v>
      </c>
      <c r="BN3" s="229">
        <v>0.54730000000000001</v>
      </c>
      <c r="BO3" s="230">
        <v>28856</v>
      </c>
      <c r="BP3" s="230">
        <v>21929</v>
      </c>
      <c r="BQ3" s="230">
        <v>6927</v>
      </c>
      <c r="BR3" s="229">
        <v>0.31590000000000001</v>
      </c>
      <c r="BS3" s="230">
        <v>1010419</v>
      </c>
      <c r="BT3" s="230">
        <v>848676</v>
      </c>
      <c r="BU3" s="230">
        <v>161743</v>
      </c>
      <c r="BV3" s="229">
        <v>0.19059999999999999</v>
      </c>
      <c r="BW3" s="230">
        <v>22491250</v>
      </c>
      <c r="BX3" s="230">
        <v>22482225</v>
      </c>
      <c r="BY3" s="230">
        <v>9025</v>
      </c>
      <c r="BZ3" s="229">
        <v>4.0000000000000002E-4</v>
      </c>
      <c r="CA3" s="230">
        <v>20332850</v>
      </c>
      <c r="CB3" s="230">
        <v>21000700</v>
      </c>
      <c r="CC3" s="230">
        <v>-667850</v>
      </c>
      <c r="CD3" s="229">
        <v>-3.1800000000000002E-2</v>
      </c>
      <c r="CE3" s="230">
        <v>1580325</v>
      </c>
      <c r="CF3" s="230">
        <v>1404100</v>
      </c>
      <c r="CG3" s="230">
        <v>176225</v>
      </c>
      <c r="CH3" s="229">
        <v>0.1255</v>
      </c>
      <c r="CI3" s="228">
        <v>0</v>
      </c>
      <c r="CJ3" s="228">
        <v>0</v>
      </c>
      <c r="CK3" s="228">
        <v>0</v>
      </c>
      <c r="CL3" s="229">
        <v>0</v>
      </c>
      <c r="CM3" s="230">
        <v>8110150</v>
      </c>
      <c r="CN3" s="230">
        <v>7886900</v>
      </c>
      <c r="CO3" s="230">
        <v>223250</v>
      </c>
      <c r="CP3" s="229">
        <v>2.8299999999999999E-2</v>
      </c>
      <c r="CQ3" s="230">
        <v>6031075</v>
      </c>
      <c r="CR3" s="230">
        <v>5860075</v>
      </c>
      <c r="CS3" s="230">
        <v>171000</v>
      </c>
      <c r="CT3" s="229">
        <v>2.92E-2</v>
      </c>
      <c r="CU3" s="230">
        <v>36632475</v>
      </c>
      <c r="CV3" s="230">
        <v>36229200</v>
      </c>
      <c r="CW3" s="230">
        <v>403275</v>
      </c>
      <c r="CX3" s="229">
        <v>1.11E-2</v>
      </c>
      <c r="CY3" s="228">
        <v>26.05</v>
      </c>
      <c r="CZ3" s="228">
        <v>25.26</v>
      </c>
      <c r="DA3" s="228">
        <v>0.79</v>
      </c>
      <c r="DB3" s="228">
        <v>0.79</v>
      </c>
      <c r="DC3" s="228">
        <v>43.02</v>
      </c>
      <c r="DD3" s="228">
        <v>43.04</v>
      </c>
      <c r="DE3" s="228">
        <v>-16.97</v>
      </c>
      <c r="DF3" s="228">
        <v>-0.02</v>
      </c>
      <c r="DG3" s="228">
        <v>26.29</v>
      </c>
      <c r="DH3" s="228">
        <v>24.94</v>
      </c>
      <c r="DI3" s="228">
        <v>1.35</v>
      </c>
      <c r="DJ3" s="228">
        <v>1.35</v>
      </c>
      <c r="DK3" s="228">
        <v>25.62</v>
      </c>
      <c r="DL3" s="228">
        <v>26.08</v>
      </c>
      <c r="DM3" s="228">
        <v>-0.46</v>
      </c>
      <c r="DN3" s="228">
        <v>-0.46</v>
      </c>
      <c r="DO3" s="228">
        <v>0.74</v>
      </c>
      <c r="DP3" s="228">
        <v>0.74</v>
      </c>
      <c r="DQ3" s="228">
        <v>0</v>
      </c>
      <c r="DR3" s="229">
        <v>0</v>
      </c>
      <c r="DS3" s="231">
        <v>1500</v>
      </c>
      <c r="DT3" s="231">
        <v>1400</v>
      </c>
      <c r="DU3" s="228">
        <v>0.56999999999999995</v>
      </c>
      <c r="DV3" s="228">
        <v>0.39</v>
      </c>
      <c r="DW3" s="228">
        <v>0.18</v>
      </c>
      <c r="DX3" s="229">
        <v>0.46150000000000002</v>
      </c>
      <c r="DY3" s="229">
        <v>7.0300000000000001E-2</v>
      </c>
      <c r="DZ3" s="230">
        <v>1404100</v>
      </c>
      <c r="EA3" s="229">
        <v>4.7999999999999996E-3</v>
      </c>
      <c r="EB3" s="229">
        <v>7.0300000000000001E-2</v>
      </c>
      <c r="EC3" s="228">
        <v>6.11</v>
      </c>
      <c r="ED3" s="229">
        <v>4.3E-3</v>
      </c>
      <c r="EE3" s="230">
        <v>478704</v>
      </c>
      <c r="EF3" s="230">
        <v>391060</v>
      </c>
      <c r="EG3" s="229">
        <v>0.22409999999999999</v>
      </c>
      <c r="EH3" s="229">
        <v>0.4738</v>
      </c>
      <c r="EI3" s="231">
        <v>97962.81</v>
      </c>
      <c r="EJ3" s="231">
        <v>53767.81</v>
      </c>
      <c r="EK3" s="231">
        <v>48125.43</v>
      </c>
      <c r="EL3" s="228">
        <v>0</v>
      </c>
      <c r="EM3" s="231">
        <v>199856.05</v>
      </c>
      <c r="EN3" s="231">
        <v>153168.24</v>
      </c>
      <c r="EO3" s="231">
        <v>46687.81</v>
      </c>
      <c r="EP3" s="229">
        <v>0.30480000000000002</v>
      </c>
      <c r="EQ3" s="231">
        <v>119671</v>
      </c>
      <c r="ER3" s="231">
        <v>83211</v>
      </c>
      <c r="ES3" s="231">
        <v>320851</v>
      </c>
      <c r="ET3" s="231">
        <v>147352572</v>
      </c>
      <c r="EU3" s="231">
        <v>523733</v>
      </c>
      <c r="EV3" s="231">
        <v>524113</v>
      </c>
      <c r="EW3" s="228">
        <v>-380</v>
      </c>
      <c r="EX3" s="229">
        <v>-6.9999999999999999E-4</v>
      </c>
      <c r="EY3" s="229">
        <v>0.24859999999999999</v>
      </c>
    </row>
    <row r="4" spans="1:155" ht="17.25" thickBot="1" x14ac:dyDescent="0.3">
      <c r="A4" s="226">
        <v>45860</v>
      </c>
      <c r="B4" s="227" t="s">
        <v>170</v>
      </c>
      <c r="C4" s="227" t="s">
        <v>165</v>
      </c>
      <c r="D4" s="231">
        <v>7258</v>
      </c>
      <c r="E4" s="231">
        <v>7271</v>
      </c>
      <c r="F4" s="228">
        <v>-13</v>
      </c>
      <c r="G4" s="229">
        <v>-1.8E-3</v>
      </c>
      <c r="H4" s="231">
        <v>7246.5</v>
      </c>
      <c r="I4" s="231">
        <v>7254.5</v>
      </c>
      <c r="J4" s="228">
        <v>-8</v>
      </c>
      <c r="K4" s="229">
        <v>-1.1000000000000001E-3</v>
      </c>
      <c r="L4" s="231">
        <v>7258</v>
      </c>
      <c r="M4" s="231">
        <v>7271</v>
      </c>
      <c r="N4" s="228">
        <v>-13</v>
      </c>
      <c r="O4" s="229">
        <v>-1.8E-3</v>
      </c>
      <c r="P4" s="231">
        <v>7287</v>
      </c>
      <c r="Q4" s="231">
        <v>7299.5</v>
      </c>
      <c r="R4" s="228">
        <v>-12.5</v>
      </c>
      <c r="S4" s="229">
        <v>-1.6999999999999999E-3</v>
      </c>
      <c r="T4" s="228">
        <v>0</v>
      </c>
      <c r="U4" s="228">
        <v>0</v>
      </c>
      <c r="V4" s="228">
        <v>0</v>
      </c>
      <c r="W4" s="229">
        <v>0</v>
      </c>
      <c r="X4" s="228">
        <v>11.5</v>
      </c>
      <c r="Y4" s="228">
        <v>16.5</v>
      </c>
      <c r="Z4" s="228">
        <v>-5</v>
      </c>
      <c r="AA4" s="229">
        <v>1.6000000000000001E-3</v>
      </c>
      <c r="AB4" s="228">
        <v>11.5</v>
      </c>
      <c r="AC4" s="228">
        <v>16.5</v>
      </c>
      <c r="AD4" s="228">
        <v>-5</v>
      </c>
      <c r="AE4" s="229">
        <v>1.6000000000000001E-3</v>
      </c>
      <c r="AF4" s="228">
        <v>40.5</v>
      </c>
      <c r="AG4" s="228">
        <v>45</v>
      </c>
      <c r="AH4" s="228">
        <v>-4.5</v>
      </c>
      <c r="AI4" s="229">
        <v>5.5999999999999999E-3</v>
      </c>
      <c r="AJ4" s="228">
        <v>0</v>
      </c>
      <c r="AK4" s="228">
        <v>0</v>
      </c>
      <c r="AL4" s="228">
        <v>0</v>
      </c>
      <c r="AM4" s="229">
        <v>0</v>
      </c>
      <c r="AN4" s="231">
        <v>7261.92</v>
      </c>
      <c r="AO4" s="231">
        <v>7286.1</v>
      </c>
      <c r="AP4" s="228">
        <v>0</v>
      </c>
      <c r="AQ4" s="230">
        <v>1542</v>
      </c>
      <c r="AR4" s="230">
        <v>2003</v>
      </c>
      <c r="AS4" s="228">
        <v>-461</v>
      </c>
      <c r="AT4" s="229">
        <v>-0.23019999999999999</v>
      </c>
      <c r="AU4" s="230">
        <v>1309</v>
      </c>
      <c r="AV4" s="230">
        <v>1733</v>
      </c>
      <c r="AW4" s="228">
        <v>-424</v>
      </c>
      <c r="AX4" s="229">
        <v>-0.2447</v>
      </c>
      <c r="AY4" s="228">
        <v>219</v>
      </c>
      <c r="AZ4" s="228">
        <v>248</v>
      </c>
      <c r="BA4" s="228">
        <v>-29</v>
      </c>
      <c r="BB4" s="229">
        <v>-0.1169</v>
      </c>
      <c r="BC4" s="228">
        <v>0</v>
      </c>
      <c r="BD4" s="228">
        <v>0</v>
      </c>
      <c r="BE4" s="228">
        <v>0</v>
      </c>
      <c r="BF4" s="229">
        <v>0</v>
      </c>
      <c r="BG4" s="230">
        <v>8854</v>
      </c>
      <c r="BH4" s="230">
        <v>9367</v>
      </c>
      <c r="BI4" s="228">
        <v>-513</v>
      </c>
      <c r="BJ4" s="229">
        <v>-5.4800000000000001E-2</v>
      </c>
      <c r="BK4" s="230">
        <v>4083</v>
      </c>
      <c r="BL4" s="230">
        <v>5670</v>
      </c>
      <c r="BM4" s="230">
        <v>-1587</v>
      </c>
      <c r="BN4" s="229">
        <v>-0.27989999999999998</v>
      </c>
      <c r="BO4" s="230">
        <v>14479</v>
      </c>
      <c r="BP4" s="230">
        <v>17040</v>
      </c>
      <c r="BQ4" s="230">
        <v>-2561</v>
      </c>
      <c r="BR4" s="229">
        <v>-0.15029999999999999</v>
      </c>
      <c r="BS4" s="230">
        <v>303846</v>
      </c>
      <c r="BT4" s="230">
        <v>220137</v>
      </c>
      <c r="BU4" s="230">
        <v>83709</v>
      </c>
      <c r="BV4" s="229">
        <v>0.38030000000000003</v>
      </c>
      <c r="BW4" s="230">
        <v>2744375</v>
      </c>
      <c r="BX4" s="230">
        <v>2775625</v>
      </c>
      <c r="BY4" s="230">
        <v>-31250</v>
      </c>
      <c r="BZ4" s="229">
        <v>-1.1299999999999999E-2</v>
      </c>
      <c r="CA4" s="230">
        <v>2583875</v>
      </c>
      <c r="CB4" s="230">
        <v>2631125</v>
      </c>
      <c r="CC4" s="230">
        <v>-47250</v>
      </c>
      <c r="CD4" s="229">
        <v>-1.7999999999999999E-2</v>
      </c>
      <c r="CE4" s="230">
        <v>148875</v>
      </c>
      <c r="CF4" s="230">
        <v>133250</v>
      </c>
      <c r="CG4" s="230">
        <v>15625</v>
      </c>
      <c r="CH4" s="229">
        <v>0.1173</v>
      </c>
      <c r="CI4" s="228">
        <v>0</v>
      </c>
      <c r="CJ4" s="228">
        <v>0</v>
      </c>
      <c r="CK4" s="228">
        <v>0</v>
      </c>
      <c r="CL4" s="229">
        <v>0</v>
      </c>
      <c r="CM4" s="230">
        <v>2003875</v>
      </c>
      <c r="CN4" s="230">
        <v>1962375</v>
      </c>
      <c r="CO4" s="230">
        <v>41500</v>
      </c>
      <c r="CP4" s="229">
        <v>2.1100000000000001E-2</v>
      </c>
      <c r="CQ4" s="230">
        <v>957250</v>
      </c>
      <c r="CR4" s="230">
        <v>969750</v>
      </c>
      <c r="CS4" s="230">
        <v>-12500</v>
      </c>
      <c r="CT4" s="229">
        <v>-1.29E-2</v>
      </c>
      <c r="CU4" s="230">
        <v>5705500</v>
      </c>
      <c r="CV4" s="230">
        <v>5707750</v>
      </c>
      <c r="CW4" s="230">
        <v>-2250</v>
      </c>
      <c r="CX4" s="229">
        <v>-4.0000000000000002E-4</v>
      </c>
      <c r="CY4" s="228">
        <v>19.14</v>
      </c>
      <c r="CZ4" s="228">
        <v>20.11</v>
      </c>
      <c r="DA4" s="228">
        <v>-0.97</v>
      </c>
      <c r="DB4" s="228">
        <v>-0.97</v>
      </c>
      <c r="DC4" s="228">
        <v>26.66</v>
      </c>
      <c r="DD4" s="228">
        <v>26.72</v>
      </c>
      <c r="DE4" s="228">
        <v>-7.52</v>
      </c>
      <c r="DF4" s="228">
        <v>-0.06</v>
      </c>
      <c r="DG4" s="228">
        <v>19.86</v>
      </c>
      <c r="DH4" s="228">
        <v>21.07</v>
      </c>
      <c r="DI4" s="228">
        <v>-1.21</v>
      </c>
      <c r="DJ4" s="228">
        <v>-1.21</v>
      </c>
      <c r="DK4" s="228">
        <v>17.600000000000001</v>
      </c>
      <c r="DL4" s="228">
        <v>18.52</v>
      </c>
      <c r="DM4" s="228">
        <v>-0.92</v>
      </c>
      <c r="DN4" s="228">
        <v>-0.92</v>
      </c>
      <c r="DO4" s="228">
        <v>0.48</v>
      </c>
      <c r="DP4" s="228">
        <v>0.49</v>
      </c>
      <c r="DQ4" s="228">
        <v>-0.01</v>
      </c>
      <c r="DR4" s="229">
        <v>-2.0400000000000001E-2</v>
      </c>
      <c r="DS4" s="231">
        <v>8000</v>
      </c>
      <c r="DT4" s="231">
        <v>7000</v>
      </c>
      <c r="DU4" s="228">
        <v>0.46</v>
      </c>
      <c r="DV4" s="228">
        <v>0.61</v>
      </c>
      <c r="DW4" s="228">
        <v>-0.15</v>
      </c>
      <c r="DX4" s="229">
        <v>-0.24590000000000001</v>
      </c>
      <c r="DY4" s="229">
        <v>5.4199999999999998E-2</v>
      </c>
      <c r="DZ4" s="230">
        <v>133250</v>
      </c>
      <c r="EA4" s="229">
        <v>4.0000000000000001E-3</v>
      </c>
      <c r="EB4" s="229">
        <v>5.4199999999999998E-2</v>
      </c>
      <c r="EC4" s="228">
        <v>24.18</v>
      </c>
      <c r="ED4" s="229">
        <v>3.3E-3</v>
      </c>
      <c r="EE4" s="230">
        <v>234187</v>
      </c>
      <c r="EF4" s="230">
        <v>150399</v>
      </c>
      <c r="EG4" s="229">
        <v>0.55710000000000004</v>
      </c>
      <c r="EH4" s="229">
        <v>0.77070000000000005</v>
      </c>
      <c r="EI4" s="231">
        <v>83187.97</v>
      </c>
      <c r="EJ4" s="231">
        <v>36742.01</v>
      </c>
      <c r="EK4" s="231">
        <v>14004.88</v>
      </c>
      <c r="EL4" s="228">
        <v>0</v>
      </c>
      <c r="EM4" s="231">
        <v>133934.85999999999</v>
      </c>
      <c r="EN4" s="231">
        <v>158285.26</v>
      </c>
      <c r="EO4" s="231">
        <v>-24350.400000000001</v>
      </c>
      <c r="EP4" s="229">
        <v>-0.15379999999999999</v>
      </c>
      <c r="EQ4" s="231">
        <v>154564</v>
      </c>
      <c r="ER4" s="231">
        <v>68049</v>
      </c>
      <c r="ES4" s="231">
        <v>199237</v>
      </c>
      <c r="ET4" s="231">
        <v>20320323</v>
      </c>
      <c r="EU4" s="231">
        <v>421850</v>
      </c>
      <c r="EV4" s="231">
        <v>422284</v>
      </c>
      <c r="EW4" s="228">
        <v>-434</v>
      </c>
      <c r="EX4" s="229">
        <v>-1E-3</v>
      </c>
      <c r="EY4" s="229">
        <v>0.28079999999999999</v>
      </c>
    </row>
    <row r="5" spans="1:155" ht="17.25" thickBot="1" x14ac:dyDescent="0.3">
      <c r="A5" s="226">
        <v>45860</v>
      </c>
      <c r="B5" s="227" t="s">
        <v>168</v>
      </c>
      <c r="C5" s="227" t="s">
        <v>169</v>
      </c>
      <c r="D5" s="231">
        <v>2365.8000000000002</v>
      </c>
      <c r="E5" s="231">
        <v>2377</v>
      </c>
      <c r="F5" s="228">
        <v>-11.2</v>
      </c>
      <c r="G5" s="229">
        <v>-4.7000000000000002E-3</v>
      </c>
      <c r="H5" s="231">
        <v>2365.1999999999998</v>
      </c>
      <c r="I5" s="231">
        <v>2375.4</v>
      </c>
      <c r="J5" s="228">
        <v>-10.199999999999999</v>
      </c>
      <c r="K5" s="229">
        <v>-4.3E-3</v>
      </c>
      <c r="L5" s="231">
        <v>2365.8000000000002</v>
      </c>
      <c r="M5" s="231">
        <v>2377</v>
      </c>
      <c r="N5" s="228">
        <v>-11.2</v>
      </c>
      <c r="O5" s="229">
        <v>-4.7000000000000002E-3</v>
      </c>
      <c r="P5" s="231">
        <v>2378.5</v>
      </c>
      <c r="Q5" s="231">
        <v>2389.6</v>
      </c>
      <c r="R5" s="228">
        <v>-11.1</v>
      </c>
      <c r="S5" s="229">
        <v>-4.5999999999999999E-3</v>
      </c>
      <c r="T5" s="228">
        <v>0</v>
      </c>
      <c r="U5" s="228">
        <v>0</v>
      </c>
      <c r="V5" s="228">
        <v>0</v>
      </c>
      <c r="W5" s="229">
        <v>0</v>
      </c>
      <c r="X5" s="228">
        <v>0.6</v>
      </c>
      <c r="Y5" s="228">
        <v>1.6</v>
      </c>
      <c r="Z5" s="228">
        <v>-1</v>
      </c>
      <c r="AA5" s="229">
        <v>2.9999999999999997E-4</v>
      </c>
      <c r="AB5" s="228">
        <v>0.6</v>
      </c>
      <c r="AC5" s="228">
        <v>1.6</v>
      </c>
      <c r="AD5" s="228">
        <v>-1</v>
      </c>
      <c r="AE5" s="229">
        <v>2.9999999999999997E-4</v>
      </c>
      <c r="AF5" s="228">
        <v>13.3</v>
      </c>
      <c r="AG5" s="228">
        <v>14.2</v>
      </c>
      <c r="AH5" s="228">
        <v>-0.9</v>
      </c>
      <c r="AI5" s="229">
        <v>5.5999999999999999E-3</v>
      </c>
      <c r="AJ5" s="228">
        <v>0</v>
      </c>
      <c r="AK5" s="228">
        <v>0</v>
      </c>
      <c r="AL5" s="228">
        <v>0</v>
      </c>
      <c r="AM5" s="229">
        <v>0</v>
      </c>
      <c r="AN5" s="231">
        <v>2369.65</v>
      </c>
      <c r="AO5" s="231">
        <v>2381.64</v>
      </c>
      <c r="AP5" s="228">
        <v>0</v>
      </c>
      <c r="AQ5" s="230">
        <v>3782</v>
      </c>
      <c r="AR5" s="230">
        <v>4592</v>
      </c>
      <c r="AS5" s="228">
        <v>-810</v>
      </c>
      <c r="AT5" s="229">
        <v>-0.1764</v>
      </c>
      <c r="AU5" s="230">
        <v>3110</v>
      </c>
      <c r="AV5" s="230">
        <v>4083</v>
      </c>
      <c r="AW5" s="228">
        <v>-973</v>
      </c>
      <c r="AX5" s="229">
        <v>-0.23830000000000001</v>
      </c>
      <c r="AY5" s="228">
        <v>609</v>
      </c>
      <c r="AZ5" s="228">
        <v>419</v>
      </c>
      <c r="BA5" s="228">
        <v>190</v>
      </c>
      <c r="BB5" s="229">
        <v>0.45350000000000001</v>
      </c>
      <c r="BC5" s="228">
        <v>0</v>
      </c>
      <c r="BD5" s="228">
        <v>0</v>
      </c>
      <c r="BE5" s="228">
        <v>0</v>
      </c>
      <c r="BF5" s="229">
        <v>0</v>
      </c>
      <c r="BG5" s="230">
        <v>16128</v>
      </c>
      <c r="BH5" s="230">
        <v>20427</v>
      </c>
      <c r="BI5" s="230">
        <v>-4299</v>
      </c>
      <c r="BJ5" s="229">
        <v>-0.21049999999999999</v>
      </c>
      <c r="BK5" s="230">
        <v>6292</v>
      </c>
      <c r="BL5" s="230">
        <v>8500</v>
      </c>
      <c r="BM5" s="230">
        <v>-2208</v>
      </c>
      <c r="BN5" s="229">
        <v>-0.25979999999999998</v>
      </c>
      <c r="BO5" s="230">
        <v>26202</v>
      </c>
      <c r="BP5" s="230">
        <v>33519</v>
      </c>
      <c r="BQ5" s="230">
        <v>-7317</v>
      </c>
      <c r="BR5" s="229">
        <v>-0.21829999999999999</v>
      </c>
      <c r="BS5" s="230">
        <v>440293</v>
      </c>
      <c r="BT5" s="230">
        <v>402690</v>
      </c>
      <c r="BU5" s="230">
        <v>37603</v>
      </c>
      <c r="BV5" s="229">
        <v>9.3399999999999997E-2</v>
      </c>
      <c r="BW5" s="230">
        <v>15336750</v>
      </c>
      <c r="BX5" s="230">
        <v>15241750</v>
      </c>
      <c r="BY5" s="230">
        <v>95000</v>
      </c>
      <c r="BZ5" s="229">
        <v>6.1999999999999998E-3</v>
      </c>
      <c r="CA5" s="230">
        <v>14142000</v>
      </c>
      <c r="CB5" s="230">
        <v>14159000</v>
      </c>
      <c r="CC5" s="230">
        <v>-17000</v>
      </c>
      <c r="CD5" s="229">
        <v>-1.1999999999999999E-3</v>
      </c>
      <c r="CE5" s="230">
        <v>1065750</v>
      </c>
      <c r="CF5" s="230">
        <v>960750</v>
      </c>
      <c r="CG5" s="230">
        <v>105000</v>
      </c>
      <c r="CH5" s="229">
        <v>0.10929999999999999</v>
      </c>
      <c r="CI5" s="228">
        <v>0</v>
      </c>
      <c r="CJ5" s="228">
        <v>0</v>
      </c>
      <c r="CK5" s="228">
        <v>0</v>
      </c>
      <c r="CL5" s="229">
        <v>0</v>
      </c>
      <c r="CM5" s="230">
        <v>9227250</v>
      </c>
      <c r="CN5" s="230">
        <v>9368500</v>
      </c>
      <c r="CO5" s="230">
        <v>-141250</v>
      </c>
      <c r="CP5" s="229">
        <v>-1.5100000000000001E-2</v>
      </c>
      <c r="CQ5" s="230">
        <v>4494000</v>
      </c>
      <c r="CR5" s="230">
        <v>4493250</v>
      </c>
      <c r="CS5" s="228">
        <v>750</v>
      </c>
      <c r="CT5" s="229">
        <v>2.0000000000000001E-4</v>
      </c>
      <c r="CU5" s="230">
        <v>29058000</v>
      </c>
      <c r="CV5" s="230">
        <v>29103500</v>
      </c>
      <c r="CW5" s="230">
        <v>-45500</v>
      </c>
      <c r="CX5" s="229">
        <v>-1.6000000000000001E-3</v>
      </c>
      <c r="CY5" s="228">
        <v>24.83</v>
      </c>
      <c r="CZ5" s="228">
        <v>24.37</v>
      </c>
      <c r="DA5" s="228">
        <v>0.46</v>
      </c>
      <c r="DB5" s="228">
        <v>0.46</v>
      </c>
      <c r="DC5" s="228">
        <v>24.35</v>
      </c>
      <c r="DD5" s="228">
        <v>24.4</v>
      </c>
      <c r="DE5" s="228">
        <v>0.48</v>
      </c>
      <c r="DF5" s="228">
        <v>-0.05</v>
      </c>
      <c r="DG5" s="228">
        <v>25.32</v>
      </c>
      <c r="DH5" s="228">
        <v>24.84</v>
      </c>
      <c r="DI5" s="228">
        <v>0.48</v>
      </c>
      <c r="DJ5" s="228">
        <v>0.48</v>
      </c>
      <c r="DK5" s="228">
        <v>23.57</v>
      </c>
      <c r="DL5" s="228">
        <v>23.23</v>
      </c>
      <c r="DM5" s="228">
        <v>0.34</v>
      </c>
      <c r="DN5" s="228">
        <v>0.34</v>
      </c>
      <c r="DO5" s="228">
        <v>0.49</v>
      </c>
      <c r="DP5" s="228">
        <v>0.48</v>
      </c>
      <c r="DQ5" s="228">
        <v>0.01</v>
      </c>
      <c r="DR5" s="229">
        <v>2.0799999999999999E-2</v>
      </c>
      <c r="DS5" s="231">
        <v>2500</v>
      </c>
      <c r="DT5" s="231">
        <v>2300</v>
      </c>
      <c r="DU5" s="228">
        <v>0.39</v>
      </c>
      <c r="DV5" s="228">
        <v>0.42</v>
      </c>
      <c r="DW5" s="228">
        <v>-0.03</v>
      </c>
      <c r="DX5" s="229">
        <v>-7.1400000000000005E-2</v>
      </c>
      <c r="DY5" s="229">
        <v>6.9500000000000006E-2</v>
      </c>
      <c r="DZ5" s="230">
        <v>960750</v>
      </c>
      <c r="EA5" s="229">
        <v>5.4000000000000003E-3</v>
      </c>
      <c r="EB5" s="229">
        <v>6.9500000000000006E-2</v>
      </c>
      <c r="EC5" s="228">
        <v>11.99</v>
      </c>
      <c r="ED5" s="229">
        <v>5.1000000000000004E-3</v>
      </c>
      <c r="EE5" s="230">
        <v>276321</v>
      </c>
      <c r="EF5" s="230">
        <v>220078</v>
      </c>
      <c r="EG5" s="229">
        <v>0.25559999999999999</v>
      </c>
      <c r="EH5" s="229">
        <v>0.62760000000000005</v>
      </c>
      <c r="EI5" s="231">
        <v>100480.73</v>
      </c>
      <c r="EJ5" s="231">
        <v>37053.08</v>
      </c>
      <c r="EK5" s="231">
        <v>22427.59</v>
      </c>
      <c r="EL5" s="228">
        <v>0</v>
      </c>
      <c r="EM5" s="231">
        <v>159961.4</v>
      </c>
      <c r="EN5" s="231">
        <v>204845.88</v>
      </c>
      <c r="EO5" s="231">
        <v>-44884.480000000003</v>
      </c>
      <c r="EP5" s="229">
        <v>-0.21909999999999999</v>
      </c>
      <c r="EQ5" s="231">
        <v>230767</v>
      </c>
      <c r="ER5" s="231">
        <v>104417</v>
      </c>
      <c r="ES5" s="231">
        <v>363005</v>
      </c>
      <c r="ET5" s="231">
        <v>90791585</v>
      </c>
      <c r="EU5" s="231">
        <v>698189</v>
      </c>
      <c r="EV5" s="231">
        <v>701782</v>
      </c>
      <c r="EW5" s="231">
        <v>-3593</v>
      </c>
      <c r="EX5" s="229">
        <v>-5.1000000000000004E-3</v>
      </c>
      <c r="EY5" s="229">
        <v>0.3201</v>
      </c>
    </row>
    <row r="6" spans="1:155" ht="17.25" thickBot="1" x14ac:dyDescent="0.3">
      <c r="A6" s="226">
        <v>45860</v>
      </c>
      <c r="B6" s="227" t="s">
        <v>172</v>
      </c>
      <c r="C6" s="227" t="s">
        <v>173</v>
      </c>
      <c r="D6" s="231">
        <v>1101.5</v>
      </c>
      <c r="E6" s="231">
        <v>1103.0999999999999</v>
      </c>
      <c r="F6" s="228">
        <v>-1.6</v>
      </c>
      <c r="G6" s="229">
        <v>-1.5E-3</v>
      </c>
      <c r="H6" s="231">
        <v>1098</v>
      </c>
      <c r="I6" s="231">
        <v>1099.5999999999999</v>
      </c>
      <c r="J6" s="228">
        <v>-1.6</v>
      </c>
      <c r="K6" s="229">
        <v>-1.5E-3</v>
      </c>
      <c r="L6" s="231">
        <v>1101.5</v>
      </c>
      <c r="M6" s="231">
        <v>1103.0999999999999</v>
      </c>
      <c r="N6" s="228">
        <v>-1.6</v>
      </c>
      <c r="O6" s="229">
        <v>-1.5E-3</v>
      </c>
      <c r="P6" s="231">
        <v>1106.5999999999999</v>
      </c>
      <c r="Q6" s="231">
        <v>1108.5</v>
      </c>
      <c r="R6" s="228">
        <v>-1.9</v>
      </c>
      <c r="S6" s="229">
        <v>-1.6999999999999999E-3</v>
      </c>
      <c r="T6" s="228">
        <v>0</v>
      </c>
      <c r="U6" s="228">
        <v>0</v>
      </c>
      <c r="V6" s="228">
        <v>0</v>
      </c>
      <c r="W6" s="229">
        <v>0</v>
      </c>
      <c r="X6" s="228">
        <v>3.5</v>
      </c>
      <c r="Y6" s="228">
        <v>3.5</v>
      </c>
      <c r="Z6" s="228">
        <v>0</v>
      </c>
      <c r="AA6" s="229">
        <v>3.2000000000000002E-3</v>
      </c>
      <c r="AB6" s="228">
        <v>3.5</v>
      </c>
      <c r="AC6" s="228">
        <v>3.5</v>
      </c>
      <c r="AD6" s="228">
        <v>0</v>
      </c>
      <c r="AE6" s="229">
        <v>3.2000000000000002E-3</v>
      </c>
      <c r="AF6" s="228">
        <v>8.6</v>
      </c>
      <c r="AG6" s="228">
        <v>8.9</v>
      </c>
      <c r="AH6" s="228">
        <v>-0.3</v>
      </c>
      <c r="AI6" s="229">
        <v>7.7999999999999996E-3</v>
      </c>
      <c r="AJ6" s="228">
        <v>0</v>
      </c>
      <c r="AK6" s="228">
        <v>0</v>
      </c>
      <c r="AL6" s="228">
        <v>0</v>
      </c>
      <c r="AM6" s="229">
        <v>0</v>
      </c>
      <c r="AN6" s="231">
        <v>1106.3499999999999</v>
      </c>
      <c r="AO6" s="231">
        <v>1110.81</v>
      </c>
      <c r="AP6" s="228">
        <v>0</v>
      </c>
      <c r="AQ6" s="230">
        <v>23244</v>
      </c>
      <c r="AR6" s="230">
        <v>36777</v>
      </c>
      <c r="AS6" s="230">
        <v>-13533</v>
      </c>
      <c r="AT6" s="229">
        <v>-0.36799999999999999</v>
      </c>
      <c r="AU6" s="230">
        <v>19527</v>
      </c>
      <c r="AV6" s="230">
        <v>31486</v>
      </c>
      <c r="AW6" s="230">
        <v>-11959</v>
      </c>
      <c r="AX6" s="229">
        <v>-0.37980000000000003</v>
      </c>
      <c r="AY6" s="230">
        <v>3558</v>
      </c>
      <c r="AZ6" s="230">
        <v>5030</v>
      </c>
      <c r="BA6" s="230">
        <v>-1472</v>
      </c>
      <c r="BB6" s="229">
        <v>-0.29260000000000003</v>
      </c>
      <c r="BC6" s="228">
        <v>0</v>
      </c>
      <c r="BD6" s="228">
        <v>0</v>
      </c>
      <c r="BE6" s="228">
        <v>0</v>
      </c>
      <c r="BF6" s="229">
        <v>0</v>
      </c>
      <c r="BG6" s="230">
        <v>100221</v>
      </c>
      <c r="BH6" s="230">
        <v>192913</v>
      </c>
      <c r="BI6" s="230">
        <v>-92692</v>
      </c>
      <c r="BJ6" s="229">
        <v>-0.48049999999999998</v>
      </c>
      <c r="BK6" s="230">
        <v>45103</v>
      </c>
      <c r="BL6" s="230">
        <v>116160</v>
      </c>
      <c r="BM6" s="230">
        <v>-71057</v>
      </c>
      <c r="BN6" s="229">
        <v>-0.61170000000000002</v>
      </c>
      <c r="BO6" s="230">
        <v>168568</v>
      </c>
      <c r="BP6" s="230">
        <v>345850</v>
      </c>
      <c r="BQ6" s="230">
        <v>-177282</v>
      </c>
      <c r="BR6" s="229">
        <v>-0.51259999999999994</v>
      </c>
      <c r="BS6" s="230">
        <v>10455171</v>
      </c>
      <c r="BT6" s="230">
        <v>16199285</v>
      </c>
      <c r="BU6" s="230">
        <v>-5744114</v>
      </c>
      <c r="BV6" s="229">
        <v>-0.35460000000000003</v>
      </c>
      <c r="BW6" s="230">
        <v>82059375</v>
      </c>
      <c r="BX6" s="230">
        <v>78468125</v>
      </c>
      <c r="BY6" s="230">
        <v>3591250</v>
      </c>
      <c r="BZ6" s="229">
        <v>4.58E-2</v>
      </c>
      <c r="CA6" s="230">
        <v>69791250</v>
      </c>
      <c r="CB6" s="230">
        <v>67115000</v>
      </c>
      <c r="CC6" s="230">
        <v>2676250</v>
      </c>
      <c r="CD6" s="229">
        <v>3.9899999999999998E-2</v>
      </c>
      <c r="CE6" s="230">
        <v>11347500</v>
      </c>
      <c r="CF6" s="230">
        <v>10447500</v>
      </c>
      <c r="CG6" s="230">
        <v>900000</v>
      </c>
      <c r="CH6" s="229">
        <v>8.6099999999999996E-2</v>
      </c>
      <c r="CI6" s="228">
        <v>0</v>
      </c>
      <c r="CJ6" s="228">
        <v>0</v>
      </c>
      <c r="CK6" s="228">
        <v>0</v>
      </c>
      <c r="CL6" s="229">
        <v>0</v>
      </c>
      <c r="CM6" s="230">
        <v>55954375</v>
      </c>
      <c r="CN6" s="230">
        <v>56648750</v>
      </c>
      <c r="CO6" s="230">
        <v>-694375</v>
      </c>
      <c r="CP6" s="229">
        <v>-1.23E-2</v>
      </c>
      <c r="CQ6" s="230">
        <v>20903750</v>
      </c>
      <c r="CR6" s="230">
        <v>21699375</v>
      </c>
      <c r="CS6" s="230">
        <v>-795625</v>
      </c>
      <c r="CT6" s="229">
        <v>-3.6700000000000003E-2</v>
      </c>
      <c r="CU6" s="230">
        <v>158917500</v>
      </c>
      <c r="CV6" s="230">
        <v>156816250</v>
      </c>
      <c r="CW6" s="230">
        <v>2101250</v>
      </c>
      <c r="CX6" s="229">
        <v>1.34E-2</v>
      </c>
      <c r="CY6" s="228">
        <v>19.77</v>
      </c>
      <c r="CZ6" s="228">
        <v>20.63</v>
      </c>
      <c r="DA6" s="228">
        <v>-0.86</v>
      </c>
      <c r="DB6" s="228">
        <v>-0.86</v>
      </c>
      <c r="DC6" s="228">
        <v>28.51</v>
      </c>
      <c r="DD6" s="228">
        <v>28.58</v>
      </c>
      <c r="DE6" s="228">
        <v>-8.74</v>
      </c>
      <c r="DF6" s="228">
        <v>-7.0000000000000007E-2</v>
      </c>
      <c r="DG6" s="228">
        <v>20.329999999999998</v>
      </c>
      <c r="DH6" s="228">
        <v>20.79</v>
      </c>
      <c r="DI6" s="228">
        <v>-0.46</v>
      </c>
      <c r="DJ6" s="228">
        <v>-0.46</v>
      </c>
      <c r="DK6" s="228">
        <v>18.510000000000002</v>
      </c>
      <c r="DL6" s="228">
        <v>20.37</v>
      </c>
      <c r="DM6" s="228">
        <v>-1.86</v>
      </c>
      <c r="DN6" s="228">
        <v>-1.86</v>
      </c>
      <c r="DO6" s="228">
        <v>0.37</v>
      </c>
      <c r="DP6" s="228">
        <v>0.38</v>
      </c>
      <c r="DQ6" s="228">
        <v>-0.01</v>
      </c>
      <c r="DR6" s="229">
        <v>-2.63E-2</v>
      </c>
      <c r="DS6" s="231">
        <v>1200</v>
      </c>
      <c r="DT6" s="231">
        <v>1100</v>
      </c>
      <c r="DU6" s="228">
        <v>0.45</v>
      </c>
      <c r="DV6" s="228">
        <v>0.6</v>
      </c>
      <c r="DW6" s="228">
        <v>-0.15</v>
      </c>
      <c r="DX6" s="229">
        <v>-0.25</v>
      </c>
      <c r="DY6" s="229">
        <v>0.13830000000000001</v>
      </c>
      <c r="DZ6" s="230">
        <v>10447500</v>
      </c>
      <c r="EA6" s="229">
        <v>4.5999999999999999E-3</v>
      </c>
      <c r="EB6" s="229">
        <v>0.13830000000000001</v>
      </c>
      <c r="EC6" s="228">
        <v>4.46</v>
      </c>
      <c r="ED6" s="229">
        <v>4.0000000000000001E-3</v>
      </c>
      <c r="EE6" s="230">
        <v>7253971</v>
      </c>
      <c r="EF6" s="230">
        <v>10827456</v>
      </c>
      <c r="EG6" s="229">
        <v>-0.33</v>
      </c>
      <c r="EH6" s="229">
        <v>0.69379999999999997</v>
      </c>
      <c r="EI6" s="231">
        <v>717181.7</v>
      </c>
      <c r="EJ6" s="231">
        <v>309116.15999999997</v>
      </c>
      <c r="EK6" s="231">
        <v>160836.6</v>
      </c>
      <c r="EL6" s="228">
        <v>0</v>
      </c>
      <c r="EM6" s="231">
        <v>1187134.46</v>
      </c>
      <c r="EN6" s="231">
        <v>2417444.7000000002</v>
      </c>
      <c r="EO6" s="231">
        <v>-1230310.24</v>
      </c>
      <c r="EP6" s="229">
        <v>-0.50890000000000002</v>
      </c>
      <c r="EQ6" s="231">
        <v>663688</v>
      </c>
      <c r="ER6" s="231">
        <v>232472</v>
      </c>
      <c r="ES6" s="231">
        <v>904571</v>
      </c>
      <c r="ET6" s="231">
        <v>549885930</v>
      </c>
      <c r="EU6" s="231">
        <v>1800731</v>
      </c>
      <c r="EV6" s="231">
        <v>1779711</v>
      </c>
      <c r="EW6" s="231">
        <v>21020</v>
      </c>
      <c r="EX6" s="229">
        <v>1.18E-2</v>
      </c>
      <c r="EY6" s="229">
        <v>0.28899999999999998</v>
      </c>
    </row>
    <row r="7" spans="1:155" ht="17.25" thickBot="1" x14ac:dyDescent="0.3">
      <c r="A7" s="226">
        <v>45860</v>
      </c>
      <c r="B7" s="227" t="s">
        <v>162</v>
      </c>
      <c r="C7" s="227" t="s">
        <v>174</v>
      </c>
      <c r="D7" s="231">
        <v>8300.5</v>
      </c>
      <c r="E7" s="231">
        <v>8446</v>
      </c>
      <c r="F7" s="228">
        <v>-145.5</v>
      </c>
      <c r="G7" s="229">
        <v>-1.72E-2</v>
      </c>
      <c r="H7" s="231">
        <v>8295</v>
      </c>
      <c r="I7" s="231">
        <v>8438.5</v>
      </c>
      <c r="J7" s="228">
        <v>-143.5</v>
      </c>
      <c r="K7" s="229">
        <v>-1.7000000000000001E-2</v>
      </c>
      <c r="L7" s="231">
        <v>8300.5</v>
      </c>
      <c r="M7" s="231">
        <v>8446</v>
      </c>
      <c r="N7" s="228">
        <v>-145.5</v>
      </c>
      <c r="O7" s="229">
        <v>-1.72E-2</v>
      </c>
      <c r="P7" s="231">
        <v>8342</v>
      </c>
      <c r="Q7" s="231">
        <v>8487</v>
      </c>
      <c r="R7" s="228">
        <v>-145</v>
      </c>
      <c r="S7" s="229">
        <v>-1.7100000000000001E-2</v>
      </c>
      <c r="T7" s="228">
        <v>0</v>
      </c>
      <c r="U7" s="228">
        <v>0</v>
      </c>
      <c r="V7" s="228">
        <v>0</v>
      </c>
      <c r="W7" s="229">
        <v>0</v>
      </c>
      <c r="X7" s="228">
        <v>5.5</v>
      </c>
      <c r="Y7" s="228">
        <v>7.5</v>
      </c>
      <c r="Z7" s="228">
        <v>-2</v>
      </c>
      <c r="AA7" s="229">
        <v>6.9999999999999999E-4</v>
      </c>
      <c r="AB7" s="228">
        <v>5.5</v>
      </c>
      <c r="AC7" s="228">
        <v>7.5</v>
      </c>
      <c r="AD7" s="228">
        <v>-2</v>
      </c>
      <c r="AE7" s="229">
        <v>6.9999999999999999E-4</v>
      </c>
      <c r="AF7" s="228">
        <v>47</v>
      </c>
      <c r="AG7" s="228">
        <v>48.5</v>
      </c>
      <c r="AH7" s="228">
        <v>-1.5</v>
      </c>
      <c r="AI7" s="229">
        <v>5.7000000000000002E-3</v>
      </c>
      <c r="AJ7" s="228">
        <v>0</v>
      </c>
      <c r="AK7" s="228">
        <v>0</v>
      </c>
      <c r="AL7" s="228">
        <v>0</v>
      </c>
      <c r="AM7" s="229">
        <v>0</v>
      </c>
      <c r="AN7" s="231">
        <v>8352.7000000000007</v>
      </c>
      <c r="AO7" s="231">
        <v>8388.44</v>
      </c>
      <c r="AP7" s="228">
        <v>0</v>
      </c>
      <c r="AQ7" s="230">
        <v>4924</v>
      </c>
      <c r="AR7" s="230">
        <v>4572</v>
      </c>
      <c r="AS7" s="228">
        <v>352</v>
      </c>
      <c r="AT7" s="229">
        <v>7.6999999999999999E-2</v>
      </c>
      <c r="AU7" s="230">
        <v>4031</v>
      </c>
      <c r="AV7" s="230">
        <v>4045</v>
      </c>
      <c r="AW7" s="228">
        <v>-14</v>
      </c>
      <c r="AX7" s="229">
        <v>-3.5000000000000001E-3</v>
      </c>
      <c r="AY7" s="228">
        <v>804</v>
      </c>
      <c r="AZ7" s="228">
        <v>500</v>
      </c>
      <c r="BA7" s="228">
        <v>304</v>
      </c>
      <c r="BB7" s="229">
        <v>0.60799999999999998</v>
      </c>
      <c r="BC7" s="228">
        <v>0</v>
      </c>
      <c r="BD7" s="228">
        <v>0</v>
      </c>
      <c r="BE7" s="228">
        <v>0</v>
      </c>
      <c r="BF7" s="229">
        <v>0</v>
      </c>
      <c r="BG7" s="230">
        <v>27611</v>
      </c>
      <c r="BH7" s="230">
        <v>27751</v>
      </c>
      <c r="BI7" s="228">
        <v>-140</v>
      </c>
      <c r="BJ7" s="229">
        <v>-5.0000000000000001E-3</v>
      </c>
      <c r="BK7" s="230">
        <v>18354</v>
      </c>
      <c r="BL7" s="230">
        <v>14432</v>
      </c>
      <c r="BM7" s="230">
        <v>3922</v>
      </c>
      <c r="BN7" s="229">
        <v>0.27179999999999999</v>
      </c>
      <c r="BO7" s="230">
        <v>50889</v>
      </c>
      <c r="BP7" s="230">
        <v>46755</v>
      </c>
      <c r="BQ7" s="230">
        <v>4134</v>
      </c>
      <c r="BR7" s="229">
        <v>8.8400000000000006E-2</v>
      </c>
      <c r="BS7" s="230">
        <v>310669</v>
      </c>
      <c r="BT7" s="230">
        <v>265535</v>
      </c>
      <c r="BU7" s="230">
        <v>45134</v>
      </c>
      <c r="BV7" s="229">
        <v>0.17</v>
      </c>
      <c r="BW7" s="230">
        <v>2660850</v>
      </c>
      <c r="BX7" s="230">
        <v>2610750</v>
      </c>
      <c r="BY7" s="230">
        <v>50100</v>
      </c>
      <c r="BZ7" s="229">
        <v>1.9199999999999998E-2</v>
      </c>
      <c r="CA7" s="230">
        <v>2461425</v>
      </c>
      <c r="CB7" s="230">
        <v>2443200</v>
      </c>
      <c r="CC7" s="230">
        <v>18225</v>
      </c>
      <c r="CD7" s="229">
        <v>7.4999999999999997E-3</v>
      </c>
      <c r="CE7" s="230">
        <v>181725</v>
      </c>
      <c r="CF7" s="230">
        <v>154575</v>
      </c>
      <c r="CG7" s="230">
        <v>27150</v>
      </c>
      <c r="CH7" s="229">
        <v>0.17560000000000001</v>
      </c>
      <c r="CI7" s="228">
        <v>0</v>
      </c>
      <c r="CJ7" s="228">
        <v>0</v>
      </c>
      <c r="CK7" s="228">
        <v>0</v>
      </c>
      <c r="CL7" s="229">
        <v>0</v>
      </c>
      <c r="CM7" s="230">
        <v>1512075</v>
      </c>
      <c r="CN7" s="230">
        <v>1355025</v>
      </c>
      <c r="CO7" s="230">
        <v>157050</v>
      </c>
      <c r="CP7" s="229">
        <v>0.1159</v>
      </c>
      <c r="CQ7" s="230">
        <v>958650</v>
      </c>
      <c r="CR7" s="230">
        <v>939975</v>
      </c>
      <c r="CS7" s="230">
        <v>18675</v>
      </c>
      <c r="CT7" s="229">
        <v>1.9900000000000001E-2</v>
      </c>
      <c r="CU7" s="230">
        <v>5131575</v>
      </c>
      <c r="CV7" s="230">
        <v>4905750</v>
      </c>
      <c r="CW7" s="230">
        <v>225825</v>
      </c>
      <c r="CX7" s="229">
        <v>4.5999999999999999E-2</v>
      </c>
      <c r="CY7" s="228">
        <v>22.65</v>
      </c>
      <c r="CZ7" s="228">
        <v>21.94</v>
      </c>
      <c r="DA7" s="228">
        <v>0.71</v>
      </c>
      <c r="DB7" s="228">
        <v>0.71</v>
      </c>
      <c r="DC7" s="228">
        <v>32.06</v>
      </c>
      <c r="DD7" s="228">
        <v>32.049999999999997</v>
      </c>
      <c r="DE7" s="228">
        <v>-9.41</v>
      </c>
      <c r="DF7" s="228">
        <v>0.01</v>
      </c>
      <c r="DG7" s="228">
        <v>22.59</v>
      </c>
      <c r="DH7" s="228">
        <v>21.39</v>
      </c>
      <c r="DI7" s="228">
        <v>1.2</v>
      </c>
      <c r="DJ7" s="228">
        <v>1.2</v>
      </c>
      <c r="DK7" s="228">
        <v>22.73</v>
      </c>
      <c r="DL7" s="228">
        <v>23</v>
      </c>
      <c r="DM7" s="228">
        <v>-0.27</v>
      </c>
      <c r="DN7" s="228">
        <v>-0.27</v>
      </c>
      <c r="DO7" s="228">
        <v>0.63</v>
      </c>
      <c r="DP7" s="228">
        <v>0.69</v>
      </c>
      <c r="DQ7" s="228">
        <v>-0.06</v>
      </c>
      <c r="DR7" s="229">
        <v>-8.6999999999999994E-2</v>
      </c>
      <c r="DS7" s="231">
        <v>9000</v>
      </c>
      <c r="DT7" s="231">
        <v>8000</v>
      </c>
      <c r="DU7" s="228">
        <v>0.66</v>
      </c>
      <c r="DV7" s="228">
        <v>0.52</v>
      </c>
      <c r="DW7" s="228">
        <v>0.14000000000000001</v>
      </c>
      <c r="DX7" s="229">
        <v>0.26919999999999999</v>
      </c>
      <c r="DY7" s="229">
        <v>6.83E-2</v>
      </c>
      <c r="DZ7" s="230">
        <v>154575</v>
      </c>
      <c r="EA7" s="229">
        <v>5.0000000000000001E-3</v>
      </c>
      <c r="EB7" s="229">
        <v>6.83E-2</v>
      </c>
      <c r="EC7" s="228">
        <v>35.74</v>
      </c>
      <c r="ED7" s="229">
        <v>4.3E-3</v>
      </c>
      <c r="EE7" s="230">
        <v>177986</v>
      </c>
      <c r="EF7" s="230">
        <v>141622</v>
      </c>
      <c r="EG7" s="229">
        <v>0.25679999999999997</v>
      </c>
      <c r="EH7" s="229">
        <v>0.57289999999999996</v>
      </c>
      <c r="EI7" s="231">
        <v>178453.07</v>
      </c>
      <c r="EJ7" s="231">
        <v>112684.56</v>
      </c>
      <c r="EK7" s="231">
        <v>30873.9</v>
      </c>
      <c r="EL7" s="228">
        <v>0</v>
      </c>
      <c r="EM7" s="231">
        <v>322011.53000000003</v>
      </c>
      <c r="EN7" s="231">
        <v>297824.76</v>
      </c>
      <c r="EO7" s="231">
        <v>24186.77</v>
      </c>
      <c r="EP7" s="229">
        <v>8.1199999999999994E-2</v>
      </c>
      <c r="EQ7" s="231">
        <v>132032</v>
      </c>
      <c r="ER7" s="231">
        <v>77498</v>
      </c>
      <c r="ES7" s="231">
        <v>220956</v>
      </c>
      <c r="ET7" s="231">
        <v>25086000</v>
      </c>
      <c r="EU7" s="231">
        <v>430486</v>
      </c>
      <c r="EV7" s="231">
        <v>415410</v>
      </c>
      <c r="EW7" s="231">
        <v>15076</v>
      </c>
      <c r="EX7" s="229">
        <v>3.6299999999999999E-2</v>
      </c>
      <c r="EY7" s="229">
        <v>0.2046</v>
      </c>
    </row>
    <row r="8" spans="1:155" ht="17.25" thickBot="1" x14ac:dyDescent="0.3">
      <c r="A8" s="226">
        <v>45860</v>
      </c>
      <c r="B8" s="227" t="s">
        <v>175</v>
      </c>
      <c r="C8" s="227" t="s">
        <v>176</v>
      </c>
      <c r="D8" s="231">
        <v>2043</v>
      </c>
      <c r="E8" s="231">
        <v>2060.5</v>
      </c>
      <c r="F8" s="228">
        <v>-17.5</v>
      </c>
      <c r="G8" s="229">
        <v>-8.5000000000000006E-3</v>
      </c>
      <c r="H8" s="231">
        <v>2039.6</v>
      </c>
      <c r="I8" s="231">
        <v>2053.9</v>
      </c>
      <c r="J8" s="228">
        <v>-14.3</v>
      </c>
      <c r="K8" s="229">
        <v>-7.0000000000000001E-3</v>
      </c>
      <c r="L8" s="231">
        <v>2043</v>
      </c>
      <c r="M8" s="231">
        <v>2060.5</v>
      </c>
      <c r="N8" s="228">
        <v>-17.5</v>
      </c>
      <c r="O8" s="229">
        <v>-8.5000000000000006E-3</v>
      </c>
      <c r="P8" s="231">
        <v>2053</v>
      </c>
      <c r="Q8" s="231">
        <v>2070.3000000000002</v>
      </c>
      <c r="R8" s="228">
        <v>-17.3</v>
      </c>
      <c r="S8" s="229">
        <v>-8.3999999999999995E-3</v>
      </c>
      <c r="T8" s="228">
        <v>0</v>
      </c>
      <c r="U8" s="228">
        <v>0</v>
      </c>
      <c r="V8" s="228">
        <v>0</v>
      </c>
      <c r="W8" s="229">
        <v>0</v>
      </c>
      <c r="X8" s="228">
        <v>3.4</v>
      </c>
      <c r="Y8" s="228">
        <v>6.6</v>
      </c>
      <c r="Z8" s="228">
        <v>-3.2</v>
      </c>
      <c r="AA8" s="229">
        <v>1.6999999999999999E-3</v>
      </c>
      <c r="AB8" s="228">
        <v>3.4</v>
      </c>
      <c r="AC8" s="228">
        <v>6.6</v>
      </c>
      <c r="AD8" s="228">
        <v>-3.2</v>
      </c>
      <c r="AE8" s="229">
        <v>1.6999999999999999E-3</v>
      </c>
      <c r="AF8" s="228">
        <v>13.4</v>
      </c>
      <c r="AG8" s="228">
        <v>16.399999999999999</v>
      </c>
      <c r="AH8" s="228">
        <v>-3</v>
      </c>
      <c r="AI8" s="229">
        <v>6.6E-3</v>
      </c>
      <c r="AJ8" s="228">
        <v>0</v>
      </c>
      <c r="AK8" s="228">
        <v>0</v>
      </c>
      <c r="AL8" s="228">
        <v>0</v>
      </c>
      <c r="AM8" s="229">
        <v>0</v>
      </c>
      <c r="AN8" s="231">
        <v>2038.28</v>
      </c>
      <c r="AO8" s="231">
        <v>2046.5</v>
      </c>
      <c r="AP8" s="228">
        <v>0</v>
      </c>
      <c r="AQ8" s="230">
        <v>6012</v>
      </c>
      <c r="AR8" s="230">
        <v>4528</v>
      </c>
      <c r="AS8" s="230">
        <v>1484</v>
      </c>
      <c r="AT8" s="229">
        <v>0.32769999999999999</v>
      </c>
      <c r="AU8" s="230">
        <v>4966</v>
      </c>
      <c r="AV8" s="230">
        <v>3855</v>
      </c>
      <c r="AW8" s="230">
        <v>1111</v>
      </c>
      <c r="AX8" s="229">
        <v>0.28820000000000001</v>
      </c>
      <c r="AY8" s="228">
        <v>979</v>
      </c>
      <c r="AZ8" s="228">
        <v>607</v>
      </c>
      <c r="BA8" s="228">
        <v>372</v>
      </c>
      <c r="BB8" s="229">
        <v>0.6129</v>
      </c>
      <c r="BC8" s="228">
        <v>0</v>
      </c>
      <c r="BD8" s="228">
        <v>0</v>
      </c>
      <c r="BE8" s="228">
        <v>0</v>
      </c>
      <c r="BF8" s="229">
        <v>0</v>
      </c>
      <c r="BG8" s="230">
        <v>20926</v>
      </c>
      <c r="BH8" s="230">
        <v>19528</v>
      </c>
      <c r="BI8" s="230">
        <v>1398</v>
      </c>
      <c r="BJ8" s="229">
        <v>7.1599999999999997E-2</v>
      </c>
      <c r="BK8" s="230">
        <v>12310</v>
      </c>
      <c r="BL8" s="230">
        <v>10931</v>
      </c>
      <c r="BM8" s="230">
        <v>1379</v>
      </c>
      <c r="BN8" s="229">
        <v>0.12620000000000001</v>
      </c>
      <c r="BO8" s="230">
        <v>39248</v>
      </c>
      <c r="BP8" s="230">
        <v>34987</v>
      </c>
      <c r="BQ8" s="230">
        <v>4261</v>
      </c>
      <c r="BR8" s="229">
        <v>0.12180000000000001</v>
      </c>
      <c r="BS8" s="230">
        <v>1231878</v>
      </c>
      <c r="BT8" s="230">
        <v>1035509</v>
      </c>
      <c r="BU8" s="230">
        <v>196369</v>
      </c>
      <c r="BV8" s="229">
        <v>0.18959999999999999</v>
      </c>
      <c r="BW8" s="230">
        <v>16371500</v>
      </c>
      <c r="BX8" s="230">
        <v>16277000</v>
      </c>
      <c r="BY8" s="230">
        <v>94500</v>
      </c>
      <c r="BZ8" s="229">
        <v>5.7999999999999996E-3</v>
      </c>
      <c r="CA8" s="230">
        <v>15449500</v>
      </c>
      <c r="CB8" s="230">
        <v>15512000</v>
      </c>
      <c r="CC8" s="230">
        <v>-62500</v>
      </c>
      <c r="CD8" s="229">
        <v>-4.0000000000000001E-3</v>
      </c>
      <c r="CE8" s="230">
        <v>873500</v>
      </c>
      <c r="CF8" s="230">
        <v>716500</v>
      </c>
      <c r="CG8" s="230">
        <v>157000</v>
      </c>
      <c r="CH8" s="229">
        <v>0.21909999999999999</v>
      </c>
      <c r="CI8" s="228">
        <v>0</v>
      </c>
      <c r="CJ8" s="228">
        <v>0</v>
      </c>
      <c r="CK8" s="228">
        <v>0</v>
      </c>
      <c r="CL8" s="229">
        <v>0</v>
      </c>
      <c r="CM8" s="230">
        <v>7963000</v>
      </c>
      <c r="CN8" s="230">
        <v>7944500</v>
      </c>
      <c r="CO8" s="230">
        <v>18500</v>
      </c>
      <c r="CP8" s="229">
        <v>2.3E-3</v>
      </c>
      <c r="CQ8" s="230">
        <v>4393500</v>
      </c>
      <c r="CR8" s="230">
        <v>4482500</v>
      </c>
      <c r="CS8" s="230">
        <v>-89000</v>
      </c>
      <c r="CT8" s="229">
        <v>-1.9900000000000001E-2</v>
      </c>
      <c r="CU8" s="230">
        <v>28728000</v>
      </c>
      <c r="CV8" s="230">
        <v>28704000</v>
      </c>
      <c r="CW8" s="230">
        <v>24000</v>
      </c>
      <c r="CX8" s="229">
        <v>8.0000000000000004E-4</v>
      </c>
      <c r="CY8" s="228">
        <v>27.18</v>
      </c>
      <c r="CZ8" s="228">
        <v>26.47</v>
      </c>
      <c r="DA8" s="228">
        <v>0.71</v>
      </c>
      <c r="DB8" s="228">
        <v>0.71</v>
      </c>
      <c r="DC8" s="228">
        <v>30.17</v>
      </c>
      <c r="DD8" s="228">
        <v>30.23</v>
      </c>
      <c r="DE8" s="228">
        <v>-2.99</v>
      </c>
      <c r="DF8" s="228">
        <v>-0.06</v>
      </c>
      <c r="DG8" s="228">
        <v>26.3</v>
      </c>
      <c r="DH8" s="228">
        <v>25.38</v>
      </c>
      <c r="DI8" s="228">
        <v>0.92</v>
      </c>
      <c r="DJ8" s="228">
        <v>0.92</v>
      </c>
      <c r="DK8" s="228">
        <v>28.67</v>
      </c>
      <c r="DL8" s="228">
        <v>28.42</v>
      </c>
      <c r="DM8" s="228">
        <v>0.25</v>
      </c>
      <c r="DN8" s="228">
        <v>0.25</v>
      </c>
      <c r="DO8" s="228">
        <v>0.55000000000000004</v>
      </c>
      <c r="DP8" s="228">
        <v>0.56000000000000005</v>
      </c>
      <c r="DQ8" s="228">
        <v>-0.01</v>
      </c>
      <c r="DR8" s="229">
        <v>-1.7899999999999999E-2</v>
      </c>
      <c r="DS8" s="231">
        <v>2100</v>
      </c>
      <c r="DT8" s="231">
        <v>2000</v>
      </c>
      <c r="DU8" s="228">
        <v>0.59</v>
      </c>
      <c r="DV8" s="228">
        <v>0.56000000000000005</v>
      </c>
      <c r="DW8" s="228">
        <v>0.03</v>
      </c>
      <c r="DX8" s="229">
        <v>5.3600000000000002E-2</v>
      </c>
      <c r="DY8" s="229">
        <v>5.3400000000000003E-2</v>
      </c>
      <c r="DZ8" s="230">
        <v>716500</v>
      </c>
      <c r="EA8" s="229">
        <v>4.8999999999999998E-3</v>
      </c>
      <c r="EB8" s="229">
        <v>5.3400000000000003E-2</v>
      </c>
      <c r="EC8" s="228">
        <v>8.2200000000000006</v>
      </c>
      <c r="ED8" s="229">
        <v>4.0000000000000001E-3</v>
      </c>
      <c r="EE8" s="230">
        <v>607549</v>
      </c>
      <c r="EF8" s="230">
        <v>547823</v>
      </c>
      <c r="EG8" s="229">
        <v>0.109</v>
      </c>
      <c r="EH8" s="229">
        <v>0.49320000000000003</v>
      </c>
      <c r="EI8" s="231">
        <v>220229.73</v>
      </c>
      <c r="EJ8" s="231">
        <v>124852.26</v>
      </c>
      <c r="EK8" s="231">
        <v>61317.37</v>
      </c>
      <c r="EL8" s="228">
        <v>0</v>
      </c>
      <c r="EM8" s="231">
        <v>406399.36</v>
      </c>
      <c r="EN8" s="231">
        <v>363001.28</v>
      </c>
      <c r="EO8" s="231">
        <v>43398.080000000002</v>
      </c>
      <c r="EP8" s="229">
        <v>0.1196</v>
      </c>
      <c r="EQ8" s="231">
        <v>169776</v>
      </c>
      <c r="ER8" s="231">
        <v>84947</v>
      </c>
      <c r="ES8" s="231">
        <v>334567</v>
      </c>
      <c r="ET8" s="231">
        <v>125347779</v>
      </c>
      <c r="EU8" s="231">
        <v>589289</v>
      </c>
      <c r="EV8" s="231">
        <v>591676</v>
      </c>
      <c r="EW8" s="231">
        <v>-2387</v>
      </c>
      <c r="EX8" s="229">
        <v>-4.0000000000000001E-3</v>
      </c>
      <c r="EY8" s="229">
        <v>0.22919999999999999</v>
      </c>
    </row>
    <row r="9" spans="1:155" ht="17.25" thickBot="1" x14ac:dyDescent="0.3">
      <c r="A9" s="226">
        <v>45860</v>
      </c>
      <c r="B9" s="227" t="s">
        <v>175</v>
      </c>
      <c r="C9" s="227" t="s">
        <v>177</v>
      </c>
      <c r="D9" s="228">
        <v>955.95</v>
      </c>
      <c r="E9" s="228">
        <v>951.15</v>
      </c>
      <c r="F9" s="228">
        <v>4.8</v>
      </c>
      <c r="G9" s="229">
        <v>5.0000000000000001E-3</v>
      </c>
      <c r="H9" s="228">
        <v>952.55</v>
      </c>
      <c r="I9" s="228">
        <v>948.45</v>
      </c>
      <c r="J9" s="228">
        <v>4.0999999999999996</v>
      </c>
      <c r="K9" s="229">
        <v>4.3E-3</v>
      </c>
      <c r="L9" s="228">
        <v>955.95</v>
      </c>
      <c r="M9" s="228">
        <v>951.15</v>
      </c>
      <c r="N9" s="228">
        <v>4.8</v>
      </c>
      <c r="O9" s="229">
        <v>5.0000000000000001E-3</v>
      </c>
      <c r="P9" s="228">
        <v>960.6</v>
      </c>
      <c r="Q9" s="228">
        <v>955.95</v>
      </c>
      <c r="R9" s="228">
        <v>4.6500000000000004</v>
      </c>
      <c r="S9" s="229">
        <v>4.8999999999999998E-3</v>
      </c>
      <c r="T9" s="228">
        <v>0</v>
      </c>
      <c r="U9" s="228">
        <v>0</v>
      </c>
      <c r="V9" s="228">
        <v>0</v>
      </c>
      <c r="W9" s="229">
        <v>0</v>
      </c>
      <c r="X9" s="228">
        <v>3.4</v>
      </c>
      <c r="Y9" s="228">
        <v>2.7</v>
      </c>
      <c r="Z9" s="228">
        <v>0.7</v>
      </c>
      <c r="AA9" s="229">
        <v>3.5999999999999999E-3</v>
      </c>
      <c r="AB9" s="228">
        <v>3.4</v>
      </c>
      <c r="AC9" s="228">
        <v>2.7</v>
      </c>
      <c r="AD9" s="228">
        <v>0.7</v>
      </c>
      <c r="AE9" s="229">
        <v>3.5999999999999999E-3</v>
      </c>
      <c r="AF9" s="228">
        <v>8.0500000000000007</v>
      </c>
      <c r="AG9" s="228">
        <v>7.5</v>
      </c>
      <c r="AH9" s="228">
        <v>0.55000000000000004</v>
      </c>
      <c r="AI9" s="229">
        <v>8.5000000000000006E-3</v>
      </c>
      <c r="AJ9" s="228">
        <v>0</v>
      </c>
      <c r="AK9" s="228">
        <v>0</v>
      </c>
      <c r="AL9" s="228">
        <v>0</v>
      </c>
      <c r="AM9" s="229">
        <v>0</v>
      </c>
      <c r="AN9" s="228">
        <v>952.31</v>
      </c>
      <c r="AO9" s="228">
        <v>956.66</v>
      </c>
      <c r="AP9" s="228">
        <v>0</v>
      </c>
      <c r="AQ9" s="230">
        <v>19676</v>
      </c>
      <c r="AR9" s="230">
        <v>11976</v>
      </c>
      <c r="AS9" s="230">
        <v>7700</v>
      </c>
      <c r="AT9" s="229">
        <v>0.64300000000000002</v>
      </c>
      <c r="AU9" s="230">
        <v>15366</v>
      </c>
      <c r="AV9" s="230">
        <v>9907</v>
      </c>
      <c r="AW9" s="230">
        <v>5459</v>
      </c>
      <c r="AX9" s="229">
        <v>0.55100000000000005</v>
      </c>
      <c r="AY9" s="230">
        <v>4118</v>
      </c>
      <c r="AZ9" s="230">
        <v>2002</v>
      </c>
      <c r="BA9" s="230">
        <v>2116</v>
      </c>
      <c r="BB9" s="229">
        <v>1.0569</v>
      </c>
      <c r="BC9" s="228">
        <v>0</v>
      </c>
      <c r="BD9" s="228">
        <v>0</v>
      </c>
      <c r="BE9" s="228">
        <v>0</v>
      </c>
      <c r="BF9" s="229">
        <v>0</v>
      </c>
      <c r="BG9" s="230">
        <v>44728</v>
      </c>
      <c r="BH9" s="230">
        <v>32247</v>
      </c>
      <c r="BI9" s="230">
        <v>12481</v>
      </c>
      <c r="BJ9" s="229">
        <v>0.38700000000000001</v>
      </c>
      <c r="BK9" s="230">
        <v>26872</v>
      </c>
      <c r="BL9" s="230">
        <v>19450</v>
      </c>
      <c r="BM9" s="230">
        <v>7422</v>
      </c>
      <c r="BN9" s="229">
        <v>0.38159999999999999</v>
      </c>
      <c r="BO9" s="230">
        <v>91276</v>
      </c>
      <c r="BP9" s="230">
        <v>63673</v>
      </c>
      <c r="BQ9" s="230">
        <v>27603</v>
      </c>
      <c r="BR9" s="229">
        <v>0.4335</v>
      </c>
      <c r="BS9" s="230">
        <v>6770365</v>
      </c>
      <c r="BT9" s="230">
        <v>4894717</v>
      </c>
      <c r="BU9" s="230">
        <v>1875648</v>
      </c>
      <c r="BV9" s="229">
        <v>0.38319999999999999</v>
      </c>
      <c r="BW9" s="230">
        <v>88088250</v>
      </c>
      <c r="BX9" s="230">
        <v>88553250</v>
      </c>
      <c r="BY9" s="230">
        <v>-465000</v>
      </c>
      <c r="BZ9" s="229">
        <v>-5.3E-3</v>
      </c>
      <c r="CA9" s="230">
        <v>79263000</v>
      </c>
      <c r="CB9" s="230">
        <v>81031500</v>
      </c>
      <c r="CC9" s="230">
        <v>-1768500</v>
      </c>
      <c r="CD9" s="229">
        <v>-2.18E-2</v>
      </c>
      <c r="CE9" s="230">
        <v>6562500</v>
      </c>
      <c r="CF9" s="230">
        <v>5282250</v>
      </c>
      <c r="CG9" s="230">
        <v>1280250</v>
      </c>
      <c r="CH9" s="229">
        <v>0.2424</v>
      </c>
      <c r="CI9" s="228">
        <v>0</v>
      </c>
      <c r="CJ9" s="228">
        <v>0</v>
      </c>
      <c r="CK9" s="228">
        <v>0</v>
      </c>
      <c r="CL9" s="229">
        <v>0</v>
      </c>
      <c r="CM9" s="230">
        <v>20360250</v>
      </c>
      <c r="CN9" s="230">
        <v>20421750</v>
      </c>
      <c r="CO9" s="230">
        <v>-61500</v>
      </c>
      <c r="CP9" s="229">
        <v>-3.0000000000000001E-3</v>
      </c>
      <c r="CQ9" s="230">
        <v>17978250</v>
      </c>
      <c r="CR9" s="230">
        <v>17369250</v>
      </c>
      <c r="CS9" s="230">
        <v>609000</v>
      </c>
      <c r="CT9" s="229">
        <v>3.5099999999999999E-2</v>
      </c>
      <c r="CU9" s="230">
        <v>126426750</v>
      </c>
      <c r="CV9" s="230">
        <v>126344250</v>
      </c>
      <c r="CW9" s="230">
        <v>82500</v>
      </c>
      <c r="CX9" s="229">
        <v>6.9999999999999999E-4</v>
      </c>
      <c r="CY9" s="228">
        <v>32.06</v>
      </c>
      <c r="CZ9" s="228">
        <v>32.92</v>
      </c>
      <c r="DA9" s="228">
        <v>-0.86</v>
      </c>
      <c r="DB9" s="228">
        <v>-0.86</v>
      </c>
      <c r="DC9" s="228">
        <v>31.02</v>
      </c>
      <c r="DD9" s="228">
        <v>31.09</v>
      </c>
      <c r="DE9" s="228">
        <v>1.04</v>
      </c>
      <c r="DF9" s="228">
        <v>-7.0000000000000007E-2</v>
      </c>
      <c r="DG9" s="228">
        <v>31.48</v>
      </c>
      <c r="DH9" s="228">
        <v>32.17</v>
      </c>
      <c r="DI9" s="228">
        <v>-0.69</v>
      </c>
      <c r="DJ9" s="228">
        <v>-0.69</v>
      </c>
      <c r="DK9" s="228">
        <v>33.03</v>
      </c>
      <c r="DL9" s="228">
        <v>34.17</v>
      </c>
      <c r="DM9" s="228">
        <v>-1.1399999999999999</v>
      </c>
      <c r="DN9" s="228">
        <v>-1.1399999999999999</v>
      </c>
      <c r="DO9" s="228">
        <v>0.88</v>
      </c>
      <c r="DP9" s="228">
        <v>0.85</v>
      </c>
      <c r="DQ9" s="228">
        <v>0.03</v>
      </c>
      <c r="DR9" s="229">
        <v>3.5299999999999998E-2</v>
      </c>
      <c r="DS9" s="231">
        <v>1000</v>
      </c>
      <c r="DT9" s="228">
        <v>900</v>
      </c>
      <c r="DU9" s="228">
        <v>0.6</v>
      </c>
      <c r="DV9" s="228">
        <v>0.6</v>
      </c>
      <c r="DW9" s="228">
        <v>0</v>
      </c>
      <c r="DX9" s="229">
        <v>0</v>
      </c>
      <c r="DY9" s="229">
        <v>7.4499999999999997E-2</v>
      </c>
      <c r="DZ9" s="230">
        <v>5282250</v>
      </c>
      <c r="EA9" s="229">
        <v>4.8999999999999998E-3</v>
      </c>
      <c r="EB9" s="229">
        <v>7.4499999999999997E-2</v>
      </c>
      <c r="EC9" s="228">
        <v>4.3499999999999996</v>
      </c>
      <c r="ED9" s="229">
        <v>4.5999999999999999E-3</v>
      </c>
      <c r="EE9" s="230">
        <v>3058797</v>
      </c>
      <c r="EF9" s="230">
        <v>2462351</v>
      </c>
      <c r="EG9" s="229">
        <v>0.2422</v>
      </c>
      <c r="EH9" s="229">
        <v>0.45179999999999998</v>
      </c>
      <c r="EI9" s="231">
        <v>330876.24</v>
      </c>
      <c r="EJ9" s="231">
        <v>188659.21</v>
      </c>
      <c r="EK9" s="231">
        <v>140680.56</v>
      </c>
      <c r="EL9" s="228">
        <v>0</v>
      </c>
      <c r="EM9" s="231">
        <v>660216.01</v>
      </c>
      <c r="EN9" s="231">
        <v>457676.1</v>
      </c>
      <c r="EO9" s="231">
        <v>202539.91</v>
      </c>
      <c r="EP9" s="229">
        <v>0.4425</v>
      </c>
      <c r="EQ9" s="231">
        <v>198785</v>
      </c>
      <c r="ER9" s="231">
        <v>161638</v>
      </c>
      <c r="ES9" s="231">
        <v>842613</v>
      </c>
      <c r="ET9" s="231">
        <v>562142812</v>
      </c>
      <c r="EU9" s="231">
        <v>1203036</v>
      </c>
      <c r="EV9" s="231">
        <v>1197267</v>
      </c>
      <c r="EW9" s="231">
        <v>5769</v>
      </c>
      <c r="EX9" s="229">
        <v>4.7999999999999996E-3</v>
      </c>
      <c r="EY9" s="229">
        <v>0.22489999999999999</v>
      </c>
    </row>
    <row r="10" spans="1:155" ht="17.25" thickBot="1" x14ac:dyDescent="0.3">
      <c r="A10" s="226">
        <v>45860</v>
      </c>
      <c r="B10" s="227" t="s">
        <v>184</v>
      </c>
      <c r="C10" s="227" t="s">
        <v>185</v>
      </c>
      <c r="D10" s="228">
        <v>403.65</v>
      </c>
      <c r="E10" s="228">
        <v>401.1</v>
      </c>
      <c r="F10" s="228">
        <v>2.5499999999999998</v>
      </c>
      <c r="G10" s="229">
        <v>6.4000000000000003E-3</v>
      </c>
      <c r="H10" s="228">
        <v>403.1</v>
      </c>
      <c r="I10" s="228">
        <v>399.95</v>
      </c>
      <c r="J10" s="228">
        <v>3.15</v>
      </c>
      <c r="K10" s="229">
        <v>7.9000000000000008E-3</v>
      </c>
      <c r="L10" s="228">
        <v>403.65</v>
      </c>
      <c r="M10" s="228">
        <v>401.1</v>
      </c>
      <c r="N10" s="228">
        <v>2.5499999999999998</v>
      </c>
      <c r="O10" s="229">
        <v>6.4000000000000003E-3</v>
      </c>
      <c r="P10" s="228">
        <v>404.7</v>
      </c>
      <c r="Q10" s="228">
        <v>402.1</v>
      </c>
      <c r="R10" s="228">
        <v>2.6</v>
      </c>
      <c r="S10" s="229">
        <v>6.4999999999999997E-3</v>
      </c>
      <c r="T10" s="228">
        <v>0</v>
      </c>
      <c r="U10" s="228">
        <v>0</v>
      </c>
      <c r="V10" s="228">
        <v>0</v>
      </c>
      <c r="W10" s="229">
        <v>0</v>
      </c>
      <c r="X10" s="228">
        <v>0.55000000000000004</v>
      </c>
      <c r="Y10" s="228">
        <v>1.1499999999999999</v>
      </c>
      <c r="Z10" s="228">
        <v>-0.6</v>
      </c>
      <c r="AA10" s="229">
        <v>1.4E-3</v>
      </c>
      <c r="AB10" s="228">
        <v>0.55000000000000004</v>
      </c>
      <c r="AC10" s="228">
        <v>1.1499999999999999</v>
      </c>
      <c r="AD10" s="228">
        <v>-0.6</v>
      </c>
      <c r="AE10" s="229">
        <v>1.4E-3</v>
      </c>
      <c r="AF10" s="228">
        <v>1.6</v>
      </c>
      <c r="AG10" s="228">
        <v>2.15</v>
      </c>
      <c r="AH10" s="228">
        <v>-0.55000000000000004</v>
      </c>
      <c r="AI10" s="229">
        <v>4.0000000000000001E-3</v>
      </c>
      <c r="AJ10" s="228">
        <v>0</v>
      </c>
      <c r="AK10" s="228">
        <v>0</v>
      </c>
      <c r="AL10" s="228">
        <v>0</v>
      </c>
      <c r="AM10" s="229">
        <v>0</v>
      </c>
      <c r="AN10" s="228">
        <v>403.19</v>
      </c>
      <c r="AO10" s="228">
        <v>404.27</v>
      </c>
      <c r="AP10" s="228">
        <v>0</v>
      </c>
      <c r="AQ10" s="230">
        <v>7085</v>
      </c>
      <c r="AR10" s="230">
        <v>9166</v>
      </c>
      <c r="AS10" s="230">
        <v>-2081</v>
      </c>
      <c r="AT10" s="229">
        <v>-0.22700000000000001</v>
      </c>
      <c r="AU10" s="230">
        <v>5412</v>
      </c>
      <c r="AV10" s="230">
        <v>7308</v>
      </c>
      <c r="AW10" s="230">
        <v>-1896</v>
      </c>
      <c r="AX10" s="229">
        <v>-0.25940000000000002</v>
      </c>
      <c r="AY10" s="230">
        <v>1536</v>
      </c>
      <c r="AZ10" s="230">
        <v>1621</v>
      </c>
      <c r="BA10" s="228">
        <v>-85</v>
      </c>
      <c r="BB10" s="229">
        <v>-5.2400000000000002E-2</v>
      </c>
      <c r="BC10" s="228">
        <v>0</v>
      </c>
      <c r="BD10" s="228">
        <v>0</v>
      </c>
      <c r="BE10" s="228">
        <v>0</v>
      </c>
      <c r="BF10" s="229">
        <v>0</v>
      </c>
      <c r="BG10" s="230">
        <v>30409</v>
      </c>
      <c r="BH10" s="230">
        <v>44518</v>
      </c>
      <c r="BI10" s="230">
        <v>-14109</v>
      </c>
      <c r="BJ10" s="229">
        <v>-0.31690000000000002</v>
      </c>
      <c r="BK10" s="230">
        <v>14255</v>
      </c>
      <c r="BL10" s="230">
        <v>24295</v>
      </c>
      <c r="BM10" s="230">
        <v>-10040</v>
      </c>
      <c r="BN10" s="229">
        <v>-0.4133</v>
      </c>
      <c r="BO10" s="230">
        <v>51749</v>
      </c>
      <c r="BP10" s="230">
        <v>77979</v>
      </c>
      <c r="BQ10" s="230">
        <v>-26230</v>
      </c>
      <c r="BR10" s="229">
        <v>-0.33639999999999998</v>
      </c>
      <c r="BS10" s="230">
        <v>13085407</v>
      </c>
      <c r="BT10" s="230">
        <v>13470190</v>
      </c>
      <c r="BU10" s="230">
        <v>-384783</v>
      </c>
      <c r="BV10" s="229">
        <v>-2.86E-2</v>
      </c>
      <c r="BW10" s="230">
        <v>119568900</v>
      </c>
      <c r="BX10" s="230">
        <v>121105050</v>
      </c>
      <c r="BY10" s="230">
        <v>-1536150</v>
      </c>
      <c r="BZ10" s="229">
        <v>-1.2699999999999999E-2</v>
      </c>
      <c r="CA10" s="230">
        <v>93944550</v>
      </c>
      <c r="CB10" s="230">
        <v>96144750</v>
      </c>
      <c r="CC10" s="230">
        <v>-2200200</v>
      </c>
      <c r="CD10" s="229">
        <v>-2.29E-2</v>
      </c>
      <c r="CE10" s="230">
        <v>23606550</v>
      </c>
      <c r="CF10" s="230">
        <v>22951050</v>
      </c>
      <c r="CG10" s="230">
        <v>655500</v>
      </c>
      <c r="CH10" s="229">
        <v>2.86E-2</v>
      </c>
      <c r="CI10" s="228">
        <v>0</v>
      </c>
      <c r="CJ10" s="228">
        <v>0</v>
      </c>
      <c r="CK10" s="228">
        <v>0</v>
      </c>
      <c r="CL10" s="229">
        <v>0</v>
      </c>
      <c r="CM10" s="230">
        <v>99271200</v>
      </c>
      <c r="CN10" s="230">
        <v>100114800</v>
      </c>
      <c r="CO10" s="230">
        <v>-843600</v>
      </c>
      <c r="CP10" s="229">
        <v>-8.3999999999999995E-3</v>
      </c>
      <c r="CQ10" s="230">
        <v>56259000</v>
      </c>
      <c r="CR10" s="230">
        <v>54688650</v>
      </c>
      <c r="CS10" s="230">
        <v>1570350</v>
      </c>
      <c r="CT10" s="229">
        <v>2.87E-2</v>
      </c>
      <c r="CU10" s="230">
        <v>275099100</v>
      </c>
      <c r="CV10" s="230">
        <v>275908500</v>
      </c>
      <c r="CW10" s="230">
        <v>-809400</v>
      </c>
      <c r="CX10" s="229">
        <v>-2.8999999999999998E-3</v>
      </c>
      <c r="CY10" s="228">
        <v>30.56</v>
      </c>
      <c r="CZ10" s="228">
        <v>30.36</v>
      </c>
      <c r="DA10" s="228">
        <v>0.2</v>
      </c>
      <c r="DB10" s="228">
        <v>0.2</v>
      </c>
      <c r="DC10" s="228">
        <v>40.81</v>
      </c>
      <c r="DD10" s="228">
        <v>40.89</v>
      </c>
      <c r="DE10" s="228">
        <v>-10.25</v>
      </c>
      <c r="DF10" s="228">
        <v>-0.08</v>
      </c>
      <c r="DG10" s="228">
        <v>30.85</v>
      </c>
      <c r="DH10" s="228">
        <v>30.76</v>
      </c>
      <c r="DI10" s="228">
        <v>0.09</v>
      </c>
      <c r="DJ10" s="228">
        <v>0.09</v>
      </c>
      <c r="DK10" s="228">
        <v>29.94</v>
      </c>
      <c r="DL10" s="228">
        <v>29.62</v>
      </c>
      <c r="DM10" s="228">
        <v>0.32</v>
      </c>
      <c r="DN10" s="228">
        <v>0.32</v>
      </c>
      <c r="DO10" s="228">
        <v>0.56999999999999995</v>
      </c>
      <c r="DP10" s="228">
        <v>0.55000000000000004</v>
      </c>
      <c r="DQ10" s="228">
        <v>0.02</v>
      </c>
      <c r="DR10" s="229">
        <v>3.6400000000000002E-2</v>
      </c>
      <c r="DS10" s="228">
        <v>420</v>
      </c>
      <c r="DT10" s="228">
        <v>400</v>
      </c>
      <c r="DU10" s="228">
        <v>0.47</v>
      </c>
      <c r="DV10" s="228">
        <v>0.55000000000000004</v>
      </c>
      <c r="DW10" s="228">
        <v>-0.08</v>
      </c>
      <c r="DX10" s="229">
        <v>-0.14549999999999999</v>
      </c>
      <c r="DY10" s="229">
        <v>0.19739999999999999</v>
      </c>
      <c r="DZ10" s="230">
        <v>22951050</v>
      </c>
      <c r="EA10" s="229">
        <v>2.5999999999999999E-3</v>
      </c>
      <c r="EB10" s="229">
        <v>0.19739999999999999</v>
      </c>
      <c r="EC10" s="228">
        <v>1.08</v>
      </c>
      <c r="ED10" s="229">
        <v>2.7000000000000001E-3</v>
      </c>
      <c r="EE10" s="230">
        <v>6197201</v>
      </c>
      <c r="EF10" s="230">
        <v>6487281</v>
      </c>
      <c r="EG10" s="229">
        <v>-4.4699999999999997E-2</v>
      </c>
      <c r="EH10" s="229">
        <v>0.47360000000000002</v>
      </c>
      <c r="EI10" s="231">
        <v>364980.16</v>
      </c>
      <c r="EJ10" s="231">
        <v>162061.10999999999</v>
      </c>
      <c r="EK10" s="231">
        <v>81473.289999999994</v>
      </c>
      <c r="EL10" s="228">
        <v>0</v>
      </c>
      <c r="EM10" s="231">
        <v>608514.56000000006</v>
      </c>
      <c r="EN10" s="231">
        <v>909625.58</v>
      </c>
      <c r="EO10" s="231">
        <v>-301111.02</v>
      </c>
      <c r="EP10" s="229">
        <v>-0.33100000000000002</v>
      </c>
      <c r="EQ10" s="231">
        <v>424650</v>
      </c>
      <c r="ER10" s="231">
        <v>222689</v>
      </c>
      <c r="ES10" s="231">
        <v>482954</v>
      </c>
      <c r="ET10" s="231">
        <v>714371379</v>
      </c>
      <c r="EU10" s="231">
        <v>1130293</v>
      </c>
      <c r="EV10" s="231">
        <v>1130941</v>
      </c>
      <c r="EW10" s="228">
        <v>-648</v>
      </c>
      <c r="EX10" s="229">
        <v>-5.9999999999999995E-4</v>
      </c>
      <c r="EY10" s="229">
        <v>0.3851</v>
      </c>
    </row>
    <row r="11" spans="1:155" ht="17.25" thickBot="1" x14ac:dyDescent="0.3">
      <c r="A11" s="226">
        <v>45860</v>
      </c>
      <c r="B11" s="227" t="s">
        <v>188</v>
      </c>
      <c r="C11" s="227" t="s">
        <v>189</v>
      </c>
      <c r="D11" s="231">
        <v>1908.2</v>
      </c>
      <c r="E11" s="231">
        <v>1912.6</v>
      </c>
      <c r="F11" s="228">
        <v>-4.4000000000000004</v>
      </c>
      <c r="G11" s="229">
        <v>-2.3E-3</v>
      </c>
      <c r="H11" s="231">
        <v>1906.8</v>
      </c>
      <c r="I11" s="231">
        <v>1909.2</v>
      </c>
      <c r="J11" s="228">
        <v>-2.4</v>
      </c>
      <c r="K11" s="229">
        <v>-1.2999999999999999E-3</v>
      </c>
      <c r="L11" s="231">
        <v>1908.2</v>
      </c>
      <c r="M11" s="231">
        <v>1912.6</v>
      </c>
      <c r="N11" s="228">
        <v>-4.4000000000000004</v>
      </c>
      <c r="O11" s="229">
        <v>-2.3E-3</v>
      </c>
      <c r="P11" s="231">
        <v>1918</v>
      </c>
      <c r="Q11" s="231">
        <v>1922.2</v>
      </c>
      <c r="R11" s="228">
        <v>-4.2</v>
      </c>
      <c r="S11" s="229">
        <v>-2.2000000000000001E-3</v>
      </c>
      <c r="T11" s="228">
        <v>0</v>
      </c>
      <c r="U11" s="228">
        <v>0</v>
      </c>
      <c r="V11" s="228">
        <v>0</v>
      </c>
      <c r="W11" s="229">
        <v>0</v>
      </c>
      <c r="X11" s="228">
        <v>1.4</v>
      </c>
      <c r="Y11" s="228">
        <v>3.4</v>
      </c>
      <c r="Z11" s="228">
        <v>-2</v>
      </c>
      <c r="AA11" s="229">
        <v>6.9999999999999999E-4</v>
      </c>
      <c r="AB11" s="228">
        <v>1.4</v>
      </c>
      <c r="AC11" s="228">
        <v>3.4</v>
      </c>
      <c r="AD11" s="228">
        <v>-2</v>
      </c>
      <c r="AE11" s="229">
        <v>6.9999999999999999E-4</v>
      </c>
      <c r="AF11" s="228">
        <v>11.2</v>
      </c>
      <c r="AG11" s="228">
        <v>13</v>
      </c>
      <c r="AH11" s="228">
        <v>-1.8</v>
      </c>
      <c r="AI11" s="229">
        <v>5.8999999999999999E-3</v>
      </c>
      <c r="AJ11" s="228">
        <v>0</v>
      </c>
      <c r="AK11" s="228">
        <v>0</v>
      </c>
      <c r="AL11" s="228">
        <v>0</v>
      </c>
      <c r="AM11" s="229">
        <v>0</v>
      </c>
      <c r="AN11" s="231">
        <v>1901.75</v>
      </c>
      <c r="AO11" s="231">
        <v>1908.84</v>
      </c>
      <c r="AP11" s="228">
        <v>0</v>
      </c>
      <c r="AQ11" s="230">
        <v>6248</v>
      </c>
      <c r="AR11" s="230">
        <v>6819</v>
      </c>
      <c r="AS11" s="228">
        <v>-571</v>
      </c>
      <c r="AT11" s="229">
        <v>-8.3699999999999997E-2</v>
      </c>
      <c r="AU11" s="230">
        <v>5014</v>
      </c>
      <c r="AV11" s="230">
        <v>5598</v>
      </c>
      <c r="AW11" s="228">
        <v>-584</v>
      </c>
      <c r="AX11" s="229">
        <v>-0.1043</v>
      </c>
      <c r="AY11" s="230">
        <v>1167</v>
      </c>
      <c r="AZ11" s="230">
        <v>1110</v>
      </c>
      <c r="BA11" s="228">
        <v>57</v>
      </c>
      <c r="BB11" s="229">
        <v>5.1400000000000001E-2</v>
      </c>
      <c r="BC11" s="228">
        <v>0</v>
      </c>
      <c r="BD11" s="228">
        <v>0</v>
      </c>
      <c r="BE11" s="228">
        <v>0</v>
      </c>
      <c r="BF11" s="229">
        <v>0</v>
      </c>
      <c r="BG11" s="230">
        <v>33558</v>
      </c>
      <c r="BH11" s="230">
        <v>34714</v>
      </c>
      <c r="BI11" s="230">
        <v>-1156</v>
      </c>
      <c r="BJ11" s="229">
        <v>-3.3300000000000003E-2</v>
      </c>
      <c r="BK11" s="230">
        <v>13249</v>
      </c>
      <c r="BL11" s="230">
        <v>10541</v>
      </c>
      <c r="BM11" s="230">
        <v>2708</v>
      </c>
      <c r="BN11" s="229">
        <v>0.25690000000000002</v>
      </c>
      <c r="BO11" s="230">
        <v>53055</v>
      </c>
      <c r="BP11" s="230">
        <v>52074</v>
      </c>
      <c r="BQ11" s="228">
        <v>981</v>
      </c>
      <c r="BR11" s="229">
        <v>1.8800000000000001E-2</v>
      </c>
      <c r="BS11" s="230">
        <v>4558483</v>
      </c>
      <c r="BT11" s="230">
        <v>5155225</v>
      </c>
      <c r="BU11" s="230">
        <v>-596742</v>
      </c>
      <c r="BV11" s="229">
        <v>-0.1158</v>
      </c>
      <c r="BW11" s="230">
        <v>50224600</v>
      </c>
      <c r="BX11" s="230">
        <v>50510550</v>
      </c>
      <c r="BY11" s="230">
        <v>-285950</v>
      </c>
      <c r="BZ11" s="229">
        <v>-5.7000000000000002E-3</v>
      </c>
      <c r="CA11" s="230">
        <v>41841800</v>
      </c>
      <c r="CB11" s="230">
        <v>42375225</v>
      </c>
      <c r="CC11" s="230">
        <v>-533425</v>
      </c>
      <c r="CD11" s="229">
        <v>-1.26E-2</v>
      </c>
      <c r="CE11" s="230">
        <v>6650000</v>
      </c>
      <c r="CF11" s="230">
        <v>6417250</v>
      </c>
      <c r="CG11" s="230">
        <v>232750</v>
      </c>
      <c r="CH11" s="229">
        <v>3.6299999999999999E-2</v>
      </c>
      <c r="CI11" s="228">
        <v>0</v>
      </c>
      <c r="CJ11" s="228">
        <v>0</v>
      </c>
      <c r="CK11" s="228">
        <v>0</v>
      </c>
      <c r="CL11" s="229">
        <v>0</v>
      </c>
      <c r="CM11" s="230">
        <v>21345075</v>
      </c>
      <c r="CN11" s="230">
        <v>21397325</v>
      </c>
      <c r="CO11" s="230">
        <v>-52250</v>
      </c>
      <c r="CP11" s="229">
        <v>-2.3999999999999998E-3</v>
      </c>
      <c r="CQ11" s="230">
        <v>8895800</v>
      </c>
      <c r="CR11" s="230">
        <v>8864925</v>
      </c>
      <c r="CS11" s="230">
        <v>30875</v>
      </c>
      <c r="CT11" s="229">
        <v>3.5000000000000001E-3</v>
      </c>
      <c r="CU11" s="230">
        <v>80465475</v>
      </c>
      <c r="CV11" s="230">
        <v>80772800</v>
      </c>
      <c r="CW11" s="230">
        <v>-307325</v>
      </c>
      <c r="CX11" s="229">
        <v>-3.8E-3</v>
      </c>
      <c r="CY11" s="228">
        <v>19.3</v>
      </c>
      <c r="CZ11" s="228">
        <v>19.96</v>
      </c>
      <c r="DA11" s="228">
        <v>-0.66</v>
      </c>
      <c r="DB11" s="228">
        <v>-0.66</v>
      </c>
      <c r="DC11" s="228">
        <v>26.35</v>
      </c>
      <c r="DD11" s="228">
        <v>26.41</v>
      </c>
      <c r="DE11" s="228">
        <v>-7.05</v>
      </c>
      <c r="DF11" s="228">
        <v>-0.06</v>
      </c>
      <c r="DG11" s="228">
        <v>19.47</v>
      </c>
      <c r="DH11" s="228">
        <v>20.12</v>
      </c>
      <c r="DI11" s="228">
        <v>-0.65</v>
      </c>
      <c r="DJ11" s="228">
        <v>-0.65</v>
      </c>
      <c r="DK11" s="228">
        <v>18.88</v>
      </c>
      <c r="DL11" s="228">
        <v>19.440000000000001</v>
      </c>
      <c r="DM11" s="228">
        <v>-0.56000000000000005</v>
      </c>
      <c r="DN11" s="228">
        <v>-0.56000000000000005</v>
      </c>
      <c r="DO11" s="228">
        <v>0.42</v>
      </c>
      <c r="DP11" s="228">
        <v>0.41</v>
      </c>
      <c r="DQ11" s="228">
        <v>0.01</v>
      </c>
      <c r="DR11" s="229">
        <v>2.4400000000000002E-2</v>
      </c>
      <c r="DS11" s="231">
        <v>2000</v>
      </c>
      <c r="DT11" s="231">
        <v>1900</v>
      </c>
      <c r="DU11" s="228">
        <v>0.39</v>
      </c>
      <c r="DV11" s="228">
        <v>0.3</v>
      </c>
      <c r="DW11" s="228">
        <v>0.09</v>
      </c>
      <c r="DX11" s="229">
        <v>0.3</v>
      </c>
      <c r="DY11" s="229">
        <v>0.13239999999999999</v>
      </c>
      <c r="DZ11" s="230">
        <v>6417250</v>
      </c>
      <c r="EA11" s="229">
        <v>5.1000000000000004E-3</v>
      </c>
      <c r="EB11" s="229">
        <v>0.13239999999999999</v>
      </c>
      <c r="EC11" s="228">
        <v>7.09</v>
      </c>
      <c r="ED11" s="229">
        <v>3.7000000000000002E-3</v>
      </c>
      <c r="EE11" s="230">
        <v>3440997</v>
      </c>
      <c r="EF11" s="230">
        <v>3826012</v>
      </c>
      <c r="EG11" s="229">
        <v>-0.10059999999999999</v>
      </c>
      <c r="EH11" s="229">
        <v>0.75490000000000002</v>
      </c>
      <c r="EI11" s="231">
        <v>314341.75</v>
      </c>
      <c r="EJ11" s="231">
        <v>118973.98</v>
      </c>
      <c r="EK11" s="231">
        <v>56484.95</v>
      </c>
      <c r="EL11" s="228">
        <v>0</v>
      </c>
      <c r="EM11" s="231">
        <v>489800.68</v>
      </c>
      <c r="EN11" s="231">
        <v>483731.72</v>
      </c>
      <c r="EO11" s="231">
        <v>6068.96</v>
      </c>
      <c r="EP11" s="229">
        <v>1.2500000000000001E-2</v>
      </c>
      <c r="EQ11" s="231">
        <v>429524</v>
      </c>
      <c r="ER11" s="231">
        <v>169397</v>
      </c>
      <c r="ES11" s="231">
        <v>959382</v>
      </c>
      <c r="ET11" s="231">
        <v>579085354</v>
      </c>
      <c r="EU11" s="231">
        <v>1558304</v>
      </c>
      <c r="EV11" s="231">
        <v>1567129</v>
      </c>
      <c r="EW11" s="231">
        <v>-8825</v>
      </c>
      <c r="EX11" s="229">
        <v>-5.5999999999999999E-3</v>
      </c>
      <c r="EY11" s="229">
        <v>0.13900000000000001</v>
      </c>
    </row>
    <row r="12" spans="1:155" ht="17.25" thickBot="1" x14ac:dyDescent="0.3">
      <c r="A12" s="226">
        <v>45860</v>
      </c>
      <c r="B12" s="227" t="s">
        <v>170</v>
      </c>
      <c r="C12" s="227" t="s">
        <v>199</v>
      </c>
      <c r="D12" s="231">
        <v>1465.5</v>
      </c>
      <c r="E12" s="231">
        <v>1475.2</v>
      </c>
      <c r="F12" s="228">
        <v>-9.6999999999999993</v>
      </c>
      <c r="G12" s="229">
        <v>-6.6E-3</v>
      </c>
      <c r="H12" s="231">
        <v>1464.4</v>
      </c>
      <c r="I12" s="231">
        <v>1473.9</v>
      </c>
      <c r="J12" s="228">
        <v>-9.5</v>
      </c>
      <c r="K12" s="229">
        <v>-6.4000000000000003E-3</v>
      </c>
      <c r="L12" s="231">
        <v>1465.5</v>
      </c>
      <c r="M12" s="231">
        <v>1475.2</v>
      </c>
      <c r="N12" s="228">
        <v>-9.6999999999999993</v>
      </c>
      <c r="O12" s="229">
        <v>-6.6E-3</v>
      </c>
      <c r="P12" s="231">
        <v>1473.3</v>
      </c>
      <c r="Q12" s="231">
        <v>1482.7</v>
      </c>
      <c r="R12" s="228">
        <v>-9.4</v>
      </c>
      <c r="S12" s="229">
        <v>-6.3E-3</v>
      </c>
      <c r="T12" s="228">
        <v>0</v>
      </c>
      <c r="U12" s="228">
        <v>0</v>
      </c>
      <c r="V12" s="228">
        <v>0</v>
      </c>
      <c r="W12" s="229">
        <v>0</v>
      </c>
      <c r="X12" s="228">
        <v>1.1000000000000001</v>
      </c>
      <c r="Y12" s="228">
        <v>1.3</v>
      </c>
      <c r="Z12" s="228">
        <v>-0.2</v>
      </c>
      <c r="AA12" s="229">
        <v>8.0000000000000004E-4</v>
      </c>
      <c r="AB12" s="228">
        <v>1.1000000000000001</v>
      </c>
      <c r="AC12" s="228">
        <v>1.3</v>
      </c>
      <c r="AD12" s="228">
        <v>-0.2</v>
      </c>
      <c r="AE12" s="229">
        <v>8.0000000000000004E-4</v>
      </c>
      <c r="AF12" s="228">
        <v>8.9</v>
      </c>
      <c r="AG12" s="228">
        <v>8.8000000000000007</v>
      </c>
      <c r="AH12" s="228">
        <v>0.1</v>
      </c>
      <c r="AI12" s="229">
        <v>6.1000000000000004E-3</v>
      </c>
      <c r="AJ12" s="228">
        <v>0</v>
      </c>
      <c r="AK12" s="228">
        <v>0</v>
      </c>
      <c r="AL12" s="228">
        <v>0</v>
      </c>
      <c r="AM12" s="229">
        <v>0</v>
      </c>
      <c r="AN12" s="231">
        <v>1464.29</v>
      </c>
      <c r="AO12" s="231">
        <v>1471.45</v>
      </c>
      <c r="AP12" s="228">
        <v>0</v>
      </c>
      <c r="AQ12" s="230">
        <v>4380</v>
      </c>
      <c r="AR12" s="230">
        <v>3065</v>
      </c>
      <c r="AS12" s="230">
        <v>1315</v>
      </c>
      <c r="AT12" s="229">
        <v>0.42899999999999999</v>
      </c>
      <c r="AU12" s="230">
        <v>3812</v>
      </c>
      <c r="AV12" s="230">
        <v>2766</v>
      </c>
      <c r="AW12" s="230">
        <v>1046</v>
      </c>
      <c r="AX12" s="229">
        <v>0.37819999999999998</v>
      </c>
      <c r="AY12" s="228">
        <v>528</v>
      </c>
      <c r="AZ12" s="228">
        <v>289</v>
      </c>
      <c r="BA12" s="228">
        <v>239</v>
      </c>
      <c r="BB12" s="229">
        <v>0.82699999999999996</v>
      </c>
      <c r="BC12" s="228">
        <v>0</v>
      </c>
      <c r="BD12" s="228">
        <v>0</v>
      </c>
      <c r="BE12" s="228">
        <v>0</v>
      </c>
      <c r="BF12" s="229">
        <v>0</v>
      </c>
      <c r="BG12" s="230">
        <v>8201</v>
      </c>
      <c r="BH12" s="230">
        <v>4629</v>
      </c>
      <c r="BI12" s="230">
        <v>3572</v>
      </c>
      <c r="BJ12" s="229">
        <v>0.77170000000000005</v>
      </c>
      <c r="BK12" s="230">
        <v>5861</v>
      </c>
      <c r="BL12" s="230">
        <v>2880</v>
      </c>
      <c r="BM12" s="230">
        <v>2981</v>
      </c>
      <c r="BN12" s="229">
        <v>1.0350999999999999</v>
      </c>
      <c r="BO12" s="230">
        <v>18442</v>
      </c>
      <c r="BP12" s="230">
        <v>10574</v>
      </c>
      <c r="BQ12" s="230">
        <v>7868</v>
      </c>
      <c r="BR12" s="229">
        <v>0.74409999999999998</v>
      </c>
      <c r="BS12" s="230">
        <v>2054241</v>
      </c>
      <c r="BT12" s="230">
        <v>1239108</v>
      </c>
      <c r="BU12" s="230">
        <v>815133</v>
      </c>
      <c r="BV12" s="229">
        <v>0.65780000000000005</v>
      </c>
      <c r="BW12" s="230">
        <v>11997750</v>
      </c>
      <c r="BX12" s="230">
        <v>12376125</v>
      </c>
      <c r="BY12" s="230">
        <v>-378375</v>
      </c>
      <c r="BZ12" s="229">
        <v>-3.0599999999999999E-2</v>
      </c>
      <c r="CA12" s="230">
        <v>11191875</v>
      </c>
      <c r="CB12" s="230">
        <v>11659125</v>
      </c>
      <c r="CC12" s="230">
        <v>-467250</v>
      </c>
      <c r="CD12" s="229">
        <v>-4.0099999999999997E-2</v>
      </c>
      <c r="CE12" s="230">
        <v>612375</v>
      </c>
      <c r="CF12" s="230">
        <v>527625</v>
      </c>
      <c r="CG12" s="230">
        <v>84750</v>
      </c>
      <c r="CH12" s="229">
        <v>0.16059999999999999</v>
      </c>
      <c r="CI12" s="228">
        <v>0</v>
      </c>
      <c r="CJ12" s="228">
        <v>0</v>
      </c>
      <c r="CK12" s="228">
        <v>0</v>
      </c>
      <c r="CL12" s="229">
        <v>0</v>
      </c>
      <c r="CM12" s="230">
        <v>5564625</v>
      </c>
      <c r="CN12" s="230">
        <v>5593125</v>
      </c>
      <c r="CO12" s="230">
        <v>-28500</v>
      </c>
      <c r="CP12" s="229">
        <v>-5.1000000000000004E-3</v>
      </c>
      <c r="CQ12" s="230">
        <v>2806875</v>
      </c>
      <c r="CR12" s="230">
        <v>2812875</v>
      </c>
      <c r="CS12" s="230">
        <v>-6000</v>
      </c>
      <c r="CT12" s="229">
        <v>-2.0999999999999999E-3</v>
      </c>
      <c r="CU12" s="230">
        <v>20369250</v>
      </c>
      <c r="CV12" s="230">
        <v>20782125</v>
      </c>
      <c r="CW12" s="230">
        <v>-412875</v>
      </c>
      <c r="CX12" s="229">
        <v>-1.9900000000000001E-2</v>
      </c>
      <c r="CY12" s="228">
        <v>26.72</v>
      </c>
      <c r="CZ12" s="228">
        <v>26.2</v>
      </c>
      <c r="DA12" s="228">
        <v>0.52</v>
      </c>
      <c r="DB12" s="228">
        <v>0.52</v>
      </c>
      <c r="DC12" s="228">
        <v>27.16</v>
      </c>
      <c r="DD12" s="228">
        <v>27.21</v>
      </c>
      <c r="DE12" s="228">
        <v>-0.44</v>
      </c>
      <c r="DF12" s="228">
        <v>-0.05</v>
      </c>
      <c r="DG12" s="228">
        <v>26.99</v>
      </c>
      <c r="DH12" s="228">
        <v>26.46</v>
      </c>
      <c r="DI12" s="228">
        <v>0.53</v>
      </c>
      <c r="DJ12" s="228">
        <v>0.53</v>
      </c>
      <c r="DK12" s="228">
        <v>26.35</v>
      </c>
      <c r="DL12" s="228">
        <v>25.79</v>
      </c>
      <c r="DM12" s="228">
        <v>0.56000000000000005</v>
      </c>
      <c r="DN12" s="228">
        <v>0.56000000000000005</v>
      </c>
      <c r="DO12" s="228">
        <v>0.5</v>
      </c>
      <c r="DP12" s="228">
        <v>0.5</v>
      </c>
      <c r="DQ12" s="228">
        <v>0</v>
      </c>
      <c r="DR12" s="229">
        <v>0</v>
      </c>
      <c r="DS12" s="231">
        <v>1600</v>
      </c>
      <c r="DT12" s="231">
        <v>1340</v>
      </c>
      <c r="DU12" s="228">
        <v>0.71</v>
      </c>
      <c r="DV12" s="228">
        <v>0.62</v>
      </c>
      <c r="DW12" s="228">
        <v>0.09</v>
      </c>
      <c r="DX12" s="229">
        <v>0.1452</v>
      </c>
      <c r="DY12" s="229">
        <v>5.0999999999999997E-2</v>
      </c>
      <c r="DZ12" s="230">
        <v>527625</v>
      </c>
      <c r="EA12" s="229">
        <v>5.3E-3</v>
      </c>
      <c r="EB12" s="229">
        <v>5.0999999999999997E-2</v>
      </c>
      <c r="EC12" s="228">
        <v>7.16</v>
      </c>
      <c r="ED12" s="229">
        <v>4.8999999999999998E-3</v>
      </c>
      <c r="EE12" s="230">
        <v>1379977</v>
      </c>
      <c r="EF12" s="230">
        <v>860521</v>
      </c>
      <c r="EG12" s="229">
        <v>0.60370000000000001</v>
      </c>
      <c r="EH12" s="229">
        <v>0.67179999999999995</v>
      </c>
      <c r="EI12" s="231">
        <v>46922.12</v>
      </c>
      <c r="EJ12" s="231">
        <v>31961.65</v>
      </c>
      <c r="EK12" s="231">
        <v>24067.33</v>
      </c>
      <c r="EL12" s="228">
        <v>0</v>
      </c>
      <c r="EM12" s="231">
        <v>102951.1</v>
      </c>
      <c r="EN12" s="231">
        <v>59315.02</v>
      </c>
      <c r="EO12" s="231">
        <v>43636.08</v>
      </c>
      <c r="EP12" s="229">
        <v>0.73570000000000002</v>
      </c>
      <c r="EQ12" s="231">
        <v>88396</v>
      </c>
      <c r="ER12" s="231">
        <v>39753</v>
      </c>
      <c r="ES12" s="231">
        <v>175906</v>
      </c>
      <c r="ET12" s="231">
        <v>114117893</v>
      </c>
      <c r="EU12" s="231">
        <v>304055</v>
      </c>
      <c r="EV12" s="231">
        <v>311397</v>
      </c>
      <c r="EW12" s="231">
        <v>-7342</v>
      </c>
      <c r="EX12" s="229">
        <v>-2.3599999999999999E-2</v>
      </c>
      <c r="EY12" s="229">
        <v>0.17849999999999999</v>
      </c>
    </row>
    <row r="13" spans="1:155" ht="17.25" thickBot="1" x14ac:dyDescent="0.3">
      <c r="A13" s="226">
        <v>45860</v>
      </c>
      <c r="B13" s="227" t="s">
        <v>227</v>
      </c>
      <c r="C13" s="227" t="s">
        <v>200</v>
      </c>
      <c r="D13" s="228">
        <v>390.1</v>
      </c>
      <c r="E13" s="228">
        <v>387.45</v>
      </c>
      <c r="F13" s="228">
        <v>2.65</v>
      </c>
      <c r="G13" s="229">
        <v>6.7999999999999996E-3</v>
      </c>
      <c r="H13" s="228">
        <v>389.1</v>
      </c>
      <c r="I13" s="228">
        <v>386.8</v>
      </c>
      <c r="J13" s="228">
        <v>2.2999999999999998</v>
      </c>
      <c r="K13" s="229">
        <v>5.8999999999999999E-3</v>
      </c>
      <c r="L13" s="228">
        <v>390.1</v>
      </c>
      <c r="M13" s="228">
        <v>387.45</v>
      </c>
      <c r="N13" s="228">
        <v>2.65</v>
      </c>
      <c r="O13" s="229">
        <v>6.7999999999999996E-3</v>
      </c>
      <c r="P13" s="228">
        <v>384.7</v>
      </c>
      <c r="Q13" s="228">
        <v>382</v>
      </c>
      <c r="R13" s="228">
        <v>2.7</v>
      </c>
      <c r="S13" s="229">
        <v>7.1000000000000004E-3</v>
      </c>
      <c r="T13" s="228">
        <v>0</v>
      </c>
      <c r="U13" s="228">
        <v>0</v>
      </c>
      <c r="V13" s="228">
        <v>0</v>
      </c>
      <c r="W13" s="229">
        <v>0</v>
      </c>
      <c r="X13" s="228">
        <v>1</v>
      </c>
      <c r="Y13" s="228">
        <v>0.65</v>
      </c>
      <c r="Z13" s="228">
        <v>0.35</v>
      </c>
      <c r="AA13" s="229">
        <v>2.5999999999999999E-3</v>
      </c>
      <c r="AB13" s="228">
        <v>1</v>
      </c>
      <c r="AC13" s="228">
        <v>0.65</v>
      </c>
      <c r="AD13" s="228">
        <v>0.35</v>
      </c>
      <c r="AE13" s="229">
        <v>2.5999999999999999E-3</v>
      </c>
      <c r="AF13" s="228">
        <v>-4.4000000000000004</v>
      </c>
      <c r="AG13" s="228">
        <v>-4.8</v>
      </c>
      <c r="AH13" s="228">
        <v>0.4</v>
      </c>
      <c r="AI13" s="229">
        <v>-1.1299999999999999E-2</v>
      </c>
      <c r="AJ13" s="228">
        <v>0</v>
      </c>
      <c r="AK13" s="228">
        <v>0</v>
      </c>
      <c r="AL13" s="228">
        <v>0</v>
      </c>
      <c r="AM13" s="229">
        <v>0</v>
      </c>
      <c r="AN13" s="228">
        <v>389.64</v>
      </c>
      <c r="AO13" s="228">
        <v>384.02</v>
      </c>
      <c r="AP13" s="228">
        <v>0</v>
      </c>
      <c r="AQ13" s="230">
        <v>7649</v>
      </c>
      <c r="AR13" s="230">
        <v>6719</v>
      </c>
      <c r="AS13" s="228">
        <v>930</v>
      </c>
      <c r="AT13" s="229">
        <v>0.1384</v>
      </c>
      <c r="AU13" s="230">
        <v>5432</v>
      </c>
      <c r="AV13" s="230">
        <v>4935</v>
      </c>
      <c r="AW13" s="228">
        <v>497</v>
      </c>
      <c r="AX13" s="229">
        <v>0.1007</v>
      </c>
      <c r="AY13" s="230">
        <v>2092</v>
      </c>
      <c r="AZ13" s="230">
        <v>1732</v>
      </c>
      <c r="BA13" s="228">
        <v>360</v>
      </c>
      <c r="BB13" s="229">
        <v>0.2079</v>
      </c>
      <c r="BC13" s="228">
        <v>0</v>
      </c>
      <c r="BD13" s="228">
        <v>0</v>
      </c>
      <c r="BE13" s="228">
        <v>0</v>
      </c>
      <c r="BF13" s="229">
        <v>0</v>
      </c>
      <c r="BG13" s="230">
        <v>25416</v>
      </c>
      <c r="BH13" s="230">
        <v>14652</v>
      </c>
      <c r="BI13" s="230">
        <v>10764</v>
      </c>
      <c r="BJ13" s="229">
        <v>0.73460000000000003</v>
      </c>
      <c r="BK13" s="230">
        <v>13396</v>
      </c>
      <c r="BL13" s="230">
        <v>9326</v>
      </c>
      <c r="BM13" s="230">
        <v>4070</v>
      </c>
      <c r="BN13" s="229">
        <v>0.43640000000000001</v>
      </c>
      <c r="BO13" s="230">
        <v>46461</v>
      </c>
      <c r="BP13" s="230">
        <v>30697</v>
      </c>
      <c r="BQ13" s="230">
        <v>15764</v>
      </c>
      <c r="BR13" s="229">
        <v>0.51349999999999996</v>
      </c>
      <c r="BS13" s="230">
        <v>5213011</v>
      </c>
      <c r="BT13" s="230">
        <v>4496234</v>
      </c>
      <c r="BU13" s="230">
        <v>716777</v>
      </c>
      <c r="BV13" s="229">
        <v>0.15939999999999999</v>
      </c>
      <c r="BW13" s="230">
        <v>87030450</v>
      </c>
      <c r="BX13" s="230">
        <v>90612000</v>
      </c>
      <c r="BY13" s="230">
        <v>-3581550</v>
      </c>
      <c r="BZ13" s="229">
        <v>-3.95E-2</v>
      </c>
      <c r="CA13" s="230">
        <v>46255050</v>
      </c>
      <c r="CB13" s="230">
        <v>49727250</v>
      </c>
      <c r="CC13" s="230">
        <v>-3472200</v>
      </c>
      <c r="CD13" s="229">
        <v>-6.9800000000000001E-2</v>
      </c>
      <c r="CE13" s="230">
        <v>40086900</v>
      </c>
      <c r="CF13" s="230">
        <v>40167900</v>
      </c>
      <c r="CG13" s="230">
        <v>-81000</v>
      </c>
      <c r="CH13" s="229">
        <v>-2E-3</v>
      </c>
      <c r="CI13" s="228">
        <v>0</v>
      </c>
      <c r="CJ13" s="228">
        <v>0</v>
      </c>
      <c r="CK13" s="228">
        <v>0</v>
      </c>
      <c r="CL13" s="229">
        <v>0</v>
      </c>
      <c r="CM13" s="230">
        <v>38699100</v>
      </c>
      <c r="CN13" s="230">
        <v>40724100</v>
      </c>
      <c r="CO13" s="230">
        <v>-2025000</v>
      </c>
      <c r="CP13" s="229">
        <v>-4.9700000000000001E-2</v>
      </c>
      <c r="CQ13" s="230">
        <v>29107350</v>
      </c>
      <c r="CR13" s="230">
        <v>29128950</v>
      </c>
      <c r="CS13" s="230">
        <v>-21600</v>
      </c>
      <c r="CT13" s="229">
        <v>-6.9999999999999999E-4</v>
      </c>
      <c r="CU13" s="230">
        <v>154836900</v>
      </c>
      <c r="CV13" s="230">
        <v>160465050</v>
      </c>
      <c r="CW13" s="230">
        <v>-5628150</v>
      </c>
      <c r="CX13" s="229">
        <v>-3.5099999999999999E-2</v>
      </c>
      <c r="CY13" s="228">
        <v>18.920000000000002</v>
      </c>
      <c r="CZ13" s="228">
        <v>20.29</v>
      </c>
      <c r="DA13" s="228">
        <v>-1.37</v>
      </c>
      <c r="DB13" s="228">
        <v>-1.37</v>
      </c>
      <c r="DC13" s="228">
        <v>31.95</v>
      </c>
      <c r="DD13" s="228">
        <v>32.020000000000003</v>
      </c>
      <c r="DE13" s="228">
        <v>-13.03</v>
      </c>
      <c r="DF13" s="228">
        <v>-7.0000000000000007E-2</v>
      </c>
      <c r="DG13" s="228">
        <v>18.38</v>
      </c>
      <c r="DH13" s="228">
        <v>19.190000000000001</v>
      </c>
      <c r="DI13" s="228">
        <v>-0.81</v>
      </c>
      <c r="DJ13" s="228">
        <v>-0.81</v>
      </c>
      <c r="DK13" s="228">
        <v>19.93</v>
      </c>
      <c r="DL13" s="228">
        <v>22.04</v>
      </c>
      <c r="DM13" s="228">
        <v>-2.11</v>
      </c>
      <c r="DN13" s="228">
        <v>-2.11</v>
      </c>
      <c r="DO13" s="228">
        <v>0.75</v>
      </c>
      <c r="DP13" s="228">
        <v>0.72</v>
      </c>
      <c r="DQ13" s="228">
        <v>0.03</v>
      </c>
      <c r="DR13" s="229">
        <v>4.1700000000000001E-2</v>
      </c>
      <c r="DS13" s="228">
        <v>400</v>
      </c>
      <c r="DT13" s="228">
        <v>400</v>
      </c>
      <c r="DU13" s="228">
        <v>0.53</v>
      </c>
      <c r="DV13" s="228">
        <v>0.64</v>
      </c>
      <c r="DW13" s="228">
        <v>-0.11</v>
      </c>
      <c r="DX13" s="229">
        <v>-0.1719</v>
      </c>
      <c r="DY13" s="229">
        <v>0.46060000000000001</v>
      </c>
      <c r="DZ13" s="230">
        <v>40167900</v>
      </c>
      <c r="EA13" s="229">
        <v>-1.38E-2</v>
      </c>
      <c r="EB13" s="229">
        <v>0.46060000000000001</v>
      </c>
      <c r="EC13" s="228">
        <v>-5.62</v>
      </c>
      <c r="ED13" s="229">
        <v>-1.44E-2</v>
      </c>
      <c r="EE13" s="230">
        <v>3341828</v>
      </c>
      <c r="EF13" s="230">
        <v>2706339</v>
      </c>
      <c r="EG13" s="229">
        <v>0.23480000000000001</v>
      </c>
      <c r="EH13" s="229">
        <v>0.6411</v>
      </c>
      <c r="EI13" s="231">
        <v>137161.85999999999</v>
      </c>
      <c r="EJ13" s="231">
        <v>71350.570000000007</v>
      </c>
      <c r="EK13" s="231">
        <v>40069.519999999997</v>
      </c>
      <c r="EL13" s="228">
        <v>0</v>
      </c>
      <c r="EM13" s="231">
        <v>248581.95</v>
      </c>
      <c r="EN13" s="231">
        <v>165740.35</v>
      </c>
      <c r="EO13" s="231">
        <v>82841.600000000006</v>
      </c>
      <c r="EP13" s="229">
        <v>0.49980000000000002</v>
      </c>
      <c r="EQ13" s="231">
        <v>156535</v>
      </c>
      <c r="ER13" s="231">
        <v>113126</v>
      </c>
      <c r="ES13" s="231">
        <v>337314</v>
      </c>
      <c r="ET13" s="231">
        <v>454398477</v>
      </c>
      <c r="EU13" s="231">
        <v>606975</v>
      </c>
      <c r="EV13" s="231">
        <v>626514</v>
      </c>
      <c r="EW13" s="231">
        <v>-19539</v>
      </c>
      <c r="EX13" s="229">
        <v>-3.1199999999999999E-2</v>
      </c>
      <c r="EY13" s="229">
        <v>0.34079999999999999</v>
      </c>
    </row>
    <row r="14" spans="1:155" ht="17.25" thickBot="1" x14ac:dyDescent="0.3">
      <c r="A14" s="226">
        <v>45860</v>
      </c>
      <c r="B14" s="227" t="s">
        <v>170</v>
      </c>
      <c r="C14" s="227" t="s">
        <v>208</v>
      </c>
      <c r="D14" s="231">
        <v>1240.9000000000001</v>
      </c>
      <c r="E14" s="231">
        <v>1259.8</v>
      </c>
      <c r="F14" s="228">
        <v>-18.899999999999999</v>
      </c>
      <c r="G14" s="229">
        <v>-1.4999999999999999E-2</v>
      </c>
      <c r="H14" s="231">
        <v>1240</v>
      </c>
      <c r="I14" s="231">
        <v>1259.3</v>
      </c>
      <c r="J14" s="228">
        <v>-19.3</v>
      </c>
      <c r="K14" s="229">
        <v>-1.5299999999999999E-2</v>
      </c>
      <c r="L14" s="231">
        <v>1240.9000000000001</v>
      </c>
      <c r="M14" s="231">
        <v>1259.8</v>
      </c>
      <c r="N14" s="228">
        <v>-18.899999999999999</v>
      </c>
      <c r="O14" s="229">
        <v>-1.4999999999999999E-2</v>
      </c>
      <c r="P14" s="231">
        <v>1247</v>
      </c>
      <c r="Q14" s="231">
        <v>1264.2</v>
      </c>
      <c r="R14" s="228">
        <v>-17.2</v>
      </c>
      <c r="S14" s="229">
        <v>-1.3599999999999999E-2</v>
      </c>
      <c r="T14" s="228">
        <v>0</v>
      </c>
      <c r="U14" s="228">
        <v>0</v>
      </c>
      <c r="V14" s="228">
        <v>0</v>
      </c>
      <c r="W14" s="229">
        <v>0</v>
      </c>
      <c r="X14" s="228">
        <v>0.9</v>
      </c>
      <c r="Y14" s="228">
        <v>0.5</v>
      </c>
      <c r="Z14" s="228">
        <v>0.4</v>
      </c>
      <c r="AA14" s="229">
        <v>6.9999999999999999E-4</v>
      </c>
      <c r="AB14" s="228">
        <v>0.9</v>
      </c>
      <c r="AC14" s="228">
        <v>0.5</v>
      </c>
      <c r="AD14" s="228">
        <v>0.4</v>
      </c>
      <c r="AE14" s="229">
        <v>6.9999999999999999E-4</v>
      </c>
      <c r="AF14" s="228">
        <v>7</v>
      </c>
      <c r="AG14" s="228">
        <v>4.9000000000000004</v>
      </c>
      <c r="AH14" s="228">
        <v>2.1</v>
      </c>
      <c r="AI14" s="229">
        <v>5.5999999999999999E-3</v>
      </c>
      <c r="AJ14" s="228">
        <v>0</v>
      </c>
      <c r="AK14" s="228">
        <v>0</v>
      </c>
      <c r="AL14" s="228">
        <v>0</v>
      </c>
      <c r="AM14" s="229">
        <v>0</v>
      </c>
      <c r="AN14" s="231">
        <v>1244.3699999999999</v>
      </c>
      <c r="AO14" s="231">
        <v>1250.47</v>
      </c>
      <c r="AP14" s="228">
        <v>0</v>
      </c>
      <c r="AQ14" s="230">
        <v>5580</v>
      </c>
      <c r="AR14" s="230">
        <v>2540</v>
      </c>
      <c r="AS14" s="230">
        <v>3040</v>
      </c>
      <c r="AT14" s="229">
        <v>1.1969000000000001</v>
      </c>
      <c r="AU14" s="230">
        <v>4972</v>
      </c>
      <c r="AV14" s="230">
        <v>2107</v>
      </c>
      <c r="AW14" s="230">
        <v>2865</v>
      </c>
      <c r="AX14" s="229">
        <v>1.3597999999999999</v>
      </c>
      <c r="AY14" s="228">
        <v>571</v>
      </c>
      <c r="AZ14" s="228">
        <v>425</v>
      </c>
      <c r="BA14" s="228">
        <v>146</v>
      </c>
      <c r="BB14" s="229">
        <v>0.34350000000000003</v>
      </c>
      <c r="BC14" s="228">
        <v>0</v>
      </c>
      <c r="BD14" s="228">
        <v>0</v>
      </c>
      <c r="BE14" s="228">
        <v>0</v>
      </c>
      <c r="BF14" s="229">
        <v>0</v>
      </c>
      <c r="BG14" s="230">
        <v>9717</v>
      </c>
      <c r="BH14" s="230">
        <v>4888</v>
      </c>
      <c r="BI14" s="230">
        <v>4829</v>
      </c>
      <c r="BJ14" s="229">
        <v>0.9879</v>
      </c>
      <c r="BK14" s="230">
        <v>8216</v>
      </c>
      <c r="BL14" s="230">
        <v>2417</v>
      </c>
      <c r="BM14" s="230">
        <v>5799</v>
      </c>
      <c r="BN14" s="229">
        <v>2.3993000000000002</v>
      </c>
      <c r="BO14" s="230">
        <v>23513</v>
      </c>
      <c r="BP14" s="230">
        <v>9845</v>
      </c>
      <c r="BQ14" s="230">
        <v>13668</v>
      </c>
      <c r="BR14" s="229">
        <v>1.3883000000000001</v>
      </c>
      <c r="BS14" s="230">
        <v>1369353</v>
      </c>
      <c r="BT14" s="230">
        <v>1225500</v>
      </c>
      <c r="BU14" s="230">
        <v>143853</v>
      </c>
      <c r="BV14" s="229">
        <v>0.1174</v>
      </c>
      <c r="BW14" s="230">
        <v>12191875</v>
      </c>
      <c r="BX14" s="230">
        <v>11865625</v>
      </c>
      <c r="BY14" s="230">
        <v>326250</v>
      </c>
      <c r="BZ14" s="229">
        <v>2.75E-2</v>
      </c>
      <c r="CA14" s="230">
        <v>11163125</v>
      </c>
      <c r="CB14" s="230">
        <v>10970625</v>
      </c>
      <c r="CC14" s="230">
        <v>192500</v>
      </c>
      <c r="CD14" s="229">
        <v>1.7500000000000002E-2</v>
      </c>
      <c r="CE14" s="230">
        <v>958750</v>
      </c>
      <c r="CF14" s="230">
        <v>836875</v>
      </c>
      <c r="CG14" s="230">
        <v>121875</v>
      </c>
      <c r="CH14" s="229">
        <v>0.14560000000000001</v>
      </c>
      <c r="CI14" s="228">
        <v>0</v>
      </c>
      <c r="CJ14" s="228">
        <v>0</v>
      </c>
      <c r="CK14" s="228">
        <v>0</v>
      </c>
      <c r="CL14" s="229">
        <v>0</v>
      </c>
      <c r="CM14" s="230">
        <v>11045625</v>
      </c>
      <c r="CN14" s="230">
        <v>10888750</v>
      </c>
      <c r="CO14" s="230">
        <v>156875</v>
      </c>
      <c r="CP14" s="229">
        <v>1.44E-2</v>
      </c>
      <c r="CQ14" s="230">
        <v>5228125</v>
      </c>
      <c r="CR14" s="230">
        <v>5017500</v>
      </c>
      <c r="CS14" s="230">
        <v>210625</v>
      </c>
      <c r="CT14" s="229">
        <v>4.2000000000000003E-2</v>
      </c>
      <c r="CU14" s="230">
        <v>28465625</v>
      </c>
      <c r="CV14" s="230">
        <v>27771875</v>
      </c>
      <c r="CW14" s="230">
        <v>693750</v>
      </c>
      <c r="CX14" s="229">
        <v>2.5000000000000001E-2</v>
      </c>
      <c r="CY14" s="228">
        <v>31.43</v>
      </c>
      <c r="CZ14" s="228">
        <v>30.1</v>
      </c>
      <c r="DA14" s="228">
        <v>1.33</v>
      </c>
      <c r="DB14" s="228">
        <v>1.33</v>
      </c>
      <c r="DC14" s="228">
        <v>25.21</v>
      </c>
      <c r="DD14" s="228">
        <v>25.19</v>
      </c>
      <c r="DE14" s="228">
        <v>6.22</v>
      </c>
      <c r="DF14" s="228">
        <v>0.02</v>
      </c>
      <c r="DG14" s="228">
        <v>31.66</v>
      </c>
      <c r="DH14" s="228">
        <v>29.84</v>
      </c>
      <c r="DI14" s="228">
        <v>1.82</v>
      </c>
      <c r="DJ14" s="228">
        <v>1.82</v>
      </c>
      <c r="DK14" s="228">
        <v>31.15</v>
      </c>
      <c r="DL14" s="228">
        <v>30.61</v>
      </c>
      <c r="DM14" s="228">
        <v>0.54</v>
      </c>
      <c r="DN14" s="228">
        <v>0.54</v>
      </c>
      <c r="DO14" s="228">
        <v>0.47</v>
      </c>
      <c r="DP14" s="228">
        <v>0.46</v>
      </c>
      <c r="DQ14" s="228">
        <v>0.01</v>
      </c>
      <c r="DR14" s="229">
        <v>2.1700000000000001E-2</v>
      </c>
      <c r="DS14" s="231">
        <v>1300</v>
      </c>
      <c r="DT14" s="231">
        <v>1100</v>
      </c>
      <c r="DU14" s="228">
        <v>0.85</v>
      </c>
      <c r="DV14" s="228">
        <v>0.49</v>
      </c>
      <c r="DW14" s="228">
        <v>0.36</v>
      </c>
      <c r="DX14" s="229">
        <v>0.73470000000000002</v>
      </c>
      <c r="DY14" s="229">
        <v>7.8600000000000003E-2</v>
      </c>
      <c r="DZ14" s="230">
        <v>836875</v>
      </c>
      <c r="EA14" s="229">
        <v>4.8999999999999998E-3</v>
      </c>
      <c r="EB14" s="229">
        <v>7.8600000000000003E-2</v>
      </c>
      <c r="EC14" s="228">
        <v>6.1</v>
      </c>
      <c r="ED14" s="229">
        <v>4.8999999999999998E-3</v>
      </c>
      <c r="EE14" s="230">
        <v>706780</v>
      </c>
      <c r="EF14" s="230">
        <v>792467</v>
      </c>
      <c r="EG14" s="229">
        <v>-0.1081</v>
      </c>
      <c r="EH14" s="229">
        <v>0.5161</v>
      </c>
      <c r="EI14" s="231">
        <v>79446.740000000005</v>
      </c>
      <c r="EJ14" s="231">
        <v>64253.93</v>
      </c>
      <c r="EK14" s="231">
        <v>43421.06</v>
      </c>
      <c r="EL14" s="228">
        <v>0</v>
      </c>
      <c r="EM14" s="231">
        <v>187121.73</v>
      </c>
      <c r="EN14" s="231">
        <v>79373.06</v>
      </c>
      <c r="EO14" s="231">
        <v>107748.67</v>
      </c>
      <c r="EP14" s="229">
        <v>1.3574999999999999</v>
      </c>
      <c r="EQ14" s="231">
        <v>149074</v>
      </c>
      <c r="ER14" s="231">
        <v>63079</v>
      </c>
      <c r="ES14" s="231">
        <v>151354</v>
      </c>
      <c r="ET14" s="231">
        <v>121939493</v>
      </c>
      <c r="EU14" s="231">
        <v>363507</v>
      </c>
      <c r="EV14" s="231">
        <v>357329</v>
      </c>
      <c r="EW14" s="231">
        <v>6178</v>
      </c>
      <c r="EX14" s="229">
        <v>1.7299999999999999E-2</v>
      </c>
      <c r="EY14" s="229">
        <v>0.2334</v>
      </c>
    </row>
    <row r="15" spans="1:155" ht="17.25" thickBot="1" x14ac:dyDescent="0.3">
      <c r="A15" s="226">
        <v>45860</v>
      </c>
      <c r="B15" s="227" t="s">
        <v>162</v>
      </c>
      <c r="C15" s="227" t="s">
        <v>209</v>
      </c>
      <c r="D15" s="231">
        <v>5455.5</v>
      </c>
      <c r="E15" s="231">
        <v>5576</v>
      </c>
      <c r="F15" s="228">
        <v>-120.5</v>
      </c>
      <c r="G15" s="229">
        <v>-2.1600000000000001E-2</v>
      </c>
      <c r="H15" s="231">
        <v>5439.5</v>
      </c>
      <c r="I15" s="231">
        <v>5558</v>
      </c>
      <c r="J15" s="228">
        <v>-118.5</v>
      </c>
      <c r="K15" s="229">
        <v>-2.1299999999999999E-2</v>
      </c>
      <c r="L15" s="231">
        <v>5455.5</v>
      </c>
      <c r="M15" s="231">
        <v>5576</v>
      </c>
      <c r="N15" s="228">
        <v>-120.5</v>
      </c>
      <c r="O15" s="229">
        <v>-2.1600000000000001E-2</v>
      </c>
      <c r="P15" s="231">
        <v>5412</v>
      </c>
      <c r="Q15" s="231">
        <v>5534.5</v>
      </c>
      <c r="R15" s="228">
        <v>-122.5</v>
      </c>
      <c r="S15" s="229">
        <v>-2.2100000000000002E-2</v>
      </c>
      <c r="T15" s="228">
        <v>0</v>
      </c>
      <c r="U15" s="228">
        <v>0</v>
      </c>
      <c r="V15" s="228">
        <v>0</v>
      </c>
      <c r="W15" s="229">
        <v>0</v>
      </c>
      <c r="X15" s="228">
        <v>16</v>
      </c>
      <c r="Y15" s="228">
        <v>18</v>
      </c>
      <c r="Z15" s="228">
        <v>-2</v>
      </c>
      <c r="AA15" s="229">
        <v>2.8999999999999998E-3</v>
      </c>
      <c r="AB15" s="228">
        <v>16</v>
      </c>
      <c r="AC15" s="228">
        <v>18</v>
      </c>
      <c r="AD15" s="228">
        <v>-2</v>
      </c>
      <c r="AE15" s="229">
        <v>2.8999999999999998E-3</v>
      </c>
      <c r="AF15" s="228">
        <v>-27.5</v>
      </c>
      <c r="AG15" s="228">
        <v>-23.5</v>
      </c>
      <c r="AH15" s="228">
        <v>-4</v>
      </c>
      <c r="AI15" s="229">
        <v>-5.1000000000000004E-3</v>
      </c>
      <c r="AJ15" s="228">
        <v>0</v>
      </c>
      <c r="AK15" s="228">
        <v>0</v>
      </c>
      <c r="AL15" s="228">
        <v>0</v>
      </c>
      <c r="AM15" s="229">
        <v>0</v>
      </c>
      <c r="AN15" s="231">
        <v>5491.04</v>
      </c>
      <c r="AO15" s="231">
        <v>5442.95</v>
      </c>
      <c r="AP15" s="228">
        <v>0</v>
      </c>
      <c r="AQ15" s="230">
        <v>2550</v>
      </c>
      <c r="AR15" s="230">
        <v>1694</v>
      </c>
      <c r="AS15" s="228">
        <v>856</v>
      </c>
      <c r="AT15" s="229">
        <v>0.50529999999999997</v>
      </c>
      <c r="AU15" s="230">
        <v>1989</v>
      </c>
      <c r="AV15" s="230">
        <v>1495</v>
      </c>
      <c r="AW15" s="228">
        <v>494</v>
      </c>
      <c r="AX15" s="229">
        <v>0.33040000000000003</v>
      </c>
      <c r="AY15" s="228">
        <v>523</v>
      </c>
      <c r="AZ15" s="228">
        <v>195</v>
      </c>
      <c r="BA15" s="228">
        <v>328</v>
      </c>
      <c r="BB15" s="229">
        <v>1.6820999999999999</v>
      </c>
      <c r="BC15" s="228">
        <v>0</v>
      </c>
      <c r="BD15" s="228">
        <v>0</v>
      </c>
      <c r="BE15" s="228">
        <v>0</v>
      </c>
      <c r="BF15" s="229">
        <v>0</v>
      </c>
      <c r="BG15" s="230">
        <v>11446</v>
      </c>
      <c r="BH15" s="230">
        <v>6558</v>
      </c>
      <c r="BI15" s="230">
        <v>4888</v>
      </c>
      <c r="BJ15" s="229">
        <v>0.74529999999999996</v>
      </c>
      <c r="BK15" s="230">
        <v>7116</v>
      </c>
      <c r="BL15" s="230">
        <v>4337</v>
      </c>
      <c r="BM15" s="230">
        <v>2779</v>
      </c>
      <c r="BN15" s="229">
        <v>0.64080000000000004</v>
      </c>
      <c r="BO15" s="230">
        <v>21112</v>
      </c>
      <c r="BP15" s="230">
        <v>12589</v>
      </c>
      <c r="BQ15" s="230">
        <v>8523</v>
      </c>
      <c r="BR15" s="229">
        <v>0.67700000000000005</v>
      </c>
      <c r="BS15" s="230">
        <v>609927</v>
      </c>
      <c r="BT15" s="230">
        <v>216435</v>
      </c>
      <c r="BU15" s="230">
        <v>393492</v>
      </c>
      <c r="BV15" s="229">
        <v>1.8181</v>
      </c>
      <c r="BW15" s="230">
        <v>2885050</v>
      </c>
      <c r="BX15" s="230">
        <v>2769725</v>
      </c>
      <c r="BY15" s="230">
        <v>115325</v>
      </c>
      <c r="BZ15" s="229">
        <v>4.1599999999999998E-2</v>
      </c>
      <c r="CA15" s="230">
        <v>2315250</v>
      </c>
      <c r="CB15" s="230">
        <v>2259775</v>
      </c>
      <c r="CC15" s="230">
        <v>55475</v>
      </c>
      <c r="CD15" s="229">
        <v>2.4500000000000001E-2</v>
      </c>
      <c r="CE15" s="230">
        <v>557375</v>
      </c>
      <c r="CF15" s="230">
        <v>501200</v>
      </c>
      <c r="CG15" s="230">
        <v>56175</v>
      </c>
      <c r="CH15" s="229">
        <v>0.11210000000000001</v>
      </c>
      <c r="CI15" s="228">
        <v>0</v>
      </c>
      <c r="CJ15" s="228">
        <v>0</v>
      </c>
      <c r="CK15" s="228">
        <v>0</v>
      </c>
      <c r="CL15" s="229">
        <v>0</v>
      </c>
      <c r="CM15" s="230">
        <v>1888600</v>
      </c>
      <c r="CN15" s="230">
        <v>1659700</v>
      </c>
      <c r="CO15" s="230">
        <v>228900</v>
      </c>
      <c r="CP15" s="229">
        <v>0.13789999999999999</v>
      </c>
      <c r="CQ15" s="230">
        <v>979125</v>
      </c>
      <c r="CR15" s="230">
        <v>904750</v>
      </c>
      <c r="CS15" s="230">
        <v>74375</v>
      </c>
      <c r="CT15" s="229">
        <v>8.2199999999999995E-2</v>
      </c>
      <c r="CU15" s="230">
        <v>5752775</v>
      </c>
      <c r="CV15" s="230">
        <v>5334175</v>
      </c>
      <c r="CW15" s="230">
        <v>418600</v>
      </c>
      <c r="CX15" s="229">
        <v>7.85E-2</v>
      </c>
      <c r="CY15" s="228">
        <v>21.76</v>
      </c>
      <c r="CZ15" s="228">
        <v>19.170000000000002</v>
      </c>
      <c r="DA15" s="228">
        <v>2.59</v>
      </c>
      <c r="DB15" s="228">
        <v>2.59</v>
      </c>
      <c r="DC15" s="228">
        <v>29.75</v>
      </c>
      <c r="DD15" s="228">
        <v>29.68</v>
      </c>
      <c r="DE15" s="228">
        <v>-7.99</v>
      </c>
      <c r="DF15" s="228">
        <v>7.0000000000000007E-2</v>
      </c>
      <c r="DG15" s="228">
        <v>22.12</v>
      </c>
      <c r="DH15" s="228">
        <v>19</v>
      </c>
      <c r="DI15" s="228">
        <v>3.12</v>
      </c>
      <c r="DJ15" s="228">
        <v>3.12</v>
      </c>
      <c r="DK15" s="228">
        <v>21.2</v>
      </c>
      <c r="DL15" s="228">
        <v>19.440000000000001</v>
      </c>
      <c r="DM15" s="228">
        <v>1.76</v>
      </c>
      <c r="DN15" s="228">
        <v>1.76</v>
      </c>
      <c r="DO15" s="228">
        <v>0.52</v>
      </c>
      <c r="DP15" s="228">
        <v>0.55000000000000004</v>
      </c>
      <c r="DQ15" s="228">
        <v>-0.03</v>
      </c>
      <c r="DR15" s="229">
        <v>-5.45E-2</v>
      </c>
      <c r="DS15" s="231">
        <v>5800</v>
      </c>
      <c r="DT15" s="231">
        <v>5800</v>
      </c>
      <c r="DU15" s="228">
        <v>0.62</v>
      </c>
      <c r="DV15" s="228">
        <v>0.66</v>
      </c>
      <c r="DW15" s="228">
        <v>-0.04</v>
      </c>
      <c r="DX15" s="229">
        <v>-6.0600000000000001E-2</v>
      </c>
      <c r="DY15" s="229">
        <v>0.19320000000000001</v>
      </c>
      <c r="DZ15" s="230">
        <v>501200</v>
      </c>
      <c r="EA15" s="229">
        <v>-8.0000000000000002E-3</v>
      </c>
      <c r="EB15" s="229">
        <v>0.19320000000000001</v>
      </c>
      <c r="EC15" s="228">
        <v>-48.09</v>
      </c>
      <c r="ED15" s="229">
        <v>-8.8000000000000005E-3</v>
      </c>
      <c r="EE15" s="230">
        <v>350100</v>
      </c>
      <c r="EF15" s="230">
        <v>140693</v>
      </c>
      <c r="EG15" s="229">
        <v>1.4883999999999999</v>
      </c>
      <c r="EH15" s="229">
        <v>0.57399999999999995</v>
      </c>
      <c r="EI15" s="231">
        <v>113771.52</v>
      </c>
      <c r="EJ15" s="231">
        <v>68104.47</v>
      </c>
      <c r="EK15" s="231">
        <v>24458.799999999999</v>
      </c>
      <c r="EL15" s="228">
        <v>0</v>
      </c>
      <c r="EM15" s="231">
        <v>206334.79</v>
      </c>
      <c r="EN15" s="231">
        <v>124971.75</v>
      </c>
      <c r="EO15" s="231">
        <v>81363.039999999994</v>
      </c>
      <c r="EP15" s="229">
        <v>0.65110000000000001</v>
      </c>
      <c r="EQ15" s="231">
        <v>110019</v>
      </c>
      <c r="ER15" s="231">
        <v>52437</v>
      </c>
      <c r="ES15" s="231">
        <v>157150</v>
      </c>
      <c r="ET15" s="231">
        <v>27919827</v>
      </c>
      <c r="EU15" s="231">
        <v>319606</v>
      </c>
      <c r="EV15" s="231">
        <v>300109</v>
      </c>
      <c r="EW15" s="231">
        <v>19497</v>
      </c>
      <c r="EX15" s="229">
        <v>6.5000000000000002E-2</v>
      </c>
      <c r="EY15" s="229">
        <v>0.20599999999999999</v>
      </c>
    </row>
    <row r="16" spans="1:155" ht="17.25" thickBot="1" x14ac:dyDescent="0.3">
      <c r="A16" s="226">
        <v>45860</v>
      </c>
      <c r="B16" s="227" t="s">
        <v>616</v>
      </c>
      <c r="C16" s="227" t="s">
        <v>669</v>
      </c>
      <c r="D16" s="228">
        <v>300.75</v>
      </c>
      <c r="E16" s="228">
        <v>271.39999999999998</v>
      </c>
      <c r="F16" s="228">
        <v>29.35</v>
      </c>
      <c r="G16" s="229">
        <v>0.1081</v>
      </c>
      <c r="H16" s="228">
        <v>299.8</v>
      </c>
      <c r="I16" s="228">
        <v>271.7</v>
      </c>
      <c r="J16" s="228">
        <v>28.1</v>
      </c>
      <c r="K16" s="229">
        <v>0.10340000000000001</v>
      </c>
      <c r="L16" s="228">
        <v>300.75</v>
      </c>
      <c r="M16" s="228">
        <v>271.39999999999998</v>
      </c>
      <c r="N16" s="228">
        <v>29.35</v>
      </c>
      <c r="O16" s="229">
        <v>0.1081</v>
      </c>
      <c r="P16" s="228">
        <v>302.14999999999998</v>
      </c>
      <c r="Q16" s="228">
        <v>273.25</v>
      </c>
      <c r="R16" s="228">
        <v>28.9</v>
      </c>
      <c r="S16" s="229">
        <v>0.10580000000000001</v>
      </c>
      <c r="T16" s="228">
        <v>0</v>
      </c>
      <c r="U16" s="228">
        <v>0</v>
      </c>
      <c r="V16" s="228">
        <v>0</v>
      </c>
      <c r="W16" s="229">
        <v>0</v>
      </c>
      <c r="X16" s="228">
        <v>0.95</v>
      </c>
      <c r="Y16" s="228">
        <v>-0.3</v>
      </c>
      <c r="Z16" s="228">
        <v>1.25</v>
      </c>
      <c r="AA16" s="229">
        <v>3.2000000000000002E-3</v>
      </c>
      <c r="AB16" s="228">
        <v>0.95</v>
      </c>
      <c r="AC16" s="228">
        <v>-0.3</v>
      </c>
      <c r="AD16" s="228">
        <v>1.25</v>
      </c>
      <c r="AE16" s="229">
        <v>3.2000000000000002E-3</v>
      </c>
      <c r="AF16" s="228">
        <v>2.35</v>
      </c>
      <c r="AG16" s="228">
        <v>1.55</v>
      </c>
      <c r="AH16" s="228">
        <v>0.8</v>
      </c>
      <c r="AI16" s="229">
        <v>7.7999999999999996E-3</v>
      </c>
      <c r="AJ16" s="228">
        <v>0</v>
      </c>
      <c r="AK16" s="228">
        <v>0</v>
      </c>
      <c r="AL16" s="228">
        <v>0</v>
      </c>
      <c r="AM16" s="229">
        <v>0</v>
      </c>
      <c r="AN16" s="228">
        <v>301.89999999999998</v>
      </c>
      <c r="AO16" s="228">
        <v>302.64999999999998</v>
      </c>
      <c r="AP16" s="228">
        <v>0</v>
      </c>
      <c r="AQ16" s="230">
        <v>80679</v>
      </c>
      <c r="AR16" s="230">
        <v>47640</v>
      </c>
      <c r="AS16" s="230">
        <v>33039</v>
      </c>
      <c r="AT16" s="229">
        <v>0.69350000000000001</v>
      </c>
      <c r="AU16" s="230">
        <v>67644</v>
      </c>
      <c r="AV16" s="230">
        <v>43793</v>
      </c>
      <c r="AW16" s="230">
        <v>23851</v>
      </c>
      <c r="AX16" s="229">
        <v>0.54459999999999997</v>
      </c>
      <c r="AY16" s="230">
        <v>12323</v>
      </c>
      <c r="AZ16" s="230">
        <v>3620</v>
      </c>
      <c r="BA16" s="230">
        <v>8703</v>
      </c>
      <c r="BB16" s="229">
        <v>2.4041000000000001</v>
      </c>
      <c r="BC16" s="228">
        <v>0</v>
      </c>
      <c r="BD16" s="228">
        <v>0</v>
      </c>
      <c r="BE16" s="228">
        <v>0</v>
      </c>
      <c r="BF16" s="229">
        <v>0</v>
      </c>
      <c r="BG16" s="230">
        <v>345102</v>
      </c>
      <c r="BH16" s="230">
        <v>128740</v>
      </c>
      <c r="BI16" s="230">
        <v>216362</v>
      </c>
      <c r="BJ16" s="229">
        <v>1.6806000000000001</v>
      </c>
      <c r="BK16" s="230">
        <v>266253</v>
      </c>
      <c r="BL16" s="230">
        <v>80023</v>
      </c>
      <c r="BM16" s="230">
        <v>186230</v>
      </c>
      <c r="BN16" s="229">
        <v>2.3271999999999999</v>
      </c>
      <c r="BO16" s="230">
        <v>692034</v>
      </c>
      <c r="BP16" s="230">
        <v>256403</v>
      </c>
      <c r="BQ16" s="230">
        <v>435631</v>
      </c>
      <c r="BR16" s="229">
        <v>1.6990000000000001</v>
      </c>
      <c r="BS16" s="230">
        <v>281425522</v>
      </c>
      <c r="BT16" s="230">
        <v>73173228</v>
      </c>
      <c r="BU16" s="230">
        <v>208252294</v>
      </c>
      <c r="BV16" s="229">
        <v>2.8460000000000001</v>
      </c>
      <c r="BW16" s="230">
        <v>185987800</v>
      </c>
      <c r="BX16" s="230">
        <v>164204025</v>
      </c>
      <c r="BY16" s="230">
        <v>21783775</v>
      </c>
      <c r="BZ16" s="229">
        <v>0.13270000000000001</v>
      </c>
      <c r="CA16" s="230">
        <v>172563000</v>
      </c>
      <c r="CB16" s="230">
        <v>156179700</v>
      </c>
      <c r="CC16" s="230">
        <v>16383300</v>
      </c>
      <c r="CD16" s="229">
        <v>0.10489999999999999</v>
      </c>
      <c r="CE16" s="230">
        <v>12568775</v>
      </c>
      <c r="CF16" s="230">
        <v>7500525</v>
      </c>
      <c r="CG16" s="230">
        <v>5068250</v>
      </c>
      <c r="CH16" s="229">
        <v>0.67569999999999997</v>
      </c>
      <c r="CI16" s="228">
        <v>0</v>
      </c>
      <c r="CJ16" s="228">
        <v>0</v>
      </c>
      <c r="CK16" s="228">
        <v>0</v>
      </c>
      <c r="CL16" s="229">
        <v>0</v>
      </c>
      <c r="CM16" s="230">
        <v>92833850</v>
      </c>
      <c r="CN16" s="230">
        <v>65836325</v>
      </c>
      <c r="CO16" s="230">
        <v>26997525</v>
      </c>
      <c r="CP16" s="229">
        <v>0.41010000000000002</v>
      </c>
      <c r="CQ16" s="230">
        <v>98081550</v>
      </c>
      <c r="CR16" s="230">
        <v>52998375</v>
      </c>
      <c r="CS16" s="230">
        <v>45083175</v>
      </c>
      <c r="CT16" s="229">
        <v>0.85070000000000001</v>
      </c>
      <c r="CU16" s="230">
        <v>376903200</v>
      </c>
      <c r="CV16" s="230">
        <v>283038725</v>
      </c>
      <c r="CW16" s="230">
        <v>93864475</v>
      </c>
      <c r="CX16" s="229">
        <v>0.33160000000000001</v>
      </c>
      <c r="CY16" s="228">
        <v>41.13</v>
      </c>
      <c r="CZ16" s="228">
        <v>43.07</v>
      </c>
      <c r="DA16" s="228">
        <v>-1.94</v>
      </c>
      <c r="DB16" s="228">
        <v>-1.94</v>
      </c>
      <c r="DC16" s="228">
        <v>50.72</v>
      </c>
      <c r="DD16" s="228">
        <v>49.07</v>
      </c>
      <c r="DE16" s="228">
        <v>-9.59</v>
      </c>
      <c r="DF16" s="228">
        <v>1.65</v>
      </c>
      <c r="DG16" s="228">
        <v>38.76</v>
      </c>
      <c r="DH16" s="228">
        <v>40.270000000000003</v>
      </c>
      <c r="DI16" s="228">
        <v>-1.51</v>
      </c>
      <c r="DJ16" s="228">
        <v>-1.51</v>
      </c>
      <c r="DK16" s="228">
        <v>44.21</v>
      </c>
      <c r="DL16" s="228">
        <v>47.57</v>
      </c>
      <c r="DM16" s="228">
        <v>-3.36</v>
      </c>
      <c r="DN16" s="228">
        <v>-3.36</v>
      </c>
      <c r="DO16" s="228">
        <v>1.06</v>
      </c>
      <c r="DP16" s="228">
        <v>0.81</v>
      </c>
      <c r="DQ16" s="228">
        <v>0.25</v>
      </c>
      <c r="DR16" s="229">
        <v>0.30859999999999999</v>
      </c>
      <c r="DS16" s="228">
        <v>300</v>
      </c>
      <c r="DT16" s="228">
        <v>300</v>
      </c>
      <c r="DU16" s="228">
        <v>0.77</v>
      </c>
      <c r="DV16" s="228">
        <v>0.62</v>
      </c>
      <c r="DW16" s="228">
        <v>0.15</v>
      </c>
      <c r="DX16" s="229">
        <v>0.2419</v>
      </c>
      <c r="DY16" s="229">
        <v>6.7599999999999993E-2</v>
      </c>
      <c r="DZ16" s="230">
        <v>7500525</v>
      </c>
      <c r="EA16" s="229">
        <v>4.7000000000000002E-3</v>
      </c>
      <c r="EB16" s="229">
        <v>6.7599999999999993E-2</v>
      </c>
      <c r="EC16" s="228">
        <v>0.75</v>
      </c>
      <c r="ED16" s="229">
        <v>2.5000000000000001E-3</v>
      </c>
      <c r="EE16" s="230">
        <v>97582301</v>
      </c>
      <c r="EF16" s="230">
        <v>30289378</v>
      </c>
      <c r="EG16" s="229">
        <v>2.2216999999999998</v>
      </c>
      <c r="EH16" s="229">
        <v>0.34670000000000001</v>
      </c>
      <c r="EI16" s="231">
        <v>2628098.59</v>
      </c>
      <c r="EJ16" s="231">
        <v>1850332.77</v>
      </c>
      <c r="EK16" s="231">
        <v>590913.31999999995</v>
      </c>
      <c r="EL16" s="228">
        <v>0</v>
      </c>
      <c r="EM16" s="231">
        <v>5069344.68</v>
      </c>
      <c r="EN16" s="231">
        <v>1696320.95</v>
      </c>
      <c r="EO16" s="231">
        <v>3373023.73</v>
      </c>
      <c r="EP16" s="229">
        <v>1.9883999999999999</v>
      </c>
      <c r="EQ16" s="231">
        <v>274864</v>
      </c>
      <c r="ER16" s="231">
        <v>267577</v>
      </c>
      <c r="ES16" s="231">
        <v>559556</v>
      </c>
      <c r="ET16" s="231">
        <v>1814577127</v>
      </c>
      <c r="EU16" s="231">
        <v>1101997</v>
      </c>
      <c r="EV16" s="231">
        <v>762410</v>
      </c>
      <c r="EW16" s="231">
        <v>339587</v>
      </c>
      <c r="EX16" s="229">
        <v>0.44540000000000002</v>
      </c>
      <c r="EY16" s="229">
        <v>0.2077</v>
      </c>
    </row>
    <row r="17" spans="1:155" ht="17.25" thickBot="1" x14ac:dyDescent="0.3">
      <c r="A17" s="226">
        <v>45860</v>
      </c>
      <c r="B17" s="227" t="s">
        <v>157</v>
      </c>
      <c r="C17" s="227" t="s">
        <v>219</v>
      </c>
      <c r="D17" s="231">
        <v>2730</v>
      </c>
      <c r="E17" s="231">
        <v>2750.2</v>
      </c>
      <c r="F17" s="228">
        <v>-20.2</v>
      </c>
      <c r="G17" s="229">
        <v>-7.3000000000000001E-3</v>
      </c>
      <c r="H17" s="231">
        <v>2722.7</v>
      </c>
      <c r="I17" s="231">
        <v>2741.9</v>
      </c>
      <c r="J17" s="228">
        <v>-19.2</v>
      </c>
      <c r="K17" s="229">
        <v>-7.0000000000000001E-3</v>
      </c>
      <c r="L17" s="231">
        <v>2730</v>
      </c>
      <c r="M17" s="231">
        <v>2750.2</v>
      </c>
      <c r="N17" s="228">
        <v>-20.2</v>
      </c>
      <c r="O17" s="229">
        <v>-7.3000000000000001E-3</v>
      </c>
      <c r="P17" s="231">
        <v>2733.3</v>
      </c>
      <c r="Q17" s="231">
        <v>2751.5</v>
      </c>
      <c r="R17" s="228">
        <v>-18.2</v>
      </c>
      <c r="S17" s="229">
        <v>-6.6E-3</v>
      </c>
      <c r="T17" s="228">
        <v>0</v>
      </c>
      <c r="U17" s="228">
        <v>0</v>
      </c>
      <c r="V17" s="228">
        <v>0</v>
      </c>
      <c r="W17" s="229">
        <v>0</v>
      </c>
      <c r="X17" s="228">
        <v>7.3</v>
      </c>
      <c r="Y17" s="228">
        <v>8.3000000000000007</v>
      </c>
      <c r="Z17" s="228">
        <v>-1</v>
      </c>
      <c r="AA17" s="229">
        <v>2.7000000000000001E-3</v>
      </c>
      <c r="AB17" s="228">
        <v>7.3</v>
      </c>
      <c r="AC17" s="228">
        <v>8.3000000000000007</v>
      </c>
      <c r="AD17" s="228">
        <v>-1</v>
      </c>
      <c r="AE17" s="229">
        <v>2.7000000000000001E-3</v>
      </c>
      <c r="AF17" s="228">
        <v>10.6</v>
      </c>
      <c r="AG17" s="228">
        <v>9.6</v>
      </c>
      <c r="AH17" s="228">
        <v>1</v>
      </c>
      <c r="AI17" s="229">
        <v>3.8999999999999998E-3</v>
      </c>
      <c r="AJ17" s="228">
        <v>0</v>
      </c>
      <c r="AK17" s="228">
        <v>0</v>
      </c>
      <c r="AL17" s="228">
        <v>0</v>
      </c>
      <c r="AM17" s="229">
        <v>0</v>
      </c>
      <c r="AN17" s="231">
        <v>2738.38</v>
      </c>
      <c r="AO17" s="231">
        <v>2741.66</v>
      </c>
      <c r="AP17" s="228">
        <v>0</v>
      </c>
      <c r="AQ17" s="230">
        <v>3362</v>
      </c>
      <c r="AR17" s="230">
        <v>2403</v>
      </c>
      <c r="AS17" s="228">
        <v>959</v>
      </c>
      <c r="AT17" s="229">
        <v>0.39910000000000001</v>
      </c>
      <c r="AU17" s="230">
        <v>2889</v>
      </c>
      <c r="AV17" s="230">
        <v>1974</v>
      </c>
      <c r="AW17" s="228">
        <v>915</v>
      </c>
      <c r="AX17" s="229">
        <v>0.46350000000000002</v>
      </c>
      <c r="AY17" s="228">
        <v>450</v>
      </c>
      <c r="AZ17" s="228">
        <v>413</v>
      </c>
      <c r="BA17" s="228">
        <v>37</v>
      </c>
      <c r="BB17" s="229">
        <v>8.9599999999999999E-2</v>
      </c>
      <c r="BC17" s="228">
        <v>0</v>
      </c>
      <c r="BD17" s="228">
        <v>0</v>
      </c>
      <c r="BE17" s="228">
        <v>0</v>
      </c>
      <c r="BF17" s="229">
        <v>0</v>
      </c>
      <c r="BG17" s="230">
        <v>6648</v>
      </c>
      <c r="BH17" s="230">
        <v>8664</v>
      </c>
      <c r="BI17" s="230">
        <v>-2016</v>
      </c>
      <c r="BJ17" s="229">
        <v>-0.23269999999999999</v>
      </c>
      <c r="BK17" s="230">
        <v>2528</v>
      </c>
      <c r="BL17" s="230">
        <v>2419</v>
      </c>
      <c r="BM17" s="228">
        <v>109</v>
      </c>
      <c r="BN17" s="229">
        <v>4.5100000000000001E-2</v>
      </c>
      <c r="BO17" s="230">
        <v>12538</v>
      </c>
      <c r="BP17" s="230">
        <v>13486</v>
      </c>
      <c r="BQ17" s="228">
        <v>-948</v>
      </c>
      <c r="BR17" s="229">
        <v>-7.0300000000000001E-2</v>
      </c>
      <c r="BS17" s="230">
        <v>675994</v>
      </c>
      <c r="BT17" s="230">
        <v>695565</v>
      </c>
      <c r="BU17" s="230">
        <v>-19571</v>
      </c>
      <c r="BV17" s="229">
        <v>-2.81E-2</v>
      </c>
      <c r="BW17" s="230">
        <v>12675500</v>
      </c>
      <c r="BX17" s="230">
        <v>12519750</v>
      </c>
      <c r="BY17" s="230">
        <v>155750</v>
      </c>
      <c r="BZ17" s="229">
        <v>1.24E-2</v>
      </c>
      <c r="CA17" s="230">
        <v>11963500</v>
      </c>
      <c r="CB17" s="230">
        <v>11850250</v>
      </c>
      <c r="CC17" s="230">
        <v>113250</v>
      </c>
      <c r="CD17" s="229">
        <v>9.5999999999999992E-3</v>
      </c>
      <c r="CE17" s="230">
        <v>697000</v>
      </c>
      <c r="CF17" s="230">
        <v>658500</v>
      </c>
      <c r="CG17" s="230">
        <v>38500</v>
      </c>
      <c r="CH17" s="229">
        <v>5.8500000000000003E-2</v>
      </c>
      <c r="CI17" s="228">
        <v>0</v>
      </c>
      <c r="CJ17" s="228">
        <v>0</v>
      </c>
      <c r="CK17" s="228">
        <v>0</v>
      </c>
      <c r="CL17" s="229">
        <v>0</v>
      </c>
      <c r="CM17" s="230">
        <v>2389000</v>
      </c>
      <c r="CN17" s="230">
        <v>2317750</v>
      </c>
      <c r="CO17" s="230">
        <v>71250</v>
      </c>
      <c r="CP17" s="229">
        <v>3.0700000000000002E-2</v>
      </c>
      <c r="CQ17" s="230">
        <v>1101750</v>
      </c>
      <c r="CR17" s="230">
        <v>1111500</v>
      </c>
      <c r="CS17" s="230">
        <v>-9750</v>
      </c>
      <c r="CT17" s="229">
        <v>-8.8000000000000005E-3</v>
      </c>
      <c r="CU17" s="230">
        <v>16166250</v>
      </c>
      <c r="CV17" s="230">
        <v>15949000</v>
      </c>
      <c r="CW17" s="230">
        <v>217250</v>
      </c>
      <c r="CX17" s="229">
        <v>1.3599999999999999E-2</v>
      </c>
      <c r="CY17" s="228">
        <v>22.94</v>
      </c>
      <c r="CZ17" s="228">
        <v>22.48</v>
      </c>
      <c r="DA17" s="228">
        <v>0.46</v>
      </c>
      <c r="DB17" s="228">
        <v>0.46</v>
      </c>
      <c r="DC17" s="228">
        <v>27.4</v>
      </c>
      <c r="DD17" s="228">
        <v>27.46</v>
      </c>
      <c r="DE17" s="228">
        <v>-4.46</v>
      </c>
      <c r="DF17" s="228">
        <v>-0.06</v>
      </c>
      <c r="DG17" s="228">
        <v>23.76</v>
      </c>
      <c r="DH17" s="228">
        <v>22.78</v>
      </c>
      <c r="DI17" s="228">
        <v>0.98</v>
      </c>
      <c r="DJ17" s="228">
        <v>0.98</v>
      </c>
      <c r="DK17" s="228">
        <v>20.79</v>
      </c>
      <c r="DL17" s="228">
        <v>21.43</v>
      </c>
      <c r="DM17" s="228">
        <v>-0.64</v>
      </c>
      <c r="DN17" s="228">
        <v>-0.64</v>
      </c>
      <c r="DO17" s="228">
        <v>0.46</v>
      </c>
      <c r="DP17" s="228">
        <v>0.48</v>
      </c>
      <c r="DQ17" s="228">
        <v>-0.02</v>
      </c>
      <c r="DR17" s="229">
        <v>-4.1700000000000001E-2</v>
      </c>
      <c r="DS17" s="231">
        <v>2800</v>
      </c>
      <c r="DT17" s="231">
        <v>2600</v>
      </c>
      <c r="DU17" s="228">
        <v>0.38</v>
      </c>
      <c r="DV17" s="228">
        <v>0.28000000000000003</v>
      </c>
      <c r="DW17" s="228">
        <v>0.1</v>
      </c>
      <c r="DX17" s="229">
        <v>0.35709999999999997</v>
      </c>
      <c r="DY17" s="229">
        <v>5.5E-2</v>
      </c>
      <c r="DZ17" s="230">
        <v>658500</v>
      </c>
      <c r="EA17" s="229">
        <v>1.1999999999999999E-3</v>
      </c>
      <c r="EB17" s="229">
        <v>5.5E-2</v>
      </c>
      <c r="EC17" s="228">
        <v>3.28</v>
      </c>
      <c r="ED17" s="229">
        <v>1.1999999999999999E-3</v>
      </c>
      <c r="EE17" s="230">
        <v>449016</v>
      </c>
      <c r="EF17" s="230">
        <v>476372</v>
      </c>
      <c r="EG17" s="229">
        <v>-5.74E-2</v>
      </c>
      <c r="EH17" s="229">
        <v>0.66420000000000001</v>
      </c>
      <c r="EI17" s="231">
        <v>47170.85</v>
      </c>
      <c r="EJ17" s="231">
        <v>17291.61</v>
      </c>
      <c r="EK17" s="231">
        <v>23021.1</v>
      </c>
      <c r="EL17" s="228">
        <v>0</v>
      </c>
      <c r="EM17" s="231">
        <v>87483.56</v>
      </c>
      <c r="EN17" s="231">
        <v>94479.58</v>
      </c>
      <c r="EO17" s="231">
        <v>-6996.02</v>
      </c>
      <c r="EP17" s="229">
        <v>-7.3999999999999996E-2</v>
      </c>
      <c r="EQ17" s="231">
        <v>69883</v>
      </c>
      <c r="ER17" s="231">
        <v>29825</v>
      </c>
      <c r="ES17" s="231">
        <v>346067</v>
      </c>
      <c r="ET17" s="231">
        <v>77020742</v>
      </c>
      <c r="EU17" s="231">
        <v>445775</v>
      </c>
      <c r="EV17" s="231">
        <v>442388</v>
      </c>
      <c r="EW17" s="231">
        <v>3387</v>
      </c>
      <c r="EX17" s="229">
        <v>7.7000000000000002E-3</v>
      </c>
      <c r="EY17" s="229">
        <v>0.2099</v>
      </c>
    </row>
    <row r="18" spans="1:155" ht="17.25" thickBot="1" x14ac:dyDescent="0.3">
      <c r="A18" s="226">
        <v>45860</v>
      </c>
      <c r="B18" s="227" t="s">
        <v>221</v>
      </c>
      <c r="C18" s="227" t="s">
        <v>222</v>
      </c>
      <c r="D18" s="231">
        <v>1524.9</v>
      </c>
      <c r="E18" s="231">
        <v>1535.6</v>
      </c>
      <c r="F18" s="228">
        <v>-10.7</v>
      </c>
      <c r="G18" s="229">
        <v>-7.0000000000000001E-3</v>
      </c>
      <c r="H18" s="231">
        <v>1520.1</v>
      </c>
      <c r="I18" s="231">
        <v>1530.4</v>
      </c>
      <c r="J18" s="228">
        <v>-10.3</v>
      </c>
      <c r="K18" s="229">
        <v>-6.7000000000000002E-3</v>
      </c>
      <c r="L18" s="231">
        <v>1524.9</v>
      </c>
      <c r="M18" s="231">
        <v>1535.6</v>
      </c>
      <c r="N18" s="228">
        <v>-10.7</v>
      </c>
      <c r="O18" s="229">
        <v>-7.0000000000000001E-3</v>
      </c>
      <c r="P18" s="231">
        <v>1532.1</v>
      </c>
      <c r="Q18" s="231">
        <v>1543.1</v>
      </c>
      <c r="R18" s="228">
        <v>-11</v>
      </c>
      <c r="S18" s="229">
        <v>-7.1000000000000004E-3</v>
      </c>
      <c r="T18" s="228">
        <v>0</v>
      </c>
      <c r="U18" s="228">
        <v>0</v>
      </c>
      <c r="V18" s="228">
        <v>0</v>
      </c>
      <c r="W18" s="229">
        <v>0</v>
      </c>
      <c r="X18" s="228">
        <v>4.8</v>
      </c>
      <c r="Y18" s="228">
        <v>5.2</v>
      </c>
      <c r="Z18" s="228">
        <v>-0.4</v>
      </c>
      <c r="AA18" s="229">
        <v>3.2000000000000002E-3</v>
      </c>
      <c r="AB18" s="228">
        <v>4.8</v>
      </c>
      <c r="AC18" s="228">
        <v>5.2</v>
      </c>
      <c r="AD18" s="228">
        <v>-0.4</v>
      </c>
      <c r="AE18" s="229">
        <v>3.2000000000000002E-3</v>
      </c>
      <c r="AF18" s="228">
        <v>12</v>
      </c>
      <c r="AG18" s="228">
        <v>12.7</v>
      </c>
      <c r="AH18" s="228">
        <v>-0.7</v>
      </c>
      <c r="AI18" s="229">
        <v>7.9000000000000008E-3</v>
      </c>
      <c r="AJ18" s="228">
        <v>0</v>
      </c>
      <c r="AK18" s="228">
        <v>0</v>
      </c>
      <c r="AL18" s="228">
        <v>0</v>
      </c>
      <c r="AM18" s="229">
        <v>0</v>
      </c>
      <c r="AN18" s="231">
        <v>1531.93</v>
      </c>
      <c r="AO18" s="231">
        <v>1538.36</v>
      </c>
      <c r="AP18" s="228">
        <v>0</v>
      </c>
      <c r="AQ18" s="230">
        <v>6403</v>
      </c>
      <c r="AR18" s="230">
        <v>9391</v>
      </c>
      <c r="AS18" s="230">
        <v>-2988</v>
      </c>
      <c r="AT18" s="229">
        <v>-0.31819999999999998</v>
      </c>
      <c r="AU18" s="230">
        <v>4585</v>
      </c>
      <c r="AV18" s="230">
        <v>7216</v>
      </c>
      <c r="AW18" s="230">
        <v>-2631</v>
      </c>
      <c r="AX18" s="229">
        <v>-0.36459999999999998</v>
      </c>
      <c r="AY18" s="230">
        <v>1635</v>
      </c>
      <c r="AZ18" s="230">
        <v>2052</v>
      </c>
      <c r="BA18" s="228">
        <v>-417</v>
      </c>
      <c r="BB18" s="229">
        <v>-0.20319999999999999</v>
      </c>
      <c r="BC18" s="228">
        <v>0</v>
      </c>
      <c r="BD18" s="228">
        <v>0</v>
      </c>
      <c r="BE18" s="228">
        <v>0</v>
      </c>
      <c r="BF18" s="229">
        <v>0</v>
      </c>
      <c r="BG18" s="230">
        <v>32633</v>
      </c>
      <c r="BH18" s="230">
        <v>43509</v>
      </c>
      <c r="BI18" s="230">
        <v>-10876</v>
      </c>
      <c r="BJ18" s="229">
        <v>-0.25</v>
      </c>
      <c r="BK18" s="230">
        <v>11217</v>
      </c>
      <c r="BL18" s="230">
        <v>15187</v>
      </c>
      <c r="BM18" s="230">
        <v>-3970</v>
      </c>
      <c r="BN18" s="229">
        <v>-0.26140000000000002</v>
      </c>
      <c r="BO18" s="230">
        <v>50253</v>
      </c>
      <c r="BP18" s="230">
        <v>68087</v>
      </c>
      <c r="BQ18" s="230">
        <v>-17834</v>
      </c>
      <c r="BR18" s="229">
        <v>-0.26190000000000002</v>
      </c>
      <c r="BS18" s="230">
        <v>3249748</v>
      </c>
      <c r="BT18" s="230">
        <v>3573971</v>
      </c>
      <c r="BU18" s="230">
        <v>-324223</v>
      </c>
      <c r="BV18" s="229">
        <v>-9.0700000000000003E-2</v>
      </c>
      <c r="BW18" s="230">
        <v>19739300</v>
      </c>
      <c r="BX18" s="230">
        <v>19750150</v>
      </c>
      <c r="BY18" s="230">
        <v>-10850</v>
      </c>
      <c r="BZ18" s="229">
        <v>-5.0000000000000001E-4</v>
      </c>
      <c r="CA18" s="230">
        <v>16002000</v>
      </c>
      <c r="CB18" s="230">
        <v>16308250</v>
      </c>
      <c r="CC18" s="230">
        <v>-306250</v>
      </c>
      <c r="CD18" s="229">
        <v>-1.8800000000000001E-2</v>
      </c>
      <c r="CE18" s="230">
        <v>3126900</v>
      </c>
      <c r="CF18" s="230">
        <v>2852500</v>
      </c>
      <c r="CG18" s="230">
        <v>274400</v>
      </c>
      <c r="CH18" s="229">
        <v>9.6199999999999994E-2</v>
      </c>
      <c r="CI18" s="228">
        <v>0</v>
      </c>
      <c r="CJ18" s="228">
        <v>0</v>
      </c>
      <c r="CK18" s="228">
        <v>0</v>
      </c>
      <c r="CL18" s="229">
        <v>0</v>
      </c>
      <c r="CM18" s="230">
        <v>17356150</v>
      </c>
      <c r="CN18" s="230">
        <v>17345650</v>
      </c>
      <c r="CO18" s="230">
        <v>10500</v>
      </c>
      <c r="CP18" s="229">
        <v>5.9999999999999995E-4</v>
      </c>
      <c r="CQ18" s="230">
        <v>6618500</v>
      </c>
      <c r="CR18" s="230">
        <v>6680800</v>
      </c>
      <c r="CS18" s="230">
        <v>-62300</v>
      </c>
      <c r="CT18" s="229">
        <v>-9.2999999999999992E-3</v>
      </c>
      <c r="CU18" s="230">
        <v>43713950</v>
      </c>
      <c r="CV18" s="230">
        <v>43776600</v>
      </c>
      <c r="CW18" s="230">
        <v>-62650</v>
      </c>
      <c r="CX18" s="229">
        <v>-1.4E-3</v>
      </c>
      <c r="CY18" s="228">
        <v>24.26</v>
      </c>
      <c r="CZ18" s="228">
        <v>24.28</v>
      </c>
      <c r="DA18" s="228">
        <v>-0.02</v>
      </c>
      <c r="DB18" s="228">
        <v>-0.02</v>
      </c>
      <c r="DC18" s="228">
        <v>30.78</v>
      </c>
      <c r="DD18" s="228">
        <v>30.84</v>
      </c>
      <c r="DE18" s="228">
        <v>-6.52</v>
      </c>
      <c r="DF18" s="228">
        <v>-0.06</v>
      </c>
      <c r="DG18" s="228">
        <v>24.99</v>
      </c>
      <c r="DH18" s="228">
        <v>24.89</v>
      </c>
      <c r="DI18" s="228">
        <v>0.1</v>
      </c>
      <c r="DJ18" s="228">
        <v>0.1</v>
      </c>
      <c r="DK18" s="228">
        <v>22.14</v>
      </c>
      <c r="DL18" s="228">
        <v>22.53</v>
      </c>
      <c r="DM18" s="228">
        <v>-0.39</v>
      </c>
      <c r="DN18" s="228">
        <v>-0.39</v>
      </c>
      <c r="DO18" s="228">
        <v>0.38</v>
      </c>
      <c r="DP18" s="228">
        <v>0.39</v>
      </c>
      <c r="DQ18" s="228">
        <v>-0.01</v>
      </c>
      <c r="DR18" s="229">
        <v>-2.5600000000000001E-2</v>
      </c>
      <c r="DS18" s="231">
        <v>1600</v>
      </c>
      <c r="DT18" s="231">
        <v>1600</v>
      </c>
      <c r="DU18" s="228">
        <v>0.34</v>
      </c>
      <c r="DV18" s="228">
        <v>0.35</v>
      </c>
      <c r="DW18" s="228">
        <v>-0.01</v>
      </c>
      <c r="DX18" s="229">
        <v>-2.86E-2</v>
      </c>
      <c r="DY18" s="229">
        <v>0.15840000000000001</v>
      </c>
      <c r="DZ18" s="230">
        <v>2852500</v>
      </c>
      <c r="EA18" s="229">
        <v>4.7000000000000002E-3</v>
      </c>
      <c r="EB18" s="229">
        <v>0.15840000000000001</v>
      </c>
      <c r="EC18" s="228">
        <v>6.43</v>
      </c>
      <c r="ED18" s="229">
        <v>4.1999999999999997E-3</v>
      </c>
      <c r="EE18" s="230">
        <v>2586751</v>
      </c>
      <c r="EF18" s="230">
        <v>2542136</v>
      </c>
      <c r="EG18" s="229">
        <v>1.7600000000000001E-2</v>
      </c>
      <c r="EH18" s="229">
        <v>0.79600000000000004</v>
      </c>
      <c r="EI18" s="231">
        <v>183203.48</v>
      </c>
      <c r="EJ18" s="231">
        <v>60020.5</v>
      </c>
      <c r="EK18" s="231">
        <v>34378.51</v>
      </c>
      <c r="EL18" s="228">
        <v>0</v>
      </c>
      <c r="EM18" s="231">
        <v>277602.49</v>
      </c>
      <c r="EN18" s="231">
        <v>378300.55</v>
      </c>
      <c r="EO18" s="231">
        <v>-100698.06</v>
      </c>
      <c r="EP18" s="229">
        <v>-0.26619999999999999</v>
      </c>
      <c r="EQ18" s="231">
        <v>292855</v>
      </c>
      <c r="ER18" s="231">
        <v>103023</v>
      </c>
      <c r="ES18" s="231">
        <v>301329</v>
      </c>
      <c r="ET18" s="231">
        <v>211721976</v>
      </c>
      <c r="EU18" s="231">
        <v>697208</v>
      </c>
      <c r="EV18" s="231">
        <v>701000</v>
      </c>
      <c r="EW18" s="231">
        <v>-3792</v>
      </c>
      <c r="EX18" s="229">
        <v>-5.4000000000000003E-3</v>
      </c>
      <c r="EY18" s="229">
        <v>0.20649999999999999</v>
      </c>
    </row>
    <row r="19" spans="1:155" ht="17.25" thickBot="1" x14ac:dyDescent="0.3">
      <c r="A19" s="226">
        <v>45860</v>
      </c>
      <c r="B19" s="227" t="s">
        <v>172</v>
      </c>
      <c r="C19" s="227" t="s">
        <v>224</v>
      </c>
      <c r="D19" s="231">
        <v>2004</v>
      </c>
      <c r="E19" s="231">
        <v>1997.3</v>
      </c>
      <c r="F19" s="228">
        <v>6.7</v>
      </c>
      <c r="G19" s="229">
        <v>3.3999999999999998E-3</v>
      </c>
      <c r="H19" s="231">
        <v>2007.1</v>
      </c>
      <c r="I19" s="231">
        <v>2000.5</v>
      </c>
      <c r="J19" s="228">
        <v>6.6</v>
      </c>
      <c r="K19" s="229">
        <v>3.3E-3</v>
      </c>
      <c r="L19" s="231">
        <v>2004</v>
      </c>
      <c r="M19" s="231">
        <v>1997.3</v>
      </c>
      <c r="N19" s="228">
        <v>6.7</v>
      </c>
      <c r="O19" s="229">
        <v>3.3999999999999998E-3</v>
      </c>
      <c r="P19" s="231">
        <v>2014.3</v>
      </c>
      <c r="Q19" s="231">
        <v>2007.2</v>
      </c>
      <c r="R19" s="228">
        <v>7.1</v>
      </c>
      <c r="S19" s="229">
        <v>3.5000000000000001E-3</v>
      </c>
      <c r="T19" s="228">
        <v>0</v>
      </c>
      <c r="U19" s="228">
        <v>0</v>
      </c>
      <c r="V19" s="228">
        <v>0</v>
      </c>
      <c r="W19" s="229">
        <v>0</v>
      </c>
      <c r="X19" s="228">
        <v>-3.1</v>
      </c>
      <c r="Y19" s="228">
        <v>-3.2</v>
      </c>
      <c r="Z19" s="228">
        <v>0.1</v>
      </c>
      <c r="AA19" s="229">
        <v>-1.5E-3</v>
      </c>
      <c r="AB19" s="228">
        <v>-3.1</v>
      </c>
      <c r="AC19" s="228">
        <v>-3.2</v>
      </c>
      <c r="AD19" s="228">
        <v>0.1</v>
      </c>
      <c r="AE19" s="229">
        <v>-1.5E-3</v>
      </c>
      <c r="AF19" s="228">
        <v>7.2</v>
      </c>
      <c r="AG19" s="228">
        <v>6.7</v>
      </c>
      <c r="AH19" s="228">
        <v>0.5</v>
      </c>
      <c r="AI19" s="229">
        <v>3.5999999999999999E-3</v>
      </c>
      <c r="AJ19" s="228">
        <v>0</v>
      </c>
      <c r="AK19" s="228">
        <v>0</v>
      </c>
      <c r="AL19" s="228">
        <v>0</v>
      </c>
      <c r="AM19" s="229">
        <v>0</v>
      </c>
      <c r="AN19" s="231">
        <v>2005.94</v>
      </c>
      <c r="AO19" s="231">
        <v>2016.88</v>
      </c>
      <c r="AP19" s="228">
        <v>0</v>
      </c>
      <c r="AQ19" s="230">
        <v>20946</v>
      </c>
      <c r="AR19" s="230">
        <v>47555</v>
      </c>
      <c r="AS19" s="230">
        <v>-26609</v>
      </c>
      <c r="AT19" s="229">
        <v>-0.5595</v>
      </c>
      <c r="AU19" s="230">
        <v>17308</v>
      </c>
      <c r="AV19" s="230">
        <v>37612</v>
      </c>
      <c r="AW19" s="230">
        <v>-20304</v>
      </c>
      <c r="AX19" s="229">
        <v>-0.53979999999999995</v>
      </c>
      <c r="AY19" s="230">
        <v>3375</v>
      </c>
      <c r="AZ19" s="230">
        <v>9522</v>
      </c>
      <c r="BA19" s="230">
        <v>-6147</v>
      </c>
      <c r="BB19" s="229">
        <v>-0.64559999999999995</v>
      </c>
      <c r="BC19" s="228">
        <v>0</v>
      </c>
      <c r="BD19" s="228">
        <v>0</v>
      </c>
      <c r="BE19" s="228">
        <v>0</v>
      </c>
      <c r="BF19" s="229">
        <v>0</v>
      </c>
      <c r="BG19" s="230">
        <v>101891</v>
      </c>
      <c r="BH19" s="230">
        <v>234918</v>
      </c>
      <c r="BI19" s="230">
        <v>-133027</v>
      </c>
      <c r="BJ19" s="229">
        <v>-0.56630000000000003</v>
      </c>
      <c r="BK19" s="230">
        <v>69916</v>
      </c>
      <c r="BL19" s="230">
        <v>178391</v>
      </c>
      <c r="BM19" s="230">
        <v>-108475</v>
      </c>
      <c r="BN19" s="229">
        <v>-0.60809999999999997</v>
      </c>
      <c r="BO19" s="230">
        <v>192753</v>
      </c>
      <c r="BP19" s="230">
        <v>460864</v>
      </c>
      <c r="BQ19" s="230">
        <v>-268111</v>
      </c>
      <c r="BR19" s="229">
        <v>-0.58179999999999998</v>
      </c>
      <c r="BS19" s="230">
        <v>9373344</v>
      </c>
      <c r="BT19" s="230">
        <v>12276743</v>
      </c>
      <c r="BU19" s="230">
        <v>-2903399</v>
      </c>
      <c r="BV19" s="229">
        <v>-0.23649999999999999</v>
      </c>
      <c r="BW19" s="230">
        <v>104651250</v>
      </c>
      <c r="BX19" s="230">
        <v>106156600</v>
      </c>
      <c r="BY19" s="230">
        <v>-1505350</v>
      </c>
      <c r="BZ19" s="229">
        <v>-1.4200000000000001E-2</v>
      </c>
      <c r="CA19" s="230">
        <v>85634450</v>
      </c>
      <c r="CB19" s="230">
        <v>87952700</v>
      </c>
      <c r="CC19" s="230">
        <v>-2318250</v>
      </c>
      <c r="CD19" s="229">
        <v>-2.64E-2</v>
      </c>
      <c r="CE19" s="230">
        <v>18617500</v>
      </c>
      <c r="CF19" s="230">
        <v>17850800</v>
      </c>
      <c r="CG19" s="230">
        <v>766700</v>
      </c>
      <c r="CH19" s="229">
        <v>4.2999999999999997E-2</v>
      </c>
      <c r="CI19" s="228">
        <v>0</v>
      </c>
      <c r="CJ19" s="228">
        <v>0</v>
      </c>
      <c r="CK19" s="228">
        <v>0</v>
      </c>
      <c r="CL19" s="229">
        <v>0</v>
      </c>
      <c r="CM19" s="230">
        <v>36168000</v>
      </c>
      <c r="CN19" s="230">
        <v>38074850</v>
      </c>
      <c r="CO19" s="230">
        <v>-1906850</v>
      </c>
      <c r="CP19" s="229">
        <v>-5.0099999999999999E-2</v>
      </c>
      <c r="CQ19" s="230">
        <v>21409300</v>
      </c>
      <c r="CR19" s="230">
        <v>20879650</v>
      </c>
      <c r="CS19" s="230">
        <v>529650</v>
      </c>
      <c r="CT19" s="229">
        <v>2.5399999999999999E-2</v>
      </c>
      <c r="CU19" s="230">
        <v>162228550</v>
      </c>
      <c r="CV19" s="230">
        <v>165111100</v>
      </c>
      <c r="CW19" s="230">
        <v>-2882550</v>
      </c>
      <c r="CX19" s="229">
        <v>-1.7500000000000002E-2</v>
      </c>
      <c r="CY19" s="228">
        <v>14.52</v>
      </c>
      <c r="CZ19" s="228">
        <v>16.8</v>
      </c>
      <c r="DA19" s="228">
        <v>-2.2799999999999998</v>
      </c>
      <c r="DB19" s="228">
        <v>-2.2799999999999998</v>
      </c>
      <c r="DC19" s="228">
        <v>23.35</v>
      </c>
      <c r="DD19" s="228">
        <v>23.4</v>
      </c>
      <c r="DE19" s="228">
        <v>-8.83</v>
      </c>
      <c r="DF19" s="228">
        <v>-0.05</v>
      </c>
      <c r="DG19" s="228">
        <v>13.48</v>
      </c>
      <c r="DH19" s="228">
        <v>15.48</v>
      </c>
      <c r="DI19" s="228">
        <v>-2</v>
      </c>
      <c r="DJ19" s="228">
        <v>-2</v>
      </c>
      <c r="DK19" s="228">
        <v>16.02</v>
      </c>
      <c r="DL19" s="228">
        <v>18.54</v>
      </c>
      <c r="DM19" s="228">
        <v>-2.52</v>
      </c>
      <c r="DN19" s="228">
        <v>-2.52</v>
      </c>
      <c r="DO19" s="228">
        <v>0.59</v>
      </c>
      <c r="DP19" s="228">
        <v>0.55000000000000004</v>
      </c>
      <c r="DQ19" s="228">
        <v>0.04</v>
      </c>
      <c r="DR19" s="229">
        <v>7.2700000000000001E-2</v>
      </c>
      <c r="DS19" s="231">
        <v>2020</v>
      </c>
      <c r="DT19" s="231">
        <v>2000</v>
      </c>
      <c r="DU19" s="228">
        <v>0.69</v>
      </c>
      <c r="DV19" s="228">
        <v>0.76</v>
      </c>
      <c r="DW19" s="228">
        <v>-7.0000000000000007E-2</v>
      </c>
      <c r="DX19" s="229">
        <v>-9.2100000000000001E-2</v>
      </c>
      <c r="DY19" s="229">
        <v>0.1779</v>
      </c>
      <c r="DZ19" s="230">
        <v>17850800</v>
      </c>
      <c r="EA19" s="229">
        <v>5.1000000000000004E-3</v>
      </c>
      <c r="EB19" s="229">
        <v>0.1779</v>
      </c>
      <c r="EC19" s="228">
        <v>10.94</v>
      </c>
      <c r="ED19" s="229">
        <v>5.4999999999999997E-3</v>
      </c>
      <c r="EE19" s="230">
        <v>5956545</v>
      </c>
      <c r="EF19" s="230">
        <v>6891624</v>
      </c>
      <c r="EG19" s="229">
        <v>-0.13569999999999999</v>
      </c>
      <c r="EH19" s="229">
        <v>0.63549999999999995</v>
      </c>
      <c r="EI19" s="231">
        <v>1146576.95</v>
      </c>
      <c r="EJ19" s="231">
        <v>762010.02</v>
      </c>
      <c r="EK19" s="231">
        <v>231326.38</v>
      </c>
      <c r="EL19" s="228">
        <v>0</v>
      </c>
      <c r="EM19" s="231">
        <v>2139913.35</v>
      </c>
      <c r="EN19" s="231">
        <v>5072906.21</v>
      </c>
      <c r="EO19" s="231">
        <v>-2932992.86</v>
      </c>
      <c r="EP19" s="229">
        <v>-0.57820000000000005</v>
      </c>
      <c r="EQ19" s="231">
        <v>741597</v>
      </c>
      <c r="ER19" s="231">
        <v>413409</v>
      </c>
      <c r="ES19" s="231">
        <v>2099214</v>
      </c>
      <c r="ET19" s="231">
        <v>1324758679</v>
      </c>
      <c r="EU19" s="231">
        <v>3254220</v>
      </c>
      <c r="EV19" s="231">
        <v>3304066</v>
      </c>
      <c r="EW19" s="231">
        <v>-49846</v>
      </c>
      <c r="EX19" s="229">
        <v>-1.5100000000000001E-2</v>
      </c>
      <c r="EY19" s="229">
        <v>0.1225</v>
      </c>
    </row>
    <row r="20" spans="1:155" ht="17.25" thickBot="1" x14ac:dyDescent="0.3">
      <c r="A20" s="226">
        <v>45860</v>
      </c>
      <c r="B20" s="227" t="s">
        <v>175</v>
      </c>
      <c r="C20" s="227" t="s">
        <v>225</v>
      </c>
      <c r="D20" s="228">
        <v>763.8</v>
      </c>
      <c r="E20" s="228">
        <v>752.95</v>
      </c>
      <c r="F20" s="228">
        <v>10.85</v>
      </c>
      <c r="G20" s="229">
        <v>1.44E-2</v>
      </c>
      <c r="H20" s="228">
        <v>763.3</v>
      </c>
      <c r="I20" s="228">
        <v>752.3</v>
      </c>
      <c r="J20" s="228">
        <v>11</v>
      </c>
      <c r="K20" s="229">
        <v>1.46E-2</v>
      </c>
      <c r="L20" s="228">
        <v>763.8</v>
      </c>
      <c r="M20" s="228">
        <v>752.95</v>
      </c>
      <c r="N20" s="228">
        <v>10.85</v>
      </c>
      <c r="O20" s="229">
        <v>1.44E-2</v>
      </c>
      <c r="P20" s="228">
        <v>767.9</v>
      </c>
      <c r="Q20" s="228">
        <v>756.9</v>
      </c>
      <c r="R20" s="228">
        <v>11</v>
      </c>
      <c r="S20" s="229">
        <v>1.4500000000000001E-2</v>
      </c>
      <c r="T20" s="228">
        <v>0</v>
      </c>
      <c r="U20" s="228">
        <v>0</v>
      </c>
      <c r="V20" s="228">
        <v>0</v>
      </c>
      <c r="W20" s="229">
        <v>0</v>
      </c>
      <c r="X20" s="228">
        <v>0.5</v>
      </c>
      <c r="Y20" s="228">
        <v>0.65</v>
      </c>
      <c r="Z20" s="228">
        <v>-0.15</v>
      </c>
      <c r="AA20" s="229">
        <v>6.9999999999999999E-4</v>
      </c>
      <c r="AB20" s="228">
        <v>0.5</v>
      </c>
      <c r="AC20" s="228">
        <v>0.65</v>
      </c>
      <c r="AD20" s="228">
        <v>-0.15</v>
      </c>
      <c r="AE20" s="229">
        <v>6.9999999999999999E-4</v>
      </c>
      <c r="AF20" s="228">
        <v>4.5999999999999996</v>
      </c>
      <c r="AG20" s="228">
        <v>4.5999999999999996</v>
      </c>
      <c r="AH20" s="228">
        <v>0</v>
      </c>
      <c r="AI20" s="229">
        <v>6.0000000000000001E-3</v>
      </c>
      <c r="AJ20" s="228">
        <v>0</v>
      </c>
      <c r="AK20" s="228">
        <v>0</v>
      </c>
      <c r="AL20" s="228">
        <v>0</v>
      </c>
      <c r="AM20" s="229">
        <v>0</v>
      </c>
      <c r="AN20" s="228">
        <v>761.44</v>
      </c>
      <c r="AO20" s="228">
        <v>764.45</v>
      </c>
      <c r="AP20" s="228">
        <v>0</v>
      </c>
      <c r="AQ20" s="230">
        <v>7239</v>
      </c>
      <c r="AR20" s="230">
        <v>3909</v>
      </c>
      <c r="AS20" s="230">
        <v>3330</v>
      </c>
      <c r="AT20" s="229">
        <v>0.85189999999999999</v>
      </c>
      <c r="AU20" s="230">
        <v>6019</v>
      </c>
      <c r="AV20" s="230">
        <v>3266</v>
      </c>
      <c r="AW20" s="230">
        <v>2753</v>
      </c>
      <c r="AX20" s="229">
        <v>0.84289999999999998</v>
      </c>
      <c r="AY20" s="230">
        <v>1169</v>
      </c>
      <c r="AZ20" s="228">
        <v>615</v>
      </c>
      <c r="BA20" s="228">
        <v>554</v>
      </c>
      <c r="BB20" s="229">
        <v>0.90080000000000005</v>
      </c>
      <c r="BC20" s="228">
        <v>0</v>
      </c>
      <c r="BD20" s="228">
        <v>0</v>
      </c>
      <c r="BE20" s="228">
        <v>0</v>
      </c>
      <c r="BF20" s="229">
        <v>0</v>
      </c>
      <c r="BG20" s="230">
        <v>36362</v>
      </c>
      <c r="BH20" s="230">
        <v>16485</v>
      </c>
      <c r="BI20" s="230">
        <v>19877</v>
      </c>
      <c r="BJ20" s="229">
        <v>1.2058</v>
      </c>
      <c r="BK20" s="230">
        <v>13923</v>
      </c>
      <c r="BL20" s="230">
        <v>7011</v>
      </c>
      <c r="BM20" s="230">
        <v>6912</v>
      </c>
      <c r="BN20" s="229">
        <v>0.9859</v>
      </c>
      <c r="BO20" s="230">
        <v>57524</v>
      </c>
      <c r="BP20" s="230">
        <v>27405</v>
      </c>
      <c r="BQ20" s="230">
        <v>30119</v>
      </c>
      <c r="BR20" s="229">
        <v>1.099</v>
      </c>
      <c r="BS20" s="230">
        <v>4450466</v>
      </c>
      <c r="BT20" s="230">
        <v>2093401</v>
      </c>
      <c r="BU20" s="230">
        <v>2357065</v>
      </c>
      <c r="BV20" s="229">
        <v>1.1259999999999999</v>
      </c>
      <c r="BW20" s="230">
        <v>29080700</v>
      </c>
      <c r="BX20" s="230">
        <v>29610900</v>
      </c>
      <c r="BY20" s="230">
        <v>-530200</v>
      </c>
      <c r="BZ20" s="229">
        <v>-1.7899999999999999E-2</v>
      </c>
      <c r="CA20" s="230">
        <v>26248200</v>
      </c>
      <c r="CB20" s="230">
        <v>27109500</v>
      </c>
      <c r="CC20" s="230">
        <v>-861300</v>
      </c>
      <c r="CD20" s="229">
        <v>-3.1800000000000002E-2</v>
      </c>
      <c r="CE20" s="230">
        <v>2691700</v>
      </c>
      <c r="CF20" s="230">
        <v>2340800</v>
      </c>
      <c r="CG20" s="230">
        <v>350900</v>
      </c>
      <c r="CH20" s="229">
        <v>0.14990000000000001</v>
      </c>
      <c r="CI20" s="228">
        <v>0</v>
      </c>
      <c r="CJ20" s="228">
        <v>0</v>
      </c>
      <c r="CK20" s="228">
        <v>0</v>
      </c>
      <c r="CL20" s="229">
        <v>0</v>
      </c>
      <c r="CM20" s="230">
        <v>20573300</v>
      </c>
      <c r="CN20" s="230">
        <v>23625800</v>
      </c>
      <c r="CO20" s="230">
        <v>-3052500</v>
      </c>
      <c r="CP20" s="229">
        <v>-0.12920000000000001</v>
      </c>
      <c r="CQ20" s="230">
        <v>10430200</v>
      </c>
      <c r="CR20" s="230">
        <v>11085800</v>
      </c>
      <c r="CS20" s="230">
        <v>-655600</v>
      </c>
      <c r="CT20" s="229">
        <v>-5.91E-2</v>
      </c>
      <c r="CU20" s="230">
        <v>60084200</v>
      </c>
      <c r="CV20" s="230">
        <v>64322500</v>
      </c>
      <c r="CW20" s="230">
        <v>-4238300</v>
      </c>
      <c r="CX20" s="229">
        <v>-6.59E-2</v>
      </c>
      <c r="CY20" s="228">
        <v>21.52</v>
      </c>
      <c r="CZ20" s="228">
        <v>22.86</v>
      </c>
      <c r="DA20" s="228">
        <v>-1.34</v>
      </c>
      <c r="DB20" s="228">
        <v>-1.34</v>
      </c>
      <c r="DC20" s="228">
        <v>27.93</v>
      </c>
      <c r="DD20" s="228">
        <v>27.93</v>
      </c>
      <c r="DE20" s="228">
        <v>-6.41</v>
      </c>
      <c r="DF20" s="228">
        <v>0</v>
      </c>
      <c r="DG20" s="228">
        <v>21.45</v>
      </c>
      <c r="DH20" s="228">
        <v>23.14</v>
      </c>
      <c r="DI20" s="228">
        <v>-1.69</v>
      </c>
      <c r="DJ20" s="228">
        <v>-1.69</v>
      </c>
      <c r="DK20" s="228">
        <v>21.71</v>
      </c>
      <c r="DL20" s="228">
        <v>22.2</v>
      </c>
      <c r="DM20" s="228">
        <v>-0.49</v>
      </c>
      <c r="DN20" s="228">
        <v>-0.49</v>
      </c>
      <c r="DO20" s="228">
        <v>0.51</v>
      </c>
      <c r="DP20" s="228">
        <v>0.47</v>
      </c>
      <c r="DQ20" s="228">
        <v>0.04</v>
      </c>
      <c r="DR20" s="229">
        <v>8.5099999999999995E-2</v>
      </c>
      <c r="DS20" s="228">
        <v>820</v>
      </c>
      <c r="DT20" s="228">
        <v>740</v>
      </c>
      <c r="DU20" s="228">
        <v>0.38</v>
      </c>
      <c r="DV20" s="228">
        <v>0.43</v>
      </c>
      <c r="DW20" s="228">
        <v>-0.05</v>
      </c>
      <c r="DX20" s="229">
        <v>-0.1163</v>
      </c>
      <c r="DY20" s="229">
        <v>9.2600000000000002E-2</v>
      </c>
      <c r="DZ20" s="230">
        <v>2340800</v>
      </c>
      <c r="EA20" s="229">
        <v>5.4000000000000003E-3</v>
      </c>
      <c r="EB20" s="229">
        <v>9.2600000000000002E-2</v>
      </c>
      <c r="EC20" s="228">
        <v>3.01</v>
      </c>
      <c r="ED20" s="229">
        <v>4.0000000000000001E-3</v>
      </c>
      <c r="EE20" s="230">
        <v>2559832</v>
      </c>
      <c r="EF20" s="230">
        <v>1284008</v>
      </c>
      <c r="EG20" s="229">
        <v>0.99360000000000004</v>
      </c>
      <c r="EH20" s="229">
        <v>0.57520000000000004</v>
      </c>
      <c r="EI20" s="231">
        <v>312133.63</v>
      </c>
      <c r="EJ20" s="231">
        <v>114819.44</v>
      </c>
      <c r="EK20" s="231">
        <v>60677.19</v>
      </c>
      <c r="EL20" s="228">
        <v>0</v>
      </c>
      <c r="EM20" s="231">
        <v>487630.26</v>
      </c>
      <c r="EN20" s="231">
        <v>230448.01</v>
      </c>
      <c r="EO20" s="231">
        <v>257182.25</v>
      </c>
      <c r="EP20" s="229">
        <v>1.1160000000000001</v>
      </c>
      <c r="EQ20" s="231">
        <v>166652</v>
      </c>
      <c r="ER20" s="231">
        <v>77314</v>
      </c>
      <c r="ES20" s="231">
        <v>222240</v>
      </c>
      <c r="ET20" s="231">
        <v>213821216</v>
      </c>
      <c r="EU20" s="231">
        <v>466205</v>
      </c>
      <c r="EV20" s="231">
        <v>495215</v>
      </c>
      <c r="EW20" s="231">
        <v>-29010</v>
      </c>
      <c r="EX20" s="229">
        <v>-5.8599999999999999E-2</v>
      </c>
      <c r="EY20" s="229">
        <v>0.28100000000000003</v>
      </c>
    </row>
    <row r="21" spans="1:155" ht="17.25" thickBot="1" x14ac:dyDescent="0.3">
      <c r="A21" s="226">
        <v>45860</v>
      </c>
      <c r="B21" s="227" t="s">
        <v>162</v>
      </c>
      <c r="C21" s="227" t="s">
        <v>226</v>
      </c>
      <c r="D21" s="231">
        <v>4262.8</v>
      </c>
      <c r="E21" s="231">
        <v>4342.2</v>
      </c>
      <c r="F21" s="228">
        <v>-79.400000000000006</v>
      </c>
      <c r="G21" s="229">
        <v>-1.83E-2</v>
      </c>
      <c r="H21" s="231">
        <v>4342.3999999999996</v>
      </c>
      <c r="I21" s="231">
        <v>4408.2</v>
      </c>
      <c r="J21" s="228">
        <v>-65.8</v>
      </c>
      <c r="K21" s="229">
        <v>-1.49E-2</v>
      </c>
      <c r="L21" s="231">
        <v>4262.8</v>
      </c>
      <c r="M21" s="231">
        <v>4342.2</v>
      </c>
      <c r="N21" s="228">
        <v>-79.400000000000006</v>
      </c>
      <c r="O21" s="229">
        <v>-1.83E-2</v>
      </c>
      <c r="P21" s="231">
        <v>4271.2</v>
      </c>
      <c r="Q21" s="231">
        <v>4352.8</v>
      </c>
      <c r="R21" s="228">
        <v>-81.599999999999994</v>
      </c>
      <c r="S21" s="229">
        <v>-1.8700000000000001E-2</v>
      </c>
      <c r="T21" s="228">
        <v>0</v>
      </c>
      <c r="U21" s="228">
        <v>0</v>
      </c>
      <c r="V21" s="228">
        <v>0</v>
      </c>
      <c r="W21" s="229">
        <v>0</v>
      </c>
      <c r="X21" s="228">
        <v>-79.599999999999994</v>
      </c>
      <c r="Y21" s="228">
        <v>-66</v>
      </c>
      <c r="Z21" s="228">
        <v>-13.6</v>
      </c>
      <c r="AA21" s="229">
        <v>-1.83E-2</v>
      </c>
      <c r="AB21" s="228">
        <v>-79.599999999999994</v>
      </c>
      <c r="AC21" s="228">
        <v>-66</v>
      </c>
      <c r="AD21" s="228">
        <v>-13.6</v>
      </c>
      <c r="AE21" s="229">
        <v>-1.83E-2</v>
      </c>
      <c r="AF21" s="228">
        <v>-71.2</v>
      </c>
      <c r="AG21" s="228">
        <v>-55.4</v>
      </c>
      <c r="AH21" s="228">
        <v>-15.8</v>
      </c>
      <c r="AI21" s="229">
        <v>-1.6400000000000001E-2</v>
      </c>
      <c r="AJ21" s="228">
        <v>0</v>
      </c>
      <c r="AK21" s="228">
        <v>0</v>
      </c>
      <c r="AL21" s="228">
        <v>0</v>
      </c>
      <c r="AM21" s="229">
        <v>0</v>
      </c>
      <c r="AN21" s="231">
        <v>4292.9799999999996</v>
      </c>
      <c r="AO21" s="231">
        <v>4306.8100000000004</v>
      </c>
      <c r="AP21" s="228">
        <v>0</v>
      </c>
      <c r="AQ21" s="230">
        <v>7459</v>
      </c>
      <c r="AR21" s="230">
        <v>4427</v>
      </c>
      <c r="AS21" s="230">
        <v>3032</v>
      </c>
      <c r="AT21" s="229">
        <v>0.68489999999999995</v>
      </c>
      <c r="AU21" s="230">
        <v>5470</v>
      </c>
      <c r="AV21" s="230">
        <v>3657</v>
      </c>
      <c r="AW21" s="230">
        <v>1813</v>
      </c>
      <c r="AX21" s="229">
        <v>0.49580000000000002</v>
      </c>
      <c r="AY21" s="230">
        <v>1877</v>
      </c>
      <c r="AZ21" s="228">
        <v>734</v>
      </c>
      <c r="BA21" s="230">
        <v>1143</v>
      </c>
      <c r="BB21" s="229">
        <v>1.5571999999999999</v>
      </c>
      <c r="BC21" s="228">
        <v>0</v>
      </c>
      <c r="BD21" s="228">
        <v>0</v>
      </c>
      <c r="BE21" s="228">
        <v>0</v>
      </c>
      <c r="BF21" s="229">
        <v>0</v>
      </c>
      <c r="BG21" s="230">
        <v>40940</v>
      </c>
      <c r="BH21" s="230">
        <v>31636</v>
      </c>
      <c r="BI21" s="230">
        <v>9304</v>
      </c>
      <c r="BJ21" s="229">
        <v>0.29409999999999997</v>
      </c>
      <c r="BK21" s="230">
        <v>15020</v>
      </c>
      <c r="BL21" s="230">
        <v>11322</v>
      </c>
      <c r="BM21" s="230">
        <v>3698</v>
      </c>
      <c r="BN21" s="229">
        <v>0.3266</v>
      </c>
      <c r="BO21" s="230">
        <v>63419</v>
      </c>
      <c r="BP21" s="230">
        <v>47385</v>
      </c>
      <c r="BQ21" s="230">
        <v>16034</v>
      </c>
      <c r="BR21" s="229">
        <v>0.33839999999999998</v>
      </c>
      <c r="BS21" s="230">
        <v>486927</v>
      </c>
      <c r="BT21" s="230">
        <v>286730</v>
      </c>
      <c r="BU21" s="230">
        <v>200197</v>
      </c>
      <c r="BV21" s="229">
        <v>0.69820000000000004</v>
      </c>
      <c r="BW21" s="230">
        <v>6679500</v>
      </c>
      <c r="BX21" s="230">
        <v>6345600</v>
      </c>
      <c r="BY21" s="230">
        <v>333900</v>
      </c>
      <c r="BZ21" s="229">
        <v>5.2600000000000001E-2</v>
      </c>
      <c r="CA21" s="230">
        <v>5990700</v>
      </c>
      <c r="CB21" s="230">
        <v>5821950</v>
      </c>
      <c r="CC21" s="230">
        <v>168750</v>
      </c>
      <c r="CD21" s="229">
        <v>2.9000000000000001E-2</v>
      </c>
      <c r="CE21" s="230">
        <v>654450</v>
      </c>
      <c r="CF21" s="230">
        <v>496500</v>
      </c>
      <c r="CG21" s="230">
        <v>157950</v>
      </c>
      <c r="CH21" s="229">
        <v>0.31809999999999999</v>
      </c>
      <c r="CI21" s="228">
        <v>0</v>
      </c>
      <c r="CJ21" s="228">
        <v>0</v>
      </c>
      <c r="CK21" s="228">
        <v>0</v>
      </c>
      <c r="CL21" s="229">
        <v>0</v>
      </c>
      <c r="CM21" s="230">
        <v>4189350</v>
      </c>
      <c r="CN21" s="230">
        <v>3889200</v>
      </c>
      <c r="CO21" s="230">
        <v>300150</v>
      </c>
      <c r="CP21" s="229">
        <v>7.7200000000000005E-2</v>
      </c>
      <c r="CQ21" s="230">
        <v>2267100</v>
      </c>
      <c r="CR21" s="230">
        <v>2274900</v>
      </c>
      <c r="CS21" s="230">
        <v>-7800</v>
      </c>
      <c r="CT21" s="229">
        <v>-3.3999999999999998E-3</v>
      </c>
      <c r="CU21" s="230">
        <v>13135950</v>
      </c>
      <c r="CV21" s="230">
        <v>12509700</v>
      </c>
      <c r="CW21" s="230">
        <v>626250</v>
      </c>
      <c r="CX21" s="229">
        <v>5.0099999999999999E-2</v>
      </c>
      <c r="CY21" s="228">
        <v>27.36</v>
      </c>
      <c r="CZ21" s="228">
        <v>26.62</v>
      </c>
      <c r="DA21" s="228">
        <v>0.74</v>
      </c>
      <c r="DB21" s="228">
        <v>0.74</v>
      </c>
      <c r="DC21" s="228">
        <v>30.64</v>
      </c>
      <c r="DD21" s="228">
        <v>30.65</v>
      </c>
      <c r="DE21" s="228">
        <v>-3.28</v>
      </c>
      <c r="DF21" s="228">
        <v>-0.01</v>
      </c>
      <c r="DG21" s="228">
        <v>28.24</v>
      </c>
      <c r="DH21" s="228">
        <v>26.9</v>
      </c>
      <c r="DI21" s="228">
        <v>1.34</v>
      </c>
      <c r="DJ21" s="228">
        <v>1.34</v>
      </c>
      <c r="DK21" s="228">
        <v>24.94</v>
      </c>
      <c r="DL21" s="228">
        <v>25.85</v>
      </c>
      <c r="DM21" s="228">
        <v>-0.91</v>
      </c>
      <c r="DN21" s="228">
        <v>-0.91</v>
      </c>
      <c r="DO21" s="228">
        <v>0.54</v>
      </c>
      <c r="DP21" s="228">
        <v>0.57999999999999996</v>
      </c>
      <c r="DQ21" s="228">
        <v>-0.04</v>
      </c>
      <c r="DR21" s="229">
        <v>-6.9000000000000006E-2</v>
      </c>
      <c r="DS21" s="231">
        <v>4500</v>
      </c>
      <c r="DT21" s="231">
        <v>4300</v>
      </c>
      <c r="DU21" s="228">
        <v>0.37</v>
      </c>
      <c r="DV21" s="228">
        <v>0.36</v>
      </c>
      <c r="DW21" s="228">
        <v>0.01</v>
      </c>
      <c r="DX21" s="229">
        <v>2.7799999999999998E-2</v>
      </c>
      <c r="DY21" s="229">
        <v>9.8000000000000004E-2</v>
      </c>
      <c r="DZ21" s="230">
        <v>496500</v>
      </c>
      <c r="EA21" s="229">
        <v>2E-3</v>
      </c>
      <c r="EB21" s="229">
        <v>9.8000000000000004E-2</v>
      </c>
      <c r="EC21" s="228">
        <v>13.83</v>
      </c>
      <c r="ED21" s="229">
        <v>3.2000000000000002E-3</v>
      </c>
      <c r="EE21" s="230">
        <v>249863</v>
      </c>
      <c r="EF21" s="230">
        <v>119278</v>
      </c>
      <c r="EG21" s="229">
        <v>1.0948</v>
      </c>
      <c r="EH21" s="229">
        <v>0.5131</v>
      </c>
      <c r="EI21" s="231">
        <v>276927.71000000002</v>
      </c>
      <c r="EJ21" s="231">
        <v>96263.28</v>
      </c>
      <c r="EK21" s="231">
        <v>48074.87</v>
      </c>
      <c r="EL21" s="228">
        <v>0</v>
      </c>
      <c r="EM21" s="231">
        <v>421265.86</v>
      </c>
      <c r="EN21" s="231">
        <v>315909.96000000002</v>
      </c>
      <c r="EO21" s="231">
        <v>105355.9</v>
      </c>
      <c r="EP21" s="229">
        <v>0.33350000000000002</v>
      </c>
      <c r="EQ21" s="231">
        <v>189330</v>
      </c>
      <c r="ER21" s="231">
        <v>92958</v>
      </c>
      <c r="ES21" s="231">
        <v>284797</v>
      </c>
      <c r="ET21" s="231">
        <v>26104531</v>
      </c>
      <c r="EU21" s="231">
        <v>567085</v>
      </c>
      <c r="EV21" s="231">
        <v>545630</v>
      </c>
      <c r="EW21" s="231">
        <v>21455</v>
      </c>
      <c r="EX21" s="229">
        <v>3.9300000000000002E-2</v>
      </c>
      <c r="EY21" s="229">
        <v>0.50319999999999998</v>
      </c>
    </row>
    <row r="22" spans="1:155" ht="17.25" thickBot="1" x14ac:dyDescent="0.3">
      <c r="A22" s="226">
        <v>45860</v>
      </c>
      <c r="B22" s="227" t="s">
        <v>227</v>
      </c>
      <c r="C22" s="227" t="s">
        <v>228</v>
      </c>
      <c r="D22" s="228">
        <v>690</v>
      </c>
      <c r="E22" s="228">
        <v>684.9</v>
      </c>
      <c r="F22" s="228">
        <v>5.0999999999999996</v>
      </c>
      <c r="G22" s="229">
        <v>7.4000000000000003E-3</v>
      </c>
      <c r="H22" s="228">
        <v>690.05</v>
      </c>
      <c r="I22" s="228">
        <v>682.7</v>
      </c>
      <c r="J22" s="228">
        <v>7.35</v>
      </c>
      <c r="K22" s="229">
        <v>1.0800000000000001E-2</v>
      </c>
      <c r="L22" s="228">
        <v>690</v>
      </c>
      <c r="M22" s="228">
        <v>684.9</v>
      </c>
      <c r="N22" s="228">
        <v>5.0999999999999996</v>
      </c>
      <c r="O22" s="229">
        <v>7.4000000000000003E-3</v>
      </c>
      <c r="P22" s="228">
        <v>688.7</v>
      </c>
      <c r="Q22" s="228">
        <v>683.5</v>
      </c>
      <c r="R22" s="228">
        <v>5.2</v>
      </c>
      <c r="S22" s="229">
        <v>7.6E-3</v>
      </c>
      <c r="T22" s="228">
        <v>0</v>
      </c>
      <c r="U22" s="228">
        <v>0</v>
      </c>
      <c r="V22" s="228">
        <v>0</v>
      </c>
      <c r="W22" s="229">
        <v>0</v>
      </c>
      <c r="X22" s="228">
        <v>-0.05</v>
      </c>
      <c r="Y22" s="228">
        <v>2.2000000000000002</v>
      </c>
      <c r="Z22" s="228">
        <v>-2.25</v>
      </c>
      <c r="AA22" s="229">
        <v>-1E-4</v>
      </c>
      <c r="AB22" s="228">
        <v>-0.05</v>
      </c>
      <c r="AC22" s="228">
        <v>2.2000000000000002</v>
      </c>
      <c r="AD22" s="228">
        <v>-2.25</v>
      </c>
      <c r="AE22" s="229">
        <v>-1E-4</v>
      </c>
      <c r="AF22" s="228">
        <v>-1.35</v>
      </c>
      <c r="AG22" s="228">
        <v>0.8</v>
      </c>
      <c r="AH22" s="228">
        <v>-2.15</v>
      </c>
      <c r="AI22" s="229">
        <v>-2E-3</v>
      </c>
      <c r="AJ22" s="228">
        <v>0</v>
      </c>
      <c r="AK22" s="228">
        <v>0</v>
      </c>
      <c r="AL22" s="228">
        <v>0</v>
      </c>
      <c r="AM22" s="229">
        <v>0</v>
      </c>
      <c r="AN22" s="228">
        <v>689.35</v>
      </c>
      <c r="AO22" s="228">
        <v>688.25</v>
      </c>
      <c r="AP22" s="228">
        <v>0</v>
      </c>
      <c r="AQ22" s="230">
        <v>5199</v>
      </c>
      <c r="AR22" s="230">
        <v>6891</v>
      </c>
      <c r="AS22" s="230">
        <v>-1692</v>
      </c>
      <c r="AT22" s="229">
        <v>-0.2455</v>
      </c>
      <c r="AU22" s="230">
        <v>3924</v>
      </c>
      <c r="AV22" s="230">
        <v>5666</v>
      </c>
      <c r="AW22" s="230">
        <v>-1742</v>
      </c>
      <c r="AX22" s="229">
        <v>-0.30740000000000001</v>
      </c>
      <c r="AY22" s="230">
        <v>1211</v>
      </c>
      <c r="AZ22" s="230">
        <v>1174</v>
      </c>
      <c r="BA22" s="228">
        <v>37</v>
      </c>
      <c r="BB22" s="229">
        <v>3.15E-2</v>
      </c>
      <c r="BC22" s="228">
        <v>0</v>
      </c>
      <c r="BD22" s="228">
        <v>0</v>
      </c>
      <c r="BE22" s="228">
        <v>0</v>
      </c>
      <c r="BF22" s="229">
        <v>0</v>
      </c>
      <c r="BG22" s="230">
        <v>19407</v>
      </c>
      <c r="BH22" s="230">
        <v>18800</v>
      </c>
      <c r="BI22" s="228">
        <v>607</v>
      </c>
      <c r="BJ22" s="229">
        <v>3.2300000000000002E-2</v>
      </c>
      <c r="BK22" s="230">
        <v>8623</v>
      </c>
      <c r="BL22" s="230">
        <v>9484</v>
      </c>
      <c r="BM22" s="228">
        <v>-861</v>
      </c>
      <c r="BN22" s="229">
        <v>-9.0800000000000006E-2</v>
      </c>
      <c r="BO22" s="230">
        <v>33229</v>
      </c>
      <c r="BP22" s="230">
        <v>35175</v>
      </c>
      <c r="BQ22" s="230">
        <v>-1946</v>
      </c>
      <c r="BR22" s="229">
        <v>-5.5300000000000002E-2</v>
      </c>
      <c r="BS22" s="230">
        <v>3880243</v>
      </c>
      <c r="BT22" s="230">
        <v>5036530</v>
      </c>
      <c r="BU22" s="230">
        <v>-1156287</v>
      </c>
      <c r="BV22" s="229">
        <v>-0.2296</v>
      </c>
      <c r="BW22" s="230">
        <v>53978400</v>
      </c>
      <c r="BX22" s="230">
        <v>53928000</v>
      </c>
      <c r="BY22" s="230">
        <v>50400</v>
      </c>
      <c r="BZ22" s="229">
        <v>8.9999999999999998E-4</v>
      </c>
      <c r="CA22" s="230">
        <v>49870800</v>
      </c>
      <c r="CB22" s="230">
        <v>50547000</v>
      </c>
      <c r="CC22" s="230">
        <v>-676200</v>
      </c>
      <c r="CD22" s="229">
        <v>-1.34E-2</v>
      </c>
      <c r="CE22" s="230">
        <v>3959200</v>
      </c>
      <c r="CF22" s="230">
        <v>3236800</v>
      </c>
      <c r="CG22" s="230">
        <v>722400</v>
      </c>
      <c r="CH22" s="229">
        <v>0.22320000000000001</v>
      </c>
      <c r="CI22" s="228">
        <v>0</v>
      </c>
      <c r="CJ22" s="228">
        <v>0</v>
      </c>
      <c r="CK22" s="228">
        <v>0</v>
      </c>
      <c r="CL22" s="229">
        <v>0</v>
      </c>
      <c r="CM22" s="230">
        <v>18641000</v>
      </c>
      <c r="CN22" s="230">
        <v>17785600</v>
      </c>
      <c r="CO22" s="230">
        <v>855400</v>
      </c>
      <c r="CP22" s="229">
        <v>4.8099999999999997E-2</v>
      </c>
      <c r="CQ22" s="230">
        <v>10255000</v>
      </c>
      <c r="CR22" s="230">
        <v>9916200</v>
      </c>
      <c r="CS22" s="230">
        <v>338800</v>
      </c>
      <c r="CT22" s="229">
        <v>3.4200000000000001E-2</v>
      </c>
      <c r="CU22" s="230">
        <v>82874400</v>
      </c>
      <c r="CV22" s="230">
        <v>81629800</v>
      </c>
      <c r="CW22" s="230">
        <v>1244600</v>
      </c>
      <c r="CX22" s="229">
        <v>1.52E-2</v>
      </c>
      <c r="CY22" s="228">
        <v>23.22</v>
      </c>
      <c r="CZ22" s="228">
        <v>23.3</v>
      </c>
      <c r="DA22" s="228">
        <v>-0.08</v>
      </c>
      <c r="DB22" s="228">
        <v>-0.08</v>
      </c>
      <c r="DC22" s="228">
        <v>35.85</v>
      </c>
      <c r="DD22" s="228">
        <v>35.909999999999997</v>
      </c>
      <c r="DE22" s="228">
        <v>-12.63</v>
      </c>
      <c r="DF22" s="228">
        <v>-0.06</v>
      </c>
      <c r="DG22" s="228">
        <v>22.85</v>
      </c>
      <c r="DH22" s="228">
        <v>22.88</v>
      </c>
      <c r="DI22" s="228">
        <v>-0.03</v>
      </c>
      <c r="DJ22" s="228">
        <v>-0.03</v>
      </c>
      <c r="DK22" s="228">
        <v>24.04</v>
      </c>
      <c r="DL22" s="228">
        <v>24.12</v>
      </c>
      <c r="DM22" s="228">
        <v>-0.08</v>
      </c>
      <c r="DN22" s="228">
        <v>-0.08</v>
      </c>
      <c r="DO22" s="228">
        <v>0.55000000000000004</v>
      </c>
      <c r="DP22" s="228">
        <v>0.56000000000000005</v>
      </c>
      <c r="DQ22" s="228">
        <v>-0.01</v>
      </c>
      <c r="DR22" s="229">
        <v>-1.7899999999999999E-2</v>
      </c>
      <c r="DS22" s="228">
        <v>700</v>
      </c>
      <c r="DT22" s="228">
        <v>670</v>
      </c>
      <c r="DU22" s="228">
        <v>0.44</v>
      </c>
      <c r="DV22" s="228">
        <v>0.5</v>
      </c>
      <c r="DW22" s="228">
        <v>-0.06</v>
      </c>
      <c r="DX22" s="229">
        <v>-0.12</v>
      </c>
      <c r="DY22" s="229">
        <v>7.3300000000000004E-2</v>
      </c>
      <c r="DZ22" s="230">
        <v>3236800</v>
      </c>
      <c r="EA22" s="229">
        <v>-1.9E-3</v>
      </c>
      <c r="EB22" s="229">
        <v>7.3300000000000004E-2</v>
      </c>
      <c r="EC22" s="228">
        <v>-1.1000000000000001</v>
      </c>
      <c r="ED22" s="229">
        <v>-1.6000000000000001E-3</v>
      </c>
      <c r="EE22" s="230">
        <v>2153881</v>
      </c>
      <c r="EF22" s="230">
        <v>2748904</v>
      </c>
      <c r="EG22" s="229">
        <v>-0.2165</v>
      </c>
      <c r="EH22" s="229">
        <v>0.55510000000000004</v>
      </c>
      <c r="EI22" s="231">
        <v>192041.13</v>
      </c>
      <c r="EJ22" s="231">
        <v>81666.399999999994</v>
      </c>
      <c r="EK22" s="231">
        <v>50158.86</v>
      </c>
      <c r="EL22" s="228">
        <v>0</v>
      </c>
      <c r="EM22" s="231">
        <v>323866.39</v>
      </c>
      <c r="EN22" s="231">
        <v>341081.15</v>
      </c>
      <c r="EO22" s="231">
        <v>-17214.759999999998</v>
      </c>
      <c r="EP22" s="229">
        <v>-5.0500000000000003E-2</v>
      </c>
      <c r="EQ22" s="231">
        <v>132988</v>
      </c>
      <c r="ER22" s="231">
        <v>67482</v>
      </c>
      <c r="ES22" s="231">
        <v>372403</v>
      </c>
      <c r="ET22" s="231">
        <v>291659008</v>
      </c>
      <c r="EU22" s="231">
        <v>572872</v>
      </c>
      <c r="EV22" s="231">
        <v>561225</v>
      </c>
      <c r="EW22" s="231">
        <v>11647</v>
      </c>
      <c r="EX22" s="229">
        <v>2.0799999999999999E-2</v>
      </c>
      <c r="EY22" s="229">
        <v>0.28410000000000002</v>
      </c>
    </row>
    <row r="23" spans="1:155" ht="17.25" thickBot="1" x14ac:dyDescent="0.3">
      <c r="A23" s="226">
        <v>45860</v>
      </c>
      <c r="B23" s="227" t="s">
        <v>168</v>
      </c>
      <c r="C23" s="227" t="s">
        <v>230</v>
      </c>
      <c r="D23" s="231">
        <v>2480.6999999999998</v>
      </c>
      <c r="E23" s="231">
        <v>2467.1</v>
      </c>
      <c r="F23" s="228">
        <v>13.6</v>
      </c>
      <c r="G23" s="229">
        <v>5.4999999999999997E-3</v>
      </c>
      <c r="H23" s="231">
        <v>2479.6999999999998</v>
      </c>
      <c r="I23" s="231">
        <v>2464.9</v>
      </c>
      <c r="J23" s="228">
        <v>14.8</v>
      </c>
      <c r="K23" s="229">
        <v>6.0000000000000001E-3</v>
      </c>
      <c r="L23" s="231">
        <v>2480.6999999999998</v>
      </c>
      <c r="M23" s="231">
        <v>2467.1</v>
      </c>
      <c r="N23" s="228">
        <v>13.6</v>
      </c>
      <c r="O23" s="229">
        <v>5.4999999999999997E-3</v>
      </c>
      <c r="P23" s="231">
        <v>2493.9</v>
      </c>
      <c r="Q23" s="231">
        <v>2479.4</v>
      </c>
      <c r="R23" s="228">
        <v>14.5</v>
      </c>
      <c r="S23" s="229">
        <v>5.7999999999999996E-3</v>
      </c>
      <c r="T23" s="228">
        <v>0</v>
      </c>
      <c r="U23" s="228">
        <v>0</v>
      </c>
      <c r="V23" s="228">
        <v>0</v>
      </c>
      <c r="W23" s="229">
        <v>0</v>
      </c>
      <c r="X23" s="228">
        <v>1</v>
      </c>
      <c r="Y23" s="228">
        <v>2.2000000000000002</v>
      </c>
      <c r="Z23" s="228">
        <v>-1.2</v>
      </c>
      <c r="AA23" s="229">
        <v>4.0000000000000002E-4</v>
      </c>
      <c r="AB23" s="228">
        <v>1</v>
      </c>
      <c r="AC23" s="228">
        <v>2.2000000000000002</v>
      </c>
      <c r="AD23" s="228">
        <v>-1.2</v>
      </c>
      <c r="AE23" s="229">
        <v>4.0000000000000002E-4</v>
      </c>
      <c r="AF23" s="228">
        <v>14.2</v>
      </c>
      <c r="AG23" s="228">
        <v>14.5</v>
      </c>
      <c r="AH23" s="228">
        <v>-0.3</v>
      </c>
      <c r="AI23" s="229">
        <v>5.7000000000000002E-3</v>
      </c>
      <c r="AJ23" s="228">
        <v>0</v>
      </c>
      <c r="AK23" s="228">
        <v>0</v>
      </c>
      <c r="AL23" s="228">
        <v>0</v>
      </c>
      <c r="AM23" s="229">
        <v>0</v>
      </c>
      <c r="AN23" s="231">
        <v>2472.11</v>
      </c>
      <c r="AO23" s="231">
        <v>2486.29</v>
      </c>
      <c r="AP23" s="228">
        <v>0</v>
      </c>
      <c r="AQ23" s="230">
        <v>4662</v>
      </c>
      <c r="AR23" s="230">
        <v>7230</v>
      </c>
      <c r="AS23" s="230">
        <v>-2568</v>
      </c>
      <c r="AT23" s="229">
        <v>-0.35520000000000002</v>
      </c>
      <c r="AU23" s="230">
        <v>4291</v>
      </c>
      <c r="AV23" s="230">
        <v>6543</v>
      </c>
      <c r="AW23" s="230">
        <v>-2252</v>
      </c>
      <c r="AX23" s="229">
        <v>-0.34420000000000001</v>
      </c>
      <c r="AY23" s="228">
        <v>353</v>
      </c>
      <c r="AZ23" s="228">
        <v>606</v>
      </c>
      <c r="BA23" s="228">
        <v>-253</v>
      </c>
      <c r="BB23" s="229">
        <v>-0.41749999999999998</v>
      </c>
      <c r="BC23" s="228">
        <v>0</v>
      </c>
      <c r="BD23" s="228">
        <v>0</v>
      </c>
      <c r="BE23" s="228">
        <v>0</v>
      </c>
      <c r="BF23" s="229">
        <v>0</v>
      </c>
      <c r="BG23" s="230">
        <v>20783</v>
      </c>
      <c r="BH23" s="230">
        <v>28132</v>
      </c>
      <c r="BI23" s="230">
        <v>-7349</v>
      </c>
      <c r="BJ23" s="229">
        <v>-0.26119999999999999</v>
      </c>
      <c r="BK23" s="230">
        <v>9738</v>
      </c>
      <c r="BL23" s="230">
        <v>23798</v>
      </c>
      <c r="BM23" s="230">
        <v>-14060</v>
      </c>
      <c r="BN23" s="229">
        <v>-0.59079999999999999</v>
      </c>
      <c r="BO23" s="230">
        <v>35183</v>
      </c>
      <c r="BP23" s="230">
        <v>59160</v>
      </c>
      <c r="BQ23" s="230">
        <v>-23977</v>
      </c>
      <c r="BR23" s="229">
        <v>-0.40529999999999999</v>
      </c>
      <c r="BS23" s="230">
        <v>869826</v>
      </c>
      <c r="BT23" s="230">
        <v>1200501</v>
      </c>
      <c r="BU23" s="230">
        <v>-330675</v>
      </c>
      <c r="BV23" s="229">
        <v>-0.27539999999999998</v>
      </c>
      <c r="BW23" s="230">
        <v>16158900</v>
      </c>
      <c r="BX23" s="230">
        <v>16402200</v>
      </c>
      <c r="BY23" s="230">
        <v>-243300</v>
      </c>
      <c r="BZ23" s="229">
        <v>-1.4800000000000001E-2</v>
      </c>
      <c r="CA23" s="230">
        <v>14417100</v>
      </c>
      <c r="CB23" s="230">
        <v>14710200</v>
      </c>
      <c r="CC23" s="230">
        <v>-293100</v>
      </c>
      <c r="CD23" s="229">
        <v>-1.9900000000000001E-2</v>
      </c>
      <c r="CE23" s="230">
        <v>1680300</v>
      </c>
      <c r="CF23" s="230">
        <v>1630800</v>
      </c>
      <c r="CG23" s="230">
        <v>49500</v>
      </c>
      <c r="CH23" s="229">
        <v>3.04E-2</v>
      </c>
      <c r="CI23" s="228">
        <v>0</v>
      </c>
      <c r="CJ23" s="228">
        <v>0</v>
      </c>
      <c r="CK23" s="228">
        <v>0</v>
      </c>
      <c r="CL23" s="229">
        <v>0</v>
      </c>
      <c r="CM23" s="230">
        <v>10020000</v>
      </c>
      <c r="CN23" s="230">
        <v>10158900</v>
      </c>
      <c r="CO23" s="230">
        <v>-138900</v>
      </c>
      <c r="CP23" s="229">
        <v>-1.37E-2</v>
      </c>
      <c r="CQ23" s="230">
        <v>7103700</v>
      </c>
      <c r="CR23" s="230">
        <v>7121400</v>
      </c>
      <c r="CS23" s="230">
        <v>-17700</v>
      </c>
      <c r="CT23" s="229">
        <v>-2.5000000000000001E-3</v>
      </c>
      <c r="CU23" s="230">
        <v>33282600</v>
      </c>
      <c r="CV23" s="230">
        <v>33682500</v>
      </c>
      <c r="CW23" s="230">
        <v>-399900</v>
      </c>
      <c r="CX23" s="229">
        <v>-1.1900000000000001E-2</v>
      </c>
      <c r="CY23" s="228">
        <v>14.77</v>
      </c>
      <c r="CZ23" s="228">
        <v>14.75</v>
      </c>
      <c r="DA23" s="228">
        <v>0.02</v>
      </c>
      <c r="DB23" s="228">
        <v>0.02</v>
      </c>
      <c r="DC23" s="228">
        <v>23.14</v>
      </c>
      <c r="DD23" s="228">
        <v>23.18</v>
      </c>
      <c r="DE23" s="228">
        <v>-8.3699999999999992</v>
      </c>
      <c r="DF23" s="228">
        <v>-0.04</v>
      </c>
      <c r="DG23" s="228">
        <v>14.72</v>
      </c>
      <c r="DH23" s="228">
        <v>15.19</v>
      </c>
      <c r="DI23" s="228">
        <v>-0.47</v>
      </c>
      <c r="DJ23" s="228">
        <v>-0.47</v>
      </c>
      <c r="DK23" s="228">
        <v>14.89</v>
      </c>
      <c r="DL23" s="228">
        <v>14.23</v>
      </c>
      <c r="DM23" s="228">
        <v>0.66</v>
      </c>
      <c r="DN23" s="228">
        <v>0.66</v>
      </c>
      <c r="DO23" s="228">
        <v>0.71</v>
      </c>
      <c r="DP23" s="228">
        <v>0.7</v>
      </c>
      <c r="DQ23" s="228">
        <v>0.01</v>
      </c>
      <c r="DR23" s="229">
        <v>1.43E-2</v>
      </c>
      <c r="DS23" s="231">
        <v>2560</v>
      </c>
      <c r="DT23" s="231">
        <v>2400</v>
      </c>
      <c r="DU23" s="228">
        <v>0.47</v>
      </c>
      <c r="DV23" s="228">
        <v>0.85</v>
      </c>
      <c r="DW23" s="228">
        <v>-0.38</v>
      </c>
      <c r="DX23" s="229">
        <v>-0.4471</v>
      </c>
      <c r="DY23" s="229">
        <v>0.104</v>
      </c>
      <c r="DZ23" s="230">
        <v>1630800</v>
      </c>
      <c r="EA23" s="229">
        <v>5.3E-3</v>
      </c>
      <c r="EB23" s="229">
        <v>0.104</v>
      </c>
      <c r="EC23" s="228">
        <v>14.18</v>
      </c>
      <c r="ED23" s="229">
        <v>5.7000000000000002E-3</v>
      </c>
      <c r="EE23" s="230">
        <v>613296</v>
      </c>
      <c r="EF23" s="230">
        <v>823668</v>
      </c>
      <c r="EG23" s="229">
        <v>-0.25540000000000002</v>
      </c>
      <c r="EH23" s="229">
        <v>0.70509999999999995</v>
      </c>
      <c r="EI23" s="231">
        <v>158127.46</v>
      </c>
      <c r="EJ23" s="231">
        <v>71393.14</v>
      </c>
      <c r="EK23" s="231">
        <v>34591.08</v>
      </c>
      <c r="EL23" s="228">
        <v>0</v>
      </c>
      <c r="EM23" s="231">
        <v>264111.68</v>
      </c>
      <c r="EN23" s="231">
        <v>443705.22</v>
      </c>
      <c r="EO23" s="231">
        <v>-179593.54</v>
      </c>
      <c r="EP23" s="229">
        <v>-0.40479999999999999</v>
      </c>
      <c r="EQ23" s="231">
        <v>250686</v>
      </c>
      <c r="ER23" s="231">
        <v>167103</v>
      </c>
      <c r="ES23" s="231">
        <v>401092</v>
      </c>
      <c r="ET23" s="231">
        <v>179035680</v>
      </c>
      <c r="EU23" s="231">
        <v>818881</v>
      </c>
      <c r="EV23" s="231">
        <v>826602</v>
      </c>
      <c r="EW23" s="231">
        <v>-7721</v>
      </c>
      <c r="EX23" s="229">
        <v>-9.2999999999999992E-3</v>
      </c>
      <c r="EY23" s="229">
        <v>0.18590000000000001</v>
      </c>
    </row>
    <row r="24" spans="1:155" ht="17.25" thickBot="1" x14ac:dyDescent="0.3">
      <c r="A24" s="226">
        <v>45860</v>
      </c>
      <c r="B24" s="227" t="s">
        <v>172</v>
      </c>
      <c r="C24" s="227" t="s">
        <v>232</v>
      </c>
      <c r="D24" s="231">
        <v>1474.3</v>
      </c>
      <c r="E24" s="231">
        <v>1467.2</v>
      </c>
      <c r="F24" s="228">
        <v>7.1</v>
      </c>
      <c r="G24" s="229">
        <v>4.7999999999999996E-3</v>
      </c>
      <c r="H24" s="231">
        <v>1473.6</v>
      </c>
      <c r="I24" s="231">
        <v>1465.8</v>
      </c>
      <c r="J24" s="228">
        <v>7.8</v>
      </c>
      <c r="K24" s="229">
        <v>5.3E-3</v>
      </c>
      <c r="L24" s="231">
        <v>1474.3</v>
      </c>
      <c r="M24" s="231">
        <v>1467.2</v>
      </c>
      <c r="N24" s="228">
        <v>7.1</v>
      </c>
      <c r="O24" s="229">
        <v>4.7999999999999996E-3</v>
      </c>
      <c r="P24" s="231">
        <v>1470.9</v>
      </c>
      <c r="Q24" s="231">
        <v>1463.4</v>
      </c>
      <c r="R24" s="228">
        <v>7.5</v>
      </c>
      <c r="S24" s="229">
        <v>5.1000000000000004E-3</v>
      </c>
      <c r="T24" s="228">
        <v>0</v>
      </c>
      <c r="U24" s="228">
        <v>0</v>
      </c>
      <c r="V24" s="228">
        <v>0</v>
      </c>
      <c r="W24" s="229">
        <v>0</v>
      </c>
      <c r="X24" s="228">
        <v>0.7</v>
      </c>
      <c r="Y24" s="228">
        <v>1.4</v>
      </c>
      <c r="Z24" s="228">
        <v>-0.7</v>
      </c>
      <c r="AA24" s="229">
        <v>5.0000000000000001E-4</v>
      </c>
      <c r="AB24" s="228">
        <v>0.7</v>
      </c>
      <c r="AC24" s="228">
        <v>1.4</v>
      </c>
      <c r="AD24" s="228">
        <v>-0.7</v>
      </c>
      <c r="AE24" s="229">
        <v>5.0000000000000001E-4</v>
      </c>
      <c r="AF24" s="228">
        <v>-2.7</v>
      </c>
      <c r="AG24" s="228">
        <v>-2.4</v>
      </c>
      <c r="AH24" s="228">
        <v>-0.3</v>
      </c>
      <c r="AI24" s="229">
        <v>-1.8E-3</v>
      </c>
      <c r="AJ24" s="228">
        <v>0</v>
      </c>
      <c r="AK24" s="228">
        <v>0</v>
      </c>
      <c r="AL24" s="228">
        <v>0</v>
      </c>
      <c r="AM24" s="229">
        <v>0</v>
      </c>
      <c r="AN24" s="231">
        <v>1476.22</v>
      </c>
      <c r="AO24" s="231">
        <v>1472.88</v>
      </c>
      <c r="AP24" s="228">
        <v>0</v>
      </c>
      <c r="AQ24" s="230">
        <v>19064</v>
      </c>
      <c r="AR24" s="230">
        <v>37990</v>
      </c>
      <c r="AS24" s="230">
        <v>-18926</v>
      </c>
      <c r="AT24" s="229">
        <v>-0.49819999999999998</v>
      </c>
      <c r="AU24" s="230">
        <v>16142</v>
      </c>
      <c r="AV24" s="230">
        <v>32942</v>
      </c>
      <c r="AW24" s="230">
        <v>-16800</v>
      </c>
      <c r="AX24" s="229">
        <v>-0.51</v>
      </c>
      <c r="AY24" s="230">
        <v>2803</v>
      </c>
      <c r="AZ24" s="230">
        <v>4792</v>
      </c>
      <c r="BA24" s="230">
        <v>-1989</v>
      </c>
      <c r="BB24" s="229">
        <v>-0.41510000000000002</v>
      </c>
      <c r="BC24" s="228">
        <v>0</v>
      </c>
      <c r="BD24" s="228">
        <v>0</v>
      </c>
      <c r="BE24" s="228">
        <v>0</v>
      </c>
      <c r="BF24" s="229">
        <v>0</v>
      </c>
      <c r="BG24" s="230">
        <v>95461</v>
      </c>
      <c r="BH24" s="230">
        <v>214180</v>
      </c>
      <c r="BI24" s="230">
        <v>-118719</v>
      </c>
      <c r="BJ24" s="229">
        <v>-0.55430000000000001</v>
      </c>
      <c r="BK24" s="230">
        <v>60970</v>
      </c>
      <c r="BL24" s="230">
        <v>120736</v>
      </c>
      <c r="BM24" s="230">
        <v>-59766</v>
      </c>
      <c r="BN24" s="229">
        <v>-0.495</v>
      </c>
      <c r="BO24" s="230">
        <v>175495</v>
      </c>
      <c r="BP24" s="230">
        <v>372906</v>
      </c>
      <c r="BQ24" s="230">
        <v>-197411</v>
      </c>
      <c r="BR24" s="229">
        <v>-0.52939999999999998</v>
      </c>
      <c r="BS24" s="230">
        <v>10678808</v>
      </c>
      <c r="BT24" s="230">
        <v>14539689</v>
      </c>
      <c r="BU24" s="230">
        <v>-3860881</v>
      </c>
      <c r="BV24" s="229">
        <v>-0.26550000000000001</v>
      </c>
      <c r="BW24" s="230">
        <v>108398500</v>
      </c>
      <c r="BX24" s="230">
        <v>110251400</v>
      </c>
      <c r="BY24" s="230">
        <v>-1852900</v>
      </c>
      <c r="BZ24" s="229">
        <v>-1.6799999999999999E-2</v>
      </c>
      <c r="CA24" s="230">
        <v>59131800</v>
      </c>
      <c r="CB24" s="230">
        <v>61378800</v>
      </c>
      <c r="CC24" s="230">
        <v>-2247000</v>
      </c>
      <c r="CD24" s="229">
        <v>-3.6600000000000001E-2</v>
      </c>
      <c r="CE24" s="230">
        <v>49061600</v>
      </c>
      <c r="CF24" s="230">
        <v>48687100</v>
      </c>
      <c r="CG24" s="230">
        <v>374500</v>
      </c>
      <c r="CH24" s="229">
        <v>7.7000000000000002E-3</v>
      </c>
      <c r="CI24" s="228">
        <v>0</v>
      </c>
      <c r="CJ24" s="228">
        <v>0</v>
      </c>
      <c r="CK24" s="228">
        <v>0</v>
      </c>
      <c r="CL24" s="229">
        <v>0</v>
      </c>
      <c r="CM24" s="230">
        <v>24581900</v>
      </c>
      <c r="CN24" s="230">
        <v>25121600</v>
      </c>
      <c r="CO24" s="230">
        <v>-539700</v>
      </c>
      <c r="CP24" s="229">
        <v>-2.1499999999999998E-2</v>
      </c>
      <c r="CQ24" s="230">
        <v>21929600</v>
      </c>
      <c r="CR24" s="230">
        <v>20678000</v>
      </c>
      <c r="CS24" s="230">
        <v>1251600</v>
      </c>
      <c r="CT24" s="229">
        <v>6.0499999999999998E-2</v>
      </c>
      <c r="CU24" s="230">
        <v>154910000</v>
      </c>
      <c r="CV24" s="230">
        <v>156051000</v>
      </c>
      <c r="CW24" s="230">
        <v>-1141000</v>
      </c>
      <c r="CX24" s="229">
        <v>-7.3000000000000001E-3</v>
      </c>
      <c r="CY24" s="228">
        <v>14.74</v>
      </c>
      <c r="CZ24" s="228">
        <v>17.25</v>
      </c>
      <c r="DA24" s="228">
        <v>-2.5099999999999998</v>
      </c>
      <c r="DB24" s="228">
        <v>-2.5099999999999998</v>
      </c>
      <c r="DC24" s="228">
        <v>22.98</v>
      </c>
      <c r="DD24" s="228">
        <v>23.03</v>
      </c>
      <c r="DE24" s="228">
        <v>-8.24</v>
      </c>
      <c r="DF24" s="228">
        <v>-0.05</v>
      </c>
      <c r="DG24" s="228">
        <v>13.96</v>
      </c>
      <c r="DH24" s="228">
        <v>16.09</v>
      </c>
      <c r="DI24" s="228">
        <v>-2.13</v>
      </c>
      <c r="DJ24" s="228">
        <v>-2.13</v>
      </c>
      <c r="DK24" s="228">
        <v>15.95</v>
      </c>
      <c r="DL24" s="228">
        <v>19.3</v>
      </c>
      <c r="DM24" s="228">
        <v>-3.35</v>
      </c>
      <c r="DN24" s="228">
        <v>-3.35</v>
      </c>
      <c r="DO24" s="228">
        <v>0.89</v>
      </c>
      <c r="DP24" s="228">
        <v>0.82</v>
      </c>
      <c r="DQ24" s="228">
        <v>7.0000000000000007E-2</v>
      </c>
      <c r="DR24" s="229">
        <v>8.5400000000000004E-2</v>
      </c>
      <c r="DS24" s="231">
        <v>1470</v>
      </c>
      <c r="DT24" s="231">
        <v>1400</v>
      </c>
      <c r="DU24" s="228">
        <v>0.64</v>
      </c>
      <c r="DV24" s="228">
        <v>0.56000000000000005</v>
      </c>
      <c r="DW24" s="228">
        <v>0.08</v>
      </c>
      <c r="DX24" s="229">
        <v>0.1429</v>
      </c>
      <c r="DY24" s="229">
        <v>0.4526</v>
      </c>
      <c r="DZ24" s="230">
        <v>48687100</v>
      </c>
      <c r="EA24" s="229">
        <v>-2.3E-3</v>
      </c>
      <c r="EB24" s="229">
        <v>0.4526</v>
      </c>
      <c r="EC24" s="228">
        <v>-3.34</v>
      </c>
      <c r="ED24" s="229">
        <v>-2.3E-3</v>
      </c>
      <c r="EE24" s="230">
        <v>6815905</v>
      </c>
      <c r="EF24" s="230">
        <v>8599311</v>
      </c>
      <c r="EG24" s="229">
        <v>-0.2074</v>
      </c>
      <c r="EH24" s="229">
        <v>0.63829999999999998</v>
      </c>
      <c r="EI24" s="231">
        <v>1002381.09</v>
      </c>
      <c r="EJ24" s="231">
        <v>622090.43999999994</v>
      </c>
      <c r="EK24" s="231">
        <v>196936.7</v>
      </c>
      <c r="EL24" s="228">
        <v>0</v>
      </c>
      <c r="EM24" s="231">
        <v>1821408.23</v>
      </c>
      <c r="EN24" s="231">
        <v>3819160.53</v>
      </c>
      <c r="EO24" s="231">
        <v>-1997752.3</v>
      </c>
      <c r="EP24" s="229">
        <v>-0.52310000000000001</v>
      </c>
      <c r="EQ24" s="231">
        <v>366057</v>
      </c>
      <c r="ER24" s="231">
        <v>308998</v>
      </c>
      <c r="ES24" s="231">
        <v>1596457</v>
      </c>
      <c r="ET24" s="231">
        <v>1159424540</v>
      </c>
      <c r="EU24" s="231">
        <v>2271513</v>
      </c>
      <c r="EV24" s="231">
        <v>2278920</v>
      </c>
      <c r="EW24" s="231">
        <v>-7407</v>
      </c>
      <c r="EX24" s="229">
        <v>-3.3E-3</v>
      </c>
      <c r="EY24" s="229">
        <v>0.1336</v>
      </c>
    </row>
    <row r="25" spans="1:155" ht="17.25" thickBot="1" x14ac:dyDescent="0.3">
      <c r="A25" s="226">
        <v>45860</v>
      </c>
      <c r="B25" s="227" t="s">
        <v>172</v>
      </c>
      <c r="C25" s="227" t="s">
        <v>239</v>
      </c>
      <c r="D25" s="228">
        <v>845.4</v>
      </c>
      <c r="E25" s="228">
        <v>858.9</v>
      </c>
      <c r="F25" s="228">
        <v>-13.5</v>
      </c>
      <c r="G25" s="229">
        <v>-1.5699999999999999E-2</v>
      </c>
      <c r="H25" s="228">
        <v>843.2</v>
      </c>
      <c r="I25" s="228">
        <v>858.8</v>
      </c>
      <c r="J25" s="228">
        <v>-15.6</v>
      </c>
      <c r="K25" s="229">
        <v>-1.8200000000000001E-2</v>
      </c>
      <c r="L25" s="228">
        <v>845.4</v>
      </c>
      <c r="M25" s="228">
        <v>858.9</v>
      </c>
      <c r="N25" s="228">
        <v>-13.5</v>
      </c>
      <c r="O25" s="229">
        <v>-1.5699999999999999E-2</v>
      </c>
      <c r="P25" s="228">
        <v>849.15</v>
      </c>
      <c r="Q25" s="228">
        <v>863.15</v>
      </c>
      <c r="R25" s="228">
        <v>-14</v>
      </c>
      <c r="S25" s="229">
        <v>-1.6199999999999999E-2</v>
      </c>
      <c r="T25" s="228">
        <v>0</v>
      </c>
      <c r="U25" s="228">
        <v>0</v>
      </c>
      <c r="V25" s="228">
        <v>0</v>
      </c>
      <c r="W25" s="229">
        <v>0</v>
      </c>
      <c r="X25" s="228">
        <v>2.2000000000000002</v>
      </c>
      <c r="Y25" s="228">
        <v>0.1</v>
      </c>
      <c r="Z25" s="228">
        <v>2.1</v>
      </c>
      <c r="AA25" s="229">
        <v>2.5999999999999999E-3</v>
      </c>
      <c r="AB25" s="228">
        <v>2.2000000000000002</v>
      </c>
      <c r="AC25" s="228">
        <v>0.1</v>
      </c>
      <c r="AD25" s="228">
        <v>2.1</v>
      </c>
      <c r="AE25" s="229">
        <v>2.5999999999999999E-3</v>
      </c>
      <c r="AF25" s="228">
        <v>5.95</v>
      </c>
      <c r="AG25" s="228">
        <v>4.3499999999999996</v>
      </c>
      <c r="AH25" s="228">
        <v>1.6</v>
      </c>
      <c r="AI25" s="229">
        <v>7.1000000000000004E-3</v>
      </c>
      <c r="AJ25" s="228">
        <v>0</v>
      </c>
      <c r="AK25" s="228">
        <v>0</v>
      </c>
      <c r="AL25" s="228">
        <v>0</v>
      </c>
      <c r="AM25" s="229">
        <v>0</v>
      </c>
      <c r="AN25" s="228">
        <v>855.82</v>
      </c>
      <c r="AO25" s="228">
        <v>857.11</v>
      </c>
      <c r="AP25" s="228">
        <v>0</v>
      </c>
      <c r="AQ25" s="230">
        <v>26388</v>
      </c>
      <c r="AR25" s="230">
        <v>24580</v>
      </c>
      <c r="AS25" s="230">
        <v>1808</v>
      </c>
      <c r="AT25" s="229">
        <v>7.3599999999999999E-2</v>
      </c>
      <c r="AU25" s="230">
        <v>20716</v>
      </c>
      <c r="AV25" s="230">
        <v>20624</v>
      </c>
      <c r="AW25" s="228">
        <v>92</v>
      </c>
      <c r="AX25" s="229">
        <v>4.4999999999999997E-3</v>
      </c>
      <c r="AY25" s="230">
        <v>5505</v>
      </c>
      <c r="AZ25" s="230">
        <v>3818</v>
      </c>
      <c r="BA25" s="230">
        <v>1687</v>
      </c>
      <c r="BB25" s="229">
        <v>0.44190000000000002</v>
      </c>
      <c r="BC25" s="228">
        <v>0</v>
      </c>
      <c r="BD25" s="228">
        <v>0</v>
      </c>
      <c r="BE25" s="228">
        <v>0</v>
      </c>
      <c r="BF25" s="229">
        <v>0</v>
      </c>
      <c r="BG25" s="230">
        <v>48989</v>
      </c>
      <c r="BH25" s="230">
        <v>72700</v>
      </c>
      <c r="BI25" s="230">
        <v>-23711</v>
      </c>
      <c r="BJ25" s="229">
        <v>-0.3261</v>
      </c>
      <c r="BK25" s="230">
        <v>32905</v>
      </c>
      <c r="BL25" s="230">
        <v>54649</v>
      </c>
      <c r="BM25" s="230">
        <v>-21744</v>
      </c>
      <c r="BN25" s="229">
        <v>-0.39789999999999998</v>
      </c>
      <c r="BO25" s="230">
        <v>108282</v>
      </c>
      <c r="BP25" s="230">
        <v>151929</v>
      </c>
      <c r="BQ25" s="230">
        <v>-43647</v>
      </c>
      <c r="BR25" s="229">
        <v>-0.2873</v>
      </c>
      <c r="BS25" s="230">
        <v>7865402</v>
      </c>
      <c r="BT25" s="230">
        <v>7052334</v>
      </c>
      <c r="BU25" s="230">
        <v>813068</v>
      </c>
      <c r="BV25" s="229">
        <v>0.1153</v>
      </c>
      <c r="BW25" s="230">
        <v>43044400</v>
      </c>
      <c r="BX25" s="230">
        <v>41598200</v>
      </c>
      <c r="BY25" s="230">
        <v>1446200</v>
      </c>
      <c r="BZ25" s="229">
        <v>3.4799999999999998E-2</v>
      </c>
      <c r="CA25" s="230">
        <v>35925400</v>
      </c>
      <c r="CB25" s="230">
        <v>36370600</v>
      </c>
      <c r="CC25" s="230">
        <v>-445200</v>
      </c>
      <c r="CD25" s="229">
        <v>-1.2200000000000001E-2</v>
      </c>
      <c r="CE25" s="230">
        <v>6708100</v>
      </c>
      <c r="CF25" s="230">
        <v>4885300</v>
      </c>
      <c r="CG25" s="230">
        <v>1822800</v>
      </c>
      <c r="CH25" s="229">
        <v>0.37309999999999999</v>
      </c>
      <c r="CI25" s="228">
        <v>0</v>
      </c>
      <c r="CJ25" s="228">
        <v>0</v>
      </c>
      <c r="CK25" s="228">
        <v>0</v>
      </c>
      <c r="CL25" s="229">
        <v>0</v>
      </c>
      <c r="CM25" s="230">
        <v>20682200</v>
      </c>
      <c r="CN25" s="230">
        <v>19307400</v>
      </c>
      <c r="CO25" s="230">
        <v>1374800</v>
      </c>
      <c r="CP25" s="229">
        <v>7.1199999999999999E-2</v>
      </c>
      <c r="CQ25" s="230">
        <v>10781400</v>
      </c>
      <c r="CR25" s="230">
        <v>10883600</v>
      </c>
      <c r="CS25" s="230">
        <v>-102200</v>
      </c>
      <c r="CT25" s="229">
        <v>-9.4000000000000004E-3</v>
      </c>
      <c r="CU25" s="230">
        <v>74508000</v>
      </c>
      <c r="CV25" s="230">
        <v>71789200</v>
      </c>
      <c r="CW25" s="230">
        <v>2718800</v>
      </c>
      <c r="CX25" s="229">
        <v>3.7900000000000003E-2</v>
      </c>
      <c r="CY25" s="228">
        <v>39.99</v>
      </c>
      <c r="CZ25" s="228">
        <v>36.96</v>
      </c>
      <c r="DA25" s="228">
        <v>3.03</v>
      </c>
      <c r="DB25" s="228">
        <v>3.03</v>
      </c>
      <c r="DC25" s="228">
        <v>52.19</v>
      </c>
      <c r="DD25" s="228">
        <v>52.27</v>
      </c>
      <c r="DE25" s="228">
        <v>-12.2</v>
      </c>
      <c r="DF25" s="228">
        <v>-0.08</v>
      </c>
      <c r="DG25" s="228">
        <v>39.94</v>
      </c>
      <c r="DH25" s="228">
        <v>36.4</v>
      </c>
      <c r="DI25" s="228">
        <v>3.54</v>
      </c>
      <c r="DJ25" s="228">
        <v>3.54</v>
      </c>
      <c r="DK25" s="228">
        <v>40.07</v>
      </c>
      <c r="DL25" s="228">
        <v>37.71</v>
      </c>
      <c r="DM25" s="228">
        <v>2.36</v>
      </c>
      <c r="DN25" s="228">
        <v>2.36</v>
      </c>
      <c r="DO25" s="228">
        <v>0.52</v>
      </c>
      <c r="DP25" s="228">
        <v>0.56000000000000005</v>
      </c>
      <c r="DQ25" s="228">
        <v>-0.04</v>
      </c>
      <c r="DR25" s="229">
        <v>-7.1400000000000005E-2</v>
      </c>
      <c r="DS25" s="228">
        <v>900</v>
      </c>
      <c r="DT25" s="228">
        <v>800</v>
      </c>
      <c r="DU25" s="228">
        <v>0.67</v>
      </c>
      <c r="DV25" s="228">
        <v>0.75</v>
      </c>
      <c r="DW25" s="228">
        <v>-0.08</v>
      </c>
      <c r="DX25" s="229">
        <v>-0.1067</v>
      </c>
      <c r="DY25" s="229">
        <v>0.15579999999999999</v>
      </c>
      <c r="DZ25" s="230">
        <v>4885300</v>
      </c>
      <c r="EA25" s="229">
        <v>4.4000000000000003E-3</v>
      </c>
      <c r="EB25" s="229">
        <v>0.15579999999999999</v>
      </c>
      <c r="EC25" s="228">
        <v>1.29</v>
      </c>
      <c r="ED25" s="229">
        <v>1.5E-3</v>
      </c>
      <c r="EE25" s="230">
        <v>2514811</v>
      </c>
      <c r="EF25" s="230">
        <v>1527190</v>
      </c>
      <c r="EG25" s="229">
        <v>0.64670000000000005</v>
      </c>
      <c r="EH25" s="229">
        <v>0.31969999999999998</v>
      </c>
      <c r="EI25" s="231">
        <v>306890.63</v>
      </c>
      <c r="EJ25" s="231">
        <v>197405.29</v>
      </c>
      <c r="EK25" s="231">
        <v>158141.32</v>
      </c>
      <c r="EL25" s="228">
        <v>0</v>
      </c>
      <c r="EM25" s="231">
        <v>662437.24</v>
      </c>
      <c r="EN25" s="231">
        <v>923073.71</v>
      </c>
      <c r="EO25" s="231">
        <v>-260636.47</v>
      </c>
      <c r="EP25" s="229">
        <v>-0.28239999999999998</v>
      </c>
      <c r="EQ25" s="231">
        <v>184333</v>
      </c>
      <c r="ER25" s="231">
        <v>89397</v>
      </c>
      <c r="ES25" s="231">
        <v>364180</v>
      </c>
      <c r="ET25" s="231">
        <v>125014099</v>
      </c>
      <c r="EU25" s="231">
        <v>637911</v>
      </c>
      <c r="EV25" s="231">
        <v>620208</v>
      </c>
      <c r="EW25" s="231">
        <v>17703</v>
      </c>
      <c r="EX25" s="229">
        <v>2.8500000000000001E-2</v>
      </c>
      <c r="EY25" s="229">
        <v>0.59599999999999997</v>
      </c>
    </row>
    <row r="26" spans="1:155" ht="17.25" thickBot="1" x14ac:dyDescent="0.3">
      <c r="A26" s="226">
        <v>45860</v>
      </c>
      <c r="B26" s="227" t="s">
        <v>221</v>
      </c>
      <c r="C26" s="227" t="s">
        <v>240</v>
      </c>
      <c r="D26" s="231">
        <v>1576.5</v>
      </c>
      <c r="E26" s="231">
        <v>1588.3</v>
      </c>
      <c r="F26" s="228">
        <v>-11.8</v>
      </c>
      <c r="G26" s="229">
        <v>-7.4000000000000003E-3</v>
      </c>
      <c r="H26" s="231">
        <v>1570.9</v>
      </c>
      <c r="I26" s="231">
        <v>1584.3</v>
      </c>
      <c r="J26" s="228">
        <v>-13.4</v>
      </c>
      <c r="K26" s="229">
        <v>-8.5000000000000006E-3</v>
      </c>
      <c r="L26" s="231">
        <v>1576.5</v>
      </c>
      <c r="M26" s="231">
        <v>1588.3</v>
      </c>
      <c r="N26" s="228">
        <v>-11.8</v>
      </c>
      <c r="O26" s="229">
        <v>-7.4000000000000003E-3</v>
      </c>
      <c r="P26" s="231">
        <v>1583.6</v>
      </c>
      <c r="Q26" s="231">
        <v>1596.1</v>
      </c>
      <c r="R26" s="228">
        <v>-12.5</v>
      </c>
      <c r="S26" s="229">
        <v>-7.7999999999999996E-3</v>
      </c>
      <c r="T26" s="228">
        <v>0</v>
      </c>
      <c r="U26" s="228">
        <v>0</v>
      </c>
      <c r="V26" s="228">
        <v>0</v>
      </c>
      <c r="W26" s="229">
        <v>0</v>
      </c>
      <c r="X26" s="228">
        <v>5.6</v>
      </c>
      <c r="Y26" s="228">
        <v>4</v>
      </c>
      <c r="Z26" s="228">
        <v>1.6</v>
      </c>
      <c r="AA26" s="229">
        <v>3.5999999999999999E-3</v>
      </c>
      <c r="AB26" s="228">
        <v>5.6</v>
      </c>
      <c r="AC26" s="228">
        <v>4</v>
      </c>
      <c r="AD26" s="228">
        <v>1.6</v>
      </c>
      <c r="AE26" s="229">
        <v>3.5999999999999999E-3</v>
      </c>
      <c r="AF26" s="228">
        <v>12.7</v>
      </c>
      <c r="AG26" s="228">
        <v>11.8</v>
      </c>
      <c r="AH26" s="228">
        <v>0.9</v>
      </c>
      <c r="AI26" s="229">
        <v>8.0999999999999996E-3</v>
      </c>
      <c r="AJ26" s="228">
        <v>0</v>
      </c>
      <c r="AK26" s="228">
        <v>0</v>
      </c>
      <c r="AL26" s="228">
        <v>0</v>
      </c>
      <c r="AM26" s="229">
        <v>0</v>
      </c>
      <c r="AN26" s="231">
        <v>1580.54</v>
      </c>
      <c r="AO26" s="231">
        <v>1586.94</v>
      </c>
      <c r="AP26" s="228">
        <v>0</v>
      </c>
      <c r="AQ26" s="230">
        <v>25268</v>
      </c>
      <c r="AR26" s="230">
        <v>16192</v>
      </c>
      <c r="AS26" s="230">
        <v>9076</v>
      </c>
      <c r="AT26" s="229">
        <v>0.5605</v>
      </c>
      <c r="AU26" s="230">
        <v>20620</v>
      </c>
      <c r="AV26" s="230">
        <v>14389</v>
      </c>
      <c r="AW26" s="230">
        <v>6231</v>
      </c>
      <c r="AX26" s="229">
        <v>0.433</v>
      </c>
      <c r="AY26" s="230">
        <v>4536</v>
      </c>
      <c r="AZ26" s="230">
        <v>1717</v>
      </c>
      <c r="BA26" s="230">
        <v>2819</v>
      </c>
      <c r="BB26" s="229">
        <v>1.6417999999999999</v>
      </c>
      <c r="BC26" s="228">
        <v>0</v>
      </c>
      <c r="BD26" s="228">
        <v>0</v>
      </c>
      <c r="BE26" s="228">
        <v>0</v>
      </c>
      <c r="BF26" s="229">
        <v>0</v>
      </c>
      <c r="BG26" s="230">
        <v>65275</v>
      </c>
      <c r="BH26" s="230">
        <v>41496</v>
      </c>
      <c r="BI26" s="230">
        <v>23779</v>
      </c>
      <c r="BJ26" s="229">
        <v>0.57299999999999995</v>
      </c>
      <c r="BK26" s="230">
        <v>36204</v>
      </c>
      <c r="BL26" s="230">
        <v>21936</v>
      </c>
      <c r="BM26" s="230">
        <v>14268</v>
      </c>
      <c r="BN26" s="229">
        <v>0.65039999999999998</v>
      </c>
      <c r="BO26" s="230">
        <v>126747</v>
      </c>
      <c r="BP26" s="230">
        <v>79624</v>
      </c>
      <c r="BQ26" s="230">
        <v>47123</v>
      </c>
      <c r="BR26" s="229">
        <v>0.59179999999999999</v>
      </c>
      <c r="BS26" s="230">
        <v>9045240</v>
      </c>
      <c r="BT26" s="230">
        <v>3803133</v>
      </c>
      <c r="BU26" s="230">
        <v>5242107</v>
      </c>
      <c r="BV26" s="229">
        <v>1.3784000000000001</v>
      </c>
      <c r="BW26" s="230">
        <v>75992000</v>
      </c>
      <c r="BX26" s="230">
        <v>73894400</v>
      </c>
      <c r="BY26" s="230">
        <v>2097600</v>
      </c>
      <c r="BZ26" s="229">
        <v>2.8400000000000002E-2</v>
      </c>
      <c r="CA26" s="230">
        <v>68068400</v>
      </c>
      <c r="CB26" s="230">
        <v>66703600</v>
      </c>
      <c r="CC26" s="230">
        <v>1364800</v>
      </c>
      <c r="CD26" s="229">
        <v>2.0500000000000001E-2</v>
      </c>
      <c r="CE26" s="230">
        <v>4928800</v>
      </c>
      <c r="CF26" s="230">
        <v>4212000</v>
      </c>
      <c r="CG26" s="230">
        <v>716800</v>
      </c>
      <c r="CH26" s="229">
        <v>0.17019999999999999</v>
      </c>
      <c r="CI26" s="228">
        <v>0</v>
      </c>
      <c r="CJ26" s="228">
        <v>0</v>
      </c>
      <c r="CK26" s="228">
        <v>0</v>
      </c>
      <c r="CL26" s="229">
        <v>0</v>
      </c>
      <c r="CM26" s="230">
        <v>28663200</v>
      </c>
      <c r="CN26" s="230">
        <v>26497600</v>
      </c>
      <c r="CO26" s="230">
        <v>2165600</v>
      </c>
      <c r="CP26" s="229">
        <v>8.1699999999999995E-2</v>
      </c>
      <c r="CQ26" s="230">
        <v>15308000</v>
      </c>
      <c r="CR26" s="230">
        <v>13906800</v>
      </c>
      <c r="CS26" s="230">
        <v>1401200</v>
      </c>
      <c r="CT26" s="229">
        <v>0.1008</v>
      </c>
      <c r="CU26" s="230">
        <v>119963200</v>
      </c>
      <c r="CV26" s="230">
        <v>114298800</v>
      </c>
      <c r="CW26" s="230">
        <v>5664400</v>
      </c>
      <c r="CX26" s="229">
        <v>4.9599999999999998E-2</v>
      </c>
      <c r="CY26" s="228">
        <v>38.380000000000003</v>
      </c>
      <c r="CZ26" s="228">
        <v>34.86</v>
      </c>
      <c r="DA26" s="228">
        <v>3.52</v>
      </c>
      <c r="DB26" s="228">
        <v>3.52</v>
      </c>
      <c r="DC26" s="228">
        <v>29.64</v>
      </c>
      <c r="DD26" s="228">
        <v>29.7</v>
      </c>
      <c r="DE26" s="228">
        <v>8.74</v>
      </c>
      <c r="DF26" s="228">
        <v>-0.06</v>
      </c>
      <c r="DG26" s="228">
        <v>37.64</v>
      </c>
      <c r="DH26" s="228">
        <v>34.06</v>
      </c>
      <c r="DI26" s="228">
        <v>3.58</v>
      </c>
      <c r="DJ26" s="228">
        <v>3.58</v>
      </c>
      <c r="DK26" s="228">
        <v>39.71</v>
      </c>
      <c r="DL26" s="228">
        <v>36.36</v>
      </c>
      <c r="DM26" s="228">
        <v>3.35</v>
      </c>
      <c r="DN26" s="228">
        <v>3.35</v>
      </c>
      <c r="DO26" s="228">
        <v>0.53</v>
      </c>
      <c r="DP26" s="228">
        <v>0.52</v>
      </c>
      <c r="DQ26" s="228">
        <v>0.01</v>
      </c>
      <c r="DR26" s="229">
        <v>1.9199999999999998E-2</v>
      </c>
      <c r="DS26" s="231">
        <v>1600</v>
      </c>
      <c r="DT26" s="231">
        <v>1600</v>
      </c>
      <c r="DU26" s="228">
        <v>0.55000000000000004</v>
      </c>
      <c r="DV26" s="228">
        <v>0.53</v>
      </c>
      <c r="DW26" s="228">
        <v>0.02</v>
      </c>
      <c r="DX26" s="229">
        <v>3.7699999999999997E-2</v>
      </c>
      <c r="DY26" s="229">
        <v>6.4899999999999999E-2</v>
      </c>
      <c r="DZ26" s="230">
        <v>4212000</v>
      </c>
      <c r="EA26" s="229">
        <v>4.4999999999999997E-3</v>
      </c>
      <c r="EB26" s="229">
        <v>6.4899999999999999E-2</v>
      </c>
      <c r="EC26" s="228">
        <v>6.4</v>
      </c>
      <c r="ED26" s="229">
        <v>4.0000000000000001E-3</v>
      </c>
      <c r="EE26" s="230">
        <v>6200412</v>
      </c>
      <c r="EF26" s="230">
        <v>2266194</v>
      </c>
      <c r="EG26" s="229">
        <v>1.736</v>
      </c>
      <c r="EH26" s="229">
        <v>0.6855</v>
      </c>
      <c r="EI26" s="231">
        <v>433256.24</v>
      </c>
      <c r="EJ26" s="231">
        <v>224934.67</v>
      </c>
      <c r="EK26" s="231">
        <v>159871.73000000001</v>
      </c>
      <c r="EL26" s="228">
        <v>0</v>
      </c>
      <c r="EM26" s="231">
        <v>818062.64</v>
      </c>
      <c r="EN26" s="231">
        <v>514874.08</v>
      </c>
      <c r="EO26" s="231">
        <v>303188.56</v>
      </c>
      <c r="EP26" s="229">
        <v>0.58889999999999998</v>
      </c>
      <c r="EQ26" s="231">
        <v>475156</v>
      </c>
      <c r="ER26" s="231">
        <v>235974</v>
      </c>
      <c r="ES26" s="231">
        <v>1198909</v>
      </c>
      <c r="ET26" s="231">
        <v>632343512</v>
      </c>
      <c r="EU26" s="231">
        <v>1910039</v>
      </c>
      <c r="EV26" s="231">
        <v>1829776</v>
      </c>
      <c r="EW26" s="231">
        <v>80263</v>
      </c>
      <c r="EX26" s="229">
        <v>4.3900000000000002E-2</v>
      </c>
      <c r="EY26" s="229">
        <v>0.18970000000000001</v>
      </c>
    </row>
    <row r="27" spans="1:155" ht="17.25" thickBot="1" x14ac:dyDescent="0.3">
      <c r="A27" s="226">
        <v>45860</v>
      </c>
      <c r="B27" s="227" t="s">
        <v>168</v>
      </c>
      <c r="C27" s="227" t="s">
        <v>242</v>
      </c>
      <c r="D27" s="228">
        <v>417.2</v>
      </c>
      <c r="E27" s="228">
        <v>420.65</v>
      </c>
      <c r="F27" s="228">
        <v>-3.45</v>
      </c>
      <c r="G27" s="229">
        <v>-8.2000000000000007E-3</v>
      </c>
      <c r="H27" s="228">
        <v>416</v>
      </c>
      <c r="I27" s="228">
        <v>420.1</v>
      </c>
      <c r="J27" s="228">
        <v>-4.0999999999999996</v>
      </c>
      <c r="K27" s="229">
        <v>-9.7999999999999997E-3</v>
      </c>
      <c r="L27" s="228">
        <v>417.2</v>
      </c>
      <c r="M27" s="228">
        <v>420.65</v>
      </c>
      <c r="N27" s="228">
        <v>-3.45</v>
      </c>
      <c r="O27" s="229">
        <v>-8.2000000000000007E-3</v>
      </c>
      <c r="P27" s="228">
        <v>419.4</v>
      </c>
      <c r="Q27" s="228">
        <v>422.95</v>
      </c>
      <c r="R27" s="228">
        <v>-3.55</v>
      </c>
      <c r="S27" s="229">
        <v>-8.3999999999999995E-3</v>
      </c>
      <c r="T27" s="228">
        <v>0</v>
      </c>
      <c r="U27" s="228">
        <v>0</v>
      </c>
      <c r="V27" s="228">
        <v>0</v>
      </c>
      <c r="W27" s="229">
        <v>0</v>
      </c>
      <c r="X27" s="228">
        <v>1.2</v>
      </c>
      <c r="Y27" s="228">
        <v>0.55000000000000004</v>
      </c>
      <c r="Z27" s="228">
        <v>0.65</v>
      </c>
      <c r="AA27" s="229">
        <v>2.8999999999999998E-3</v>
      </c>
      <c r="AB27" s="228">
        <v>1.2</v>
      </c>
      <c r="AC27" s="228">
        <v>0.55000000000000004</v>
      </c>
      <c r="AD27" s="228">
        <v>0.65</v>
      </c>
      <c r="AE27" s="229">
        <v>2.8999999999999998E-3</v>
      </c>
      <c r="AF27" s="228">
        <v>3.4</v>
      </c>
      <c r="AG27" s="228">
        <v>2.85</v>
      </c>
      <c r="AH27" s="228">
        <v>0.55000000000000004</v>
      </c>
      <c r="AI27" s="229">
        <v>8.2000000000000007E-3</v>
      </c>
      <c r="AJ27" s="228">
        <v>0</v>
      </c>
      <c r="AK27" s="228">
        <v>0</v>
      </c>
      <c r="AL27" s="228">
        <v>0</v>
      </c>
      <c r="AM27" s="229">
        <v>0</v>
      </c>
      <c r="AN27" s="228">
        <v>417.87</v>
      </c>
      <c r="AO27" s="228">
        <v>419.9</v>
      </c>
      <c r="AP27" s="228">
        <v>0</v>
      </c>
      <c r="AQ27" s="230">
        <v>10412</v>
      </c>
      <c r="AR27" s="230">
        <v>4913</v>
      </c>
      <c r="AS27" s="230">
        <v>5499</v>
      </c>
      <c r="AT27" s="229">
        <v>1.1193</v>
      </c>
      <c r="AU27" s="230">
        <v>7629</v>
      </c>
      <c r="AV27" s="230">
        <v>3947</v>
      </c>
      <c r="AW27" s="230">
        <v>3682</v>
      </c>
      <c r="AX27" s="229">
        <v>0.93289999999999995</v>
      </c>
      <c r="AY27" s="230">
        <v>2662</v>
      </c>
      <c r="AZ27" s="228">
        <v>923</v>
      </c>
      <c r="BA27" s="230">
        <v>1739</v>
      </c>
      <c r="BB27" s="229">
        <v>1.8841000000000001</v>
      </c>
      <c r="BC27" s="228">
        <v>0</v>
      </c>
      <c r="BD27" s="228">
        <v>0</v>
      </c>
      <c r="BE27" s="228">
        <v>0</v>
      </c>
      <c r="BF27" s="229">
        <v>0</v>
      </c>
      <c r="BG27" s="230">
        <v>25963</v>
      </c>
      <c r="BH27" s="230">
        <v>26298</v>
      </c>
      <c r="BI27" s="228">
        <v>-335</v>
      </c>
      <c r="BJ27" s="229">
        <v>-1.2699999999999999E-2</v>
      </c>
      <c r="BK27" s="230">
        <v>14152</v>
      </c>
      <c r="BL27" s="230">
        <v>11402</v>
      </c>
      <c r="BM27" s="230">
        <v>2750</v>
      </c>
      <c r="BN27" s="229">
        <v>0.2412</v>
      </c>
      <c r="BO27" s="230">
        <v>50527</v>
      </c>
      <c r="BP27" s="230">
        <v>42613</v>
      </c>
      <c r="BQ27" s="230">
        <v>7914</v>
      </c>
      <c r="BR27" s="229">
        <v>0.1857</v>
      </c>
      <c r="BS27" s="230">
        <v>10162446</v>
      </c>
      <c r="BT27" s="230">
        <v>5386423</v>
      </c>
      <c r="BU27" s="230">
        <v>4776023</v>
      </c>
      <c r="BV27" s="229">
        <v>0.88670000000000004</v>
      </c>
      <c r="BW27" s="230">
        <v>113659200</v>
      </c>
      <c r="BX27" s="230">
        <v>113508800</v>
      </c>
      <c r="BY27" s="230">
        <v>150400</v>
      </c>
      <c r="BZ27" s="229">
        <v>1.2999999999999999E-3</v>
      </c>
      <c r="CA27" s="230">
        <v>95931200</v>
      </c>
      <c r="CB27" s="230">
        <v>99403200</v>
      </c>
      <c r="CC27" s="230">
        <v>-3472000</v>
      </c>
      <c r="CD27" s="229">
        <v>-3.49E-2</v>
      </c>
      <c r="CE27" s="230">
        <v>14686400</v>
      </c>
      <c r="CF27" s="230">
        <v>11156800</v>
      </c>
      <c r="CG27" s="230">
        <v>3529600</v>
      </c>
      <c r="CH27" s="229">
        <v>0.31640000000000001</v>
      </c>
      <c r="CI27" s="228">
        <v>0</v>
      </c>
      <c r="CJ27" s="228">
        <v>0</v>
      </c>
      <c r="CK27" s="228">
        <v>0</v>
      </c>
      <c r="CL27" s="229">
        <v>0</v>
      </c>
      <c r="CM27" s="230">
        <v>53152000</v>
      </c>
      <c r="CN27" s="230">
        <v>51934400</v>
      </c>
      <c r="CO27" s="230">
        <v>1217600</v>
      </c>
      <c r="CP27" s="229">
        <v>2.3400000000000001E-2</v>
      </c>
      <c r="CQ27" s="230">
        <v>30582400</v>
      </c>
      <c r="CR27" s="230">
        <v>29721600</v>
      </c>
      <c r="CS27" s="230">
        <v>860800</v>
      </c>
      <c r="CT27" s="229">
        <v>2.9000000000000001E-2</v>
      </c>
      <c r="CU27" s="230">
        <v>197393600</v>
      </c>
      <c r="CV27" s="230">
        <v>195164800</v>
      </c>
      <c r="CW27" s="230">
        <v>2228800</v>
      </c>
      <c r="CX27" s="229">
        <v>1.14E-2</v>
      </c>
      <c r="CY27" s="228">
        <v>13.8</v>
      </c>
      <c r="CZ27" s="228">
        <v>14.15</v>
      </c>
      <c r="DA27" s="228">
        <v>-0.35</v>
      </c>
      <c r="DB27" s="228">
        <v>-0.35</v>
      </c>
      <c r="DC27" s="228">
        <v>20.82</v>
      </c>
      <c r="DD27" s="228">
        <v>20.83</v>
      </c>
      <c r="DE27" s="228">
        <v>-7.02</v>
      </c>
      <c r="DF27" s="228">
        <v>-0.01</v>
      </c>
      <c r="DG27" s="228">
        <v>14.07</v>
      </c>
      <c r="DH27" s="228">
        <v>14.62</v>
      </c>
      <c r="DI27" s="228">
        <v>-0.55000000000000004</v>
      </c>
      <c r="DJ27" s="228">
        <v>-0.55000000000000004</v>
      </c>
      <c r="DK27" s="228">
        <v>13.32</v>
      </c>
      <c r="DL27" s="228">
        <v>13.08</v>
      </c>
      <c r="DM27" s="228">
        <v>0.24</v>
      </c>
      <c r="DN27" s="228">
        <v>0.24</v>
      </c>
      <c r="DO27" s="228">
        <v>0.57999999999999996</v>
      </c>
      <c r="DP27" s="228">
        <v>0.56999999999999995</v>
      </c>
      <c r="DQ27" s="228">
        <v>0.01</v>
      </c>
      <c r="DR27" s="229">
        <v>1.7500000000000002E-2</v>
      </c>
      <c r="DS27" s="228">
        <v>420</v>
      </c>
      <c r="DT27" s="228">
        <v>420</v>
      </c>
      <c r="DU27" s="228">
        <v>0.55000000000000004</v>
      </c>
      <c r="DV27" s="228">
        <v>0.43</v>
      </c>
      <c r="DW27" s="228">
        <v>0.12</v>
      </c>
      <c r="DX27" s="229">
        <v>0.27910000000000001</v>
      </c>
      <c r="DY27" s="229">
        <v>0.12920000000000001</v>
      </c>
      <c r="DZ27" s="230">
        <v>11156800</v>
      </c>
      <c r="EA27" s="229">
        <v>5.3E-3</v>
      </c>
      <c r="EB27" s="229">
        <v>0.12920000000000001</v>
      </c>
      <c r="EC27" s="228">
        <v>2.0299999999999998</v>
      </c>
      <c r="ED27" s="229">
        <v>4.8999999999999998E-3</v>
      </c>
      <c r="EE27" s="230">
        <v>7532078</v>
      </c>
      <c r="EF27" s="230">
        <v>3177337</v>
      </c>
      <c r="EG27" s="229">
        <v>1.3706</v>
      </c>
      <c r="EH27" s="229">
        <v>0.74119999999999997</v>
      </c>
      <c r="EI27" s="231">
        <v>177890.79</v>
      </c>
      <c r="EJ27" s="231">
        <v>94858.78</v>
      </c>
      <c r="EK27" s="231">
        <v>69709</v>
      </c>
      <c r="EL27" s="228">
        <v>0</v>
      </c>
      <c r="EM27" s="231">
        <v>342458.57</v>
      </c>
      <c r="EN27" s="231">
        <v>292248.39</v>
      </c>
      <c r="EO27" s="231">
        <v>50210.18</v>
      </c>
      <c r="EP27" s="229">
        <v>0.17180000000000001</v>
      </c>
      <c r="EQ27" s="231">
        <v>229445</v>
      </c>
      <c r="ER27" s="231">
        <v>125817</v>
      </c>
      <c r="ES27" s="231">
        <v>474645</v>
      </c>
      <c r="ET27" s="231">
        <v>2502122210</v>
      </c>
      <c r="EU27" s="231">
        <v>829906</v>
      </c>
      <c r="EV27" s="231">
        <v>824613</v>
      </c>
      <c r="EW27" s="231">
        <v>5293</v>
      </c>
      <c r="EX27" s="229">
        <v>6.4000000000000003E-3</v>
      </c>
      <c r="EY27" s="229">
        <v>7.8899999999999998E-2</v>
      </c>
    </row>
    <row r="28" spans="1:155" ht="17.25" thickBot="1" x14ac:dyDescent="0.3">
      <c r="A28" s="226">
        <v>45860</v>
      </c>
      <c r="B28" s="227" t="s">
        <v>175</v>
      </c>
      <c r="C28" s="227" t="s">
        <v>571</v>
      </c>
      <c r="D28" s="228">
        <v>311.45</v>
      </c>
      <c r="E28" s="228">
        <v>318.35000000000002</v>
      </c>
      <c r="F28" s="228">
        <v>-6.9</v>
      </c>
      <c r="G28" s="229">
        <v>-2.1700000000000001E-2</v>
      </c>
      <c r="H28" s="228">
        <v>310.8</v>
      </c>
      <c r="I28" s="228">
        <v>317.25</v>
      </c>
      <c r="J28" s="228">
        <v>-6.45</v>
      </c>
      <c r="K28" s="229">
        <v>-2.0299999999999999E-2</v>
      </c>
      <c r="L28" s="228">
        <v>311.45</v>
      </c>
      <c r="M28" s="228">
        <v>318.35000000000002</v>
      </c>
      <c r="N28" s="228">
        <v>-6.9</v>
      </c>
      <c r="O28" s="229">
        <v>-2.1700000000000001E-2</v>
      </c>
      <c r="P28" s="228">
        <v>312.75</v>
      </c>
      <c r="Q28" s="228">
        <v>319.35000000000002</v>
      </c>
      <c r="R28" s="228">
        <v>-6.6</v>
      </c>
      <c r="S28" s="229">
        <v>-2.07E-2</v>
      </c>
      <c r="T28" s="228">
        <v>0</v>
      </c>
      <c r="U28" s="228">
        <v>0</v>
      </c>
      <c r="V28" s="228">
        <v>0</v>
      </c>
      <c r="W28" s="229">
        <v>0</v>
      </c>
      <c r="X28" s="228">
        <v>0.65</v>
      </c>
      <c r="Y28" s="228">
        <v>1.1000000000000001</v>
      </c>
      <c r="Z28" s="228">
        <v>-0.45</v>
      </c>
      <c r="AA28" s="229">
        <v>2.0999999999999999E-3</v>
      </c>
      <c r="AB28" s="228">
        <v>0.65</v>
      </c>
      <c r="AC28" s="228">
        <v>1.1000000000000001</v>
      </c>
      <c r="AD28" s="228">
        <v>-0.45</v>
      </c>
      <c r="AE28" s="229">
        <v>2.0999999999999999E-3</v>
      </c>
      <c r="AF28" s="228">
        <v>1.95</v>
      </c>
      <c r="AG28" s="228">
        <v>2.1</v>
      </c>
      <c r="AH28" s="228">
        <v>-0.15</v>
      </c>
      <c r="AI28" s="229">
        <v>6.3E-3</v>
      </c>
      <c r="AJ28" s="228">
        <v>0</v>
      </c>
      <c r="AK28" s="228">
        <v>0</v>
      </c>
      <c r="AL28" s="228">
        <v>0</v>
      </c>
      <c r="AM28" s="229">
        <v>0</v>
      </c>
      <c r="AN28" s="228">
        <v>313.8</v>
      </c>
      <c r="AO28" s="228">
        <v>314.77999999999997</v>
      </c>
      <c r="AP28" s="228">
        <v>0</v>
      </c>
      <c r="AQ28" s="230">
        <v>8723</v>
      </c>
      <c r="AR28" s="230">
        <v>8307</v>
      </c>
      <c r="AS28" s="228">
        <v>416</v>
      </c>
      <c r="AT28" s="229">
        <v>5.0099999999999999E-2</v>
      </c>
      <c r="AU28" s="230">
        <v>5846</v>
      </c>
      <c r="AV28" s="230">
        <v>6327</v>
      </c>
      <c r="AW28" s="228">
        <v>-481</v>
      </c>
      <c r="AX28" s="229">
        <v>-7.5999999999999998E-2</v>
      </c>
      <c r="AY28" s="230">
        <v>2553</v>
      </c>
      <c r="AZ28" s="230">
        <v>1815</v>
      </c>
      <c r="BA28" s="228">
        <v>738</v>
      </c>
      <c r="BB28" s="229">
        <v>0.40660000000000002</v>
      </c>
      <c r="BC28" s="228">
        <v>0</v>
      </c>
      <c r="BD28" s="228">
        <v>0</v>
      </c>
      <c r="BE28" s="228">
        <v>0</v>
      </c>
      <c r="BF28" s="229">
        <v>0</v>
      </c>
      <c r="BG28" s="230">
        <v>49740</v>
      </c>
      <c r="BH28" s="230">
        <v>42516</v>
      </c>
      <c r="BI28" s="230">
        <v>7224</v>
      </c>
      <c r="BJ28" s="229">
        <v>0.1699</v>
      </c>
      <c r="BK28" s="230">
        <v>21753</v>
      </c>
      <c r="BL28" s="230">
        <v>19729</v>
      </c>
      <c r="BM28" s="230">
        <v>2024</v>
      </c>
      <c r="BN28" s="229">
        <v>0.1026</v>
      </c>
      <c r="BO28" s="230">
        <v>80216</v>
      </c>
      <c r="BP28" s="230">
        <v>70552</v>
      </c>
      <c r="BQ28" s="230">
        <v>9664</v>
      </c>
      <c r="BR28" s="229">
        <v>0.13700000000000001</v>
      </c>
      <c r="BS28" s="230">
        <v>17283671</v>
      </c>
      <c r="BT28" s="230">
        <v>17999219</v>
      </c>
      <c r="BU28" s="230">
        <v>-715548</v>
      </c>
      <c r="BV28" s="229">
        <v>-3.9800000000000002E-2</v>
      </c>
      <c r="BW28" s="230">
        <v>118214400</v>
      </c>
      <c r="BX28" s="230">
        <v>116783250</v>
      </c>
      <c r="BY28" s="230">
        <v>1431150</v>
      </c>
      <c r="BZ28" s="229">
        <v>1.23E-2</v>
      </c>
      <c r="CA28" s="230">
        <v>79336000</v>
      </c>
      <c r="CB28" s="230">
        <v>81657800</v>
      </c>
      <c r="CC28" s="230">
        <v>-2321800</v>
      </c>
      <c r="CD28" s="229">
        <v>-2.8400000000000002E-2</v>
      </c>
      <c r="CE28" s="230">
        <v>35430950</v>
      </c>
      <c r="CF28" s="230">
        <v>32148000</v>
      </c>
      <c r="CG28" s="230">
        <v>3282950</v>
      </c>
      <c r="CH28" s="229">
        <v>0.1021</v>
      </c>
      <c r="CI28" s="228">
        <v>0</v>
      </c>
      <c r="CJ28" s="228">
        <v>0</v>
      </c>
      <c r="CK28" s="228">
        <v>0</v>
      </c>
      <c r="CL28" s="229">
        <v>0</v>
      </c>
      <c r="CM28" s="230">
        <v>97555550</v>
      </c>
      <c r="CN28" s="230">
        <v>91229350</v>
      </c>
      <c r="CO28" s="230">
        <v>6326200</v>
      </c>
      <c r="CP28" s="229">
        <v>6.93E-2</v>
      </c>
      <c r="CQ28" s="230">
        <v>50238300</v>
      </c>
      <c r="CR28" s="230">
        <v>48200850</v>
      </c>
      <c r="CS28" s="230">
        <v>2037450</v>
      </c>
      <c r="CT28" s="229">
        <v>4.2299999999999997E-2</v>
      </c>
      <c r="CU28" s="230">
        <v>266008250</v>
      </c>
      <c r="CV28" s="230">
        <v>256213450</v>
      </c>
      <c r="CW28" s="230">
        <v>9794800</v>
      </c>
      <c r="CX28" s="229">
        <v>3.8199999999999998E-2</v>
      </c>
      <c r="CY28" s="228">
        <v>29.52</v>
      </c>
      <c r="CZ28" s="228">
        <v>29.34</v>
      </c>
      <c r="DA28" s="228">
        <v>0.18</v>
      </c>
      <c r="DB28" s="228">
        <v>0.18</v>
      </c>
      <c r="DC28" s="228">
        <v>39.26</v>
      </c>
      <c r="DD28" s="228">
        <v>39.24</v>
      </c>
      <c r="DE28" s="228">
        <v>-9.74</v>
      </c>
      <c r="DF28" s="228">
        <v>0.02</v>
      </c>
      <c r="DG28" s="228">
        <v>30.49</v>
      </c>
      <c r="DH28" s="228">
        <v>29.41</v>
      </c>
      <c r="DI28" s="228">
        <v>1.08</v>
      </c>
      <c r="DJ28" s="228">
        <v>1.08</v>
      </c>
      <c r="DK28" s="228">
        <v>27.29</v>
      </c>
      <c r="DL28" s="228">
        <v>29.18</v>
      </c>
      <c r="DM28" s="228">
        <v>-1.89</v>
      </c>
      <c r="DN28" s="228">
        <v>-1.89</v>
      </c>
      <c r="DO28" s="228">
        <v>0.51</v>
      </c>
      <c r="DP28" s="228">
        <v>0.53</v>
      </c>
      <c r="DQ28" s="228">
        <v>-0.02</v>
      </c>
      <c r="DR28" s="229">
        <v>-3.7699999999999997E-2</v>
      </c>
      <c r="DS28" s="228">
        <v>330</v>
      </c>
      <c r="DT28" s="228">
        <v>300</v>
      </c>
      <c r="DU28" s="228">
        <v>0.44</v>
      </c>
      <c r="DV28" s="228">
        <v>0.46</v>
      </c>
      <c r="DW28" s="228">
        <v>-0.02</v>
      </c>
      <c r="DX28" s="229">
        <v>-4.3499999999999997E-2</v>
      </c>
      <c r="DY28" s="229">
        <v>0.29970000000000002</v>
      </c>
      <c r="DZ28" s="230">
        <v>32148000</v>
      </c>
      <c r="EA28" s="229">
        <v>4.1999999999999997E-3</v>
      </c>
      <c r="EB28" s="229">
        <v>0.29970000000000002</v>
      </c>
      <c r="EC28" s="228">
        <v>0.98</v>
      </c>
      <c r="ED28" s="229">
        <v>3.0999999999999999E-3</v>
      </c>
      <c r="EE28" s="230">
        <v>8704040</v>
      </c>
      <c r="EF28" s="230">
        <v>8251657</v>
      </c>
      <c r="EG28" s="229">
        <v>5.4800000000000001E-2</v>
      </c>
      <c r="EH28" s="229">
        <v>0.50360000000000005</v>
      </c>
      <c r="EI28" s="231">
        <v>387402.18</v>
      </c>
      <c r="EJ28" s="231">
        <v>160131.79</v>
      </c>
      <c r="EK28" s="231">
        <v>64406.79</v>
      </c>
      <c r="EL28" s="228">
        <v>0</v>
      </c>
      <c r="EM28" s="231">
        <v>611940.76</v>
      </c>
      <c r="EN28" s="231">
        <v>540985.44999999995</v>
      </c>
      <c r="EO28" s="231">
        <v>70955.31</v>
      </c>
      <c r="EP28" s="229">
        <v>0.13120000000000001</v>
      </c>
      <c r="EQ28" s="231">
        <v>326246</v>
      </c>
      <c r="ER28" s="231">
        <v>153447</v>
      </c>
      <c r="ES28" s="231">
        <v>368760</v>
      </c>
      <c r="ET28" s="231">
        <v>671850851</v>
      </c>
      <c r="EU28" s="231">
        <v>848454</v>
      </c>
      <c r="EV28" s="231">
        <v>825895</v>
      </c>
      <c r="EW28" s="231">
        <v>22559</v>
      </c>
      <c r="EX28" s="229">
        <v>2.7300000000000001E-2</v>
      </c>
      <c r="EY28" s="229">
        <v>0.39589999999999997</v>
      </c>
    </row>
    <row r="29" spans="1:155" ht="17.25" thickBot="1" x14ac:dyDescent="0.3">
      <c r="A29" s="226">
        <v>45860</v>
      </c>
      <c r="B29" s="227" t="s">
        <v>227</v>
      </c>
      <c r="C29" s="227" t="s">
        <v>244</v>
      </c>
      <c r="D29" s="231">
        <v>1033.4000000000001</v>
      </c>
      <c r="E29" s="231">
        <v>1035.5</v>
      </c>
      <c r="F29" s="228">
        <v>-2.1</v>
      </c>
      <c r="G29" s="229">
        <v>-2E-3</v>
      </c>
      <c r="H29" s="231">
        <v>1030.7</v>
      </c>
      <c r="I29" s="231">
        <v>1034.8</v>
      </c>
      <c r="J29" s="228">
        <v>-4.0999999999999996</v>
      </c>
      <c r="K29" s="229">
        <v>-4.0000000000000001E-3</v>
      </c>
      <c r="L29" s="231">
        <v>1033.4000000000001</v>
      </c>
      <c r="M29" s="231">
        <v>1035.5</v>
      </c>
      <c r="N29" s="228">
        <v>-2.1</v>
      </c>
      <c r="O29" s="229">
        <v>-2E-3</v>
      </c>
      <c r="P29" s="231">
        <v>1038.4000000000001</v>
      </c>
      <c r="Q29" s="231">
        <v>1040.5999999999999</v>
      </c>
      <c r="R29" s="228">
        <v>-2.2000000000000002</v>
      </c>
      <c r="S29" s="229">
        <v>-2.0999999999999999E-3</v>
      </c>
      <c r="T29" s="228">
        <v>0</v>
      </c>
      <c r="U29" s="228">
        <v>0</v>
      </c>
      <c r="V29" s="228">
        <v>0</v>
      </c>
      <c r="W29" s="229">
        <v>0</v>
      </c>
      <c r="X29" s="228">
        <v>2.7</v>
      </c>
      <c r="Y29" s="228">
        <v>0.7</v>
      </c>
      <c r="Z29" s="228">
        <v>2</v>
      </c>
      <c r="AA29" s="229">
        <v>2.5999999999999999E-3</v>
      </c>
      <c r="AB29" s="228">
        <v>2.7</v>
      </c>
      <c r="AC29" s="228">
        <v>0.7</v>
      </c>
      <c r="AD29" s="228">
        <v>2</v>
      </c>
      <c r="AE29" s="229">
        <v>2.5999999999999999E-3</v>
      </c>
      <c r="AF29" s="228">
        <v>7.7</v>
      </c>
      <c r="AG29" s="228">
        <v>5.8</v>
      </c>
      <c r="AH29" s="228">
        <v>1.9</v>
      </c>
      <c r="AI29" s="229">
        <v>7.4999999999999997E-3</v>
      </c>
      <c r="AJ29" s="228">
        <v>0</v>
      </c>
      <c r="AK29" s="228">
        <v>0</v>
      </c>
      <c r="AL29" s="228">
        <v>0</v>
      </c>
      <c r="AM29" s="229">
        <v>0</v>
      </c>
      <c r="AN29" s="231">
        <v>1037.8800000000001</v>
      </c>
      <c r="AO29" s="231">
        <v>1042.4100000000001</v>
      </c>
      <c r="AP29" s="228">
        <v>0</v>
      </c>
      <c r="AQ29" s="230">
        <v>4480</v>
      </c>
      <c r="AR29" s="230">
        <v>10447</v>
      </c>
      <c r="AS29" s="230">
        <v>-5967</v>
      </c>
      <c r="AT29" s="229">
        <v>-0.57120000000000004</v>
      </c>
      <c r="AU29" s="230">
        <v>3805</v>
      </c>
      <c r="AV29" s="230">
        <v>9454</v>
      </c>
      <c r="AW29" s="230">
        <v>-5649</v>
      </c>
      <c r="AX29" s="229">
        <v>-0.59750000000000003</v>
      </c>
      <c r="AY29" s="228">
        <v>623</v>
      </c>
      <c r="AZ29" s="228">
        <v>919</v>
      </c>
      <c r="BA29" s="228">
        <v>-296</v>
      </c>
      <c r="BB29" s="229">
        <v>-0.3221</v>
      </c>
      <c r="BC29" s="228">
        <v>0</v>
      </c>
      <c r="BD29" s="228">
        <v>0</v>
      </c>
      <c r="BE29" s="228">
        <v>0</v>
      </c>
      <c r="BF29" s="229">
        <v>0</v>
      </c>
      <c r="BG29" s="230">
        <v>15857</v>
      </c>
      <c r="BH29" s="230">
        <v>44981</v>
      </c>
      <c r="BI29" s="230">
        <v>-29124</v>
      </c>
      <c r="BJ29" s="229">
        <v>-0.64749999999999996</v>
      </c>
      <c r="BK29" s="230">
        <v>6710</v>
      </c>
      <c r="BL29" s="230">
        <v>15015</v>
      </c>
      <c r="BM29" s="230">
        <v>-8305</v>
      </c>
      <c r="BN29" s="229">
        <v>-0.55310000000000004</v>
      </c>
      <c r="BO29" s="230">
        <v>27047</v>
      </c>
      <c r="BP29" s="230">
        <v>70443</v>
      </c>
      <c r="BQ29" s="230">
        <v>-43396</v>
      </c>
      <c r="BR29" s="229">
        <v>-0.61599999999999999</v>
      </c>
      <c r="BS29" s="230">
        <v>1356371</v>
      </c>
      <c r="BT29" s="230">
        <v>2849634</v>
      </c>
      <c r="BU29" s="230">
        <v>-1493263</v>
      </c>
      <c r="BV29" s="229">
        <v>-0.52400000000000002</v>
      </c>
      <c r="BW29" s="230">
        <v>38869200</v>
      </c>
      <c r="BX29" s="230">
        <v>39002175</v>
      </c>
      <c r="BY29" s="230">
        <v>-132975</v>
      </c>
      <c r="BZ29" s="229">
        <v>-3.3999999999999998E-3</v>
      </c>
      <c r="CA29" s="230">
        <v>37327500</v>
      </c>
      <c r="CB29" s="230">
        <v>37569825</v>
      </c>
      <c r="CC29" s="230">
        <v>-242325</v>
      </c>
      <c r="CD29" s="229">
        <v>-6.4000000000000003E-3</v>
      </c>
      <c r="CE29" s="230">
        <v>1485000</v>
      </c>
      <c r="CF29" s="230">
        <v>1373625</v>
      </c>
      <c r="CG29" s="230">
        <v>111375</v>
      </c>
      <c r="CH29" s="229">
        <v>8.1100000000000005E-2</v>
      </c>
      <c r="CI29" s="228">
        <v>0</v>
      </c>
      <c r="CJ29" s="228">
        <v>0</v>
      </c>
      <c r="CK29" s="228">
        <v>0</v>
      </c>
      <c r="CL29" s="229">
        <v>0</v>
      </c>
      <c r="CM29" s="230">
        <v>9427725</v>
      </c>
      <c r="CN29" s="230">
        <v>10558350</v>
      </c>
      <c r="CO29" s="230">
        <v>-1130625</v>
      </c>
      <c r="CP29" s="229">
        <v>-0.1071</v>
      </c>
      <c r="CQ29" s="230">
        <v>6058800</v>
      </c>
      <c r="CR29" s="230">
        <v>6507000</v>
      </c>
      <c r="CS29" s="230">
        <v>-448200</v>
      </c>
      <c r="CT29" s="229">
        <v>-6.8900000000000003E-2</v>
      </c>
      <c r="CU29" s="230">
        <v>54355725</v>
      </c>
      <c r="CV29" s="230">
        <v>56067525</v>
      </c>
      <c r="CW29" s="230">
        <v>-1711800</v>
      </c>
      <c r="CX29" s="229">
        <v>-3.0499999999999999E-2</v>
      </c>
      <c r="CY29" s="228">
        <v>24.59</v>
      </c>
      <c r="CZ29" s="228">
        <v>24.49</v>
      </c>
      <c r="DA29" s="228">
        <v>0.1</v>
      </c>
      <c r="DB29" s="228">
        <v>0.1</v>
      </c>
      <c r="DC29" s="228">
        <v>31.46</v>
      </c>
      <c r="DD29" s="228">
        <v>31.54</v>
      </c>
      <c r="DE29" s="228">
        <v>-6.87</v>
      </c>
      <c r="DF29" s="228">
        <v>-0.08</v>
      </c>
      <c r="DG29" s="228">
        <v>24.88</v>
      </c>
      <c r="DH29" s="228">
        <v>24.72</v>
      </c>
      <c r="DI29" s="228">
        <v>0.16</v>
      </c>
      <c r="DJ29" s="228">
        <v>0.16</v>
      </c>
      <c r="DK29" s="228">
        <v>23.91</v>
      </c>
      <c r="DL29" s="228">
        <v>23.82</v>
      </c>
      <c r="DM29" s="228">
        <v>0.09</v>
      </c>
      <c r="DN29" s="228">
        <v>0.09</v>
      </c>
      <c r="DO29" s="228">
        <v>0.64</v>
      </c>
      <c r="DP29" s="228">
        <v>0.62</v>
      </c>
      <c r="DQ29" s="228">
        <v>0.02</v>
      </c>
      <c r="DR29" s="229">
        <v>3.2300000000000002E-2</v>
      </c>
      <c r="DS29" s="231">
        <v>1180</v>
      </c>
      <c r="DT29" s="231">
        <v>1000</v>
      </c>
      <c r="DU29" s="228">
        <v>0.42</v>
      </c>
      <c r="DV29" s="228">
        <v>0.33</v>
      </c>
      <c r="DW29" s="228">
        <v>0.09</v>
      </c>
      <c r="DX29" s="229">
        <v>0.2727</v>
      </c>
      <c r="DY29" s="229">
        <v>3.8199999999999998E-2</v>
      </c>
      <c r="DZ29" s="230">
        <v>1373625</v>
      </c>
      <c r="EA29" s="229">
        <v>4.7999999999999996E-3</v>
      </c>
      <c r="EB29" s="229">
        <v>3.8199999999999998E-2</v>
      </c>
      <c r="EC29" s="228">
        <v>4.53</v>
      </c>
      <c r="ED29" s="229">
        <v>4.4000000000000003E-3</v>
      </c>
      <c r="EE29" s="230">
        <v>720068</v>
      </c>
      <c r="EF29" s="230">
        <v>953998</v>
      </c>
      <c r="EG29" s="229">
        <v>-0.2452</v>
      </c>
      <c r="EH29" s="229">
        <v>0.53090000000000004</v>
      </c>
      <c r="EI29" s="231">
        <v>115179.1</v>
      </c>
      <c r="EJ29" s="231">
        <v>46216.7</v>
      </c>
      <c r="EK29" s="231">
        <v>31408.52</v>
      </c>
      <c r="EL29" s="228">
        <v>0</v>
      </c>
      <c r="EM29" s="231">
        <v>192804.32</v>
      </c>
      <c r="EN29" s="231">
        <v>500117.39</v>
      </c>
      <c r="EO29" s="231">
        <v>-307313.07</v>
      </c>
      <c r="EP29" s="229">
        <v>-0.61450000000000005</v>
      </c>
      <c r="EQ29" s="231">
        <v>102287</v>
      </c>
      <c r="ER29" s="231">
        <v>59657</v>
      </c>
      <c r="ES29" s="231">
        <v>401755</v>
      </c>
      <c r="ET29" s="231">
        <v>268798007</v>
      </c>
      <c r="EU29" s="231">
        <v>563698</v>
      </c>
      <c r="EV29" s="231">
        <v>582377</v>
      </c>
      <c r="EW29" s="231">
        <v>-18679</v>
      </c>
      <c r="EX29" s="229">
        <v>-3.2099999999999997E-2</v>
      </c>
      <c r="EY29" s="229">
        <v>0.20219999999999999</v>
      </c>
    </row>
    <row r="30" spans="1:155" ht="17.25" thickBot="1" x14ac:dyDescent="0.3">
      <c r="A30" s="226">
        <v>45860</v>
      </c>
      <c r="B30" s="227" t="s">
        <v>172</v>
      </c>
      <c r="C30" s="227" t="s">
        <v>246</v>
      </c>
      <c r="D30" s="231">
        <v>2161.8000000000002</v>
      </c>
      <c r="E30" s="231">
        <v>2166.8000000000002</v>
      </c>
      <c r="F30" s="228">
        <v>-5</v>
      </c>
      <c r="G30" s="229">
        <v>-2.3E-3</v>
      </c>
      <c r="H30" s="231">
        <v>2160.1999999999998</v>
      </c>
      <c r="I30" s="231">
        <v>2165.1999999999998</v>
      </c>
      <c r="J30" s="228">
        <v>-5</v>
      </c>
      <c r="K30" s="229">
        <v>-2.3E-3</v>
      </c>
      <c r="L30" s="231">
        <v>2161.8000000000002</v>
      </c>
      <c r="M30" s="231">
        <v>2166.8000000000002</v>
      </c>
      <c r="N30" s="228">
        <v>-5</v>
      </c>
      <c r="O30" s="229">
        <v>-2.3E-3</v>
      </c>
      <c r="P30" s="231">
        <v>2172.8000000000002</v>
      </c>
      <c r="Q30" s="231">
        <v>2177.1999999999998</v>
      </c>
      <c r="R30" s="228">
        <v>-4.4000000000000004</v>
      </c>
      <c r="S30" s="229">
        <v>-2E-3</v>
      </c>
      <c r="T30" s="228">
        <v>0</v>
      </c>
      <c r="U30" s="228">
        <v>0</v>
      </c>
      <c r="V30" s="228">
        <v>0</v>
      </c>
      <c r="W30" s="229">
        <v>0</v>
      </c>
      <c r="X30" s="228">
        <v>1.6</v>
      </c>
      <c r="Y30" s="228">
        <v>1.6</v>
      </c>
      <c r="Z30" s="228">
        <v>0</v>
      </c>
      <c r="AA30" s="229">
        <v>6.9999999999999999E-4</v>
      </c>
      <c r="AB30" s="228">
        <v>1.6</v>
      </c>
      <c r="AC30" s="228">
        <v>1.6</v>
      </c>
      <c r="AD30" s="228">
        <v>0</v>
      </c>
      <c r="AE30" s="229">
        <v>6.9999999999999999E-4</v>
      </c>
      <c r="AF30" s="228">
        <v>12.6</v>
      </c>
      <c r="AG30" s="228">
        <v>12</v>
      </c>
      <c r="AH30" s="228">
        <v>0.6</v>
      </c>
      <c r="AI30" s="229">
        <v>5.7999999999999996E-3</v>
      </c>
      <c r="AJ30" s="228">
        <v>0</v>
      </c>
      <c r="AK30" s="228">
        <v>0</v>
      </c>
      <c r="AL30" s="228">
        <v>0</v>
      </c>
      <c r="AM30" s="229">
        <v>0</v>
      </c>
      <c r="AN30" s="231">
        <v>2157.08</v>
      </c>
      <c r="AO30" s="231">
        <v>2166.16</v>
      </c>
      <c r="AP30" s="228">
        <v>0</v>
      </c>
      <c r="AQ30" s="230">
        <v>7853</v>
      </c>
      <c r="AR30" s="230">
        <v>10045</v>
      </c>
      <c r="AS30" s="230">
        <v>-2192</v>
      </c>
      <c r="AT30" s="229">
        <v>-0.21820000000000001</v>
      </c>
      <c r="AU30" s="230">
        <v>6162</v>
      </c>
      <c r="AV30" s="230">
        <v>8812</v>
      </c>
      <c r="AW30" s="230">
        <v>-2650</v>
      </c>
      <c r="AX30" s="229">
        <v>-0.30070000000000002</v>
      </c>
      <c r="AY30" s="230">
        <v>1630</v>
      </c>
      <c r="AZ30" s="230">
        <v>1198</v>
      </c>
      <c r="BA30" s="228">
        <v>432</v>
      </c>
      <c r="BB30" s="229">
        <v>0.36059999999999998</v>
      </c>
      <c r="BC30" s="228">
        <v>0</v>
      </c>
      <c r="BD30" s="228">
        <v>0</v>
      </c>
      <c r="BE30" s="228">
        <v>0</v>
      </c>
      <c r="BF30" s="229">
        <v>0</v>
      </c>
      <c r="BG30" s="230">
        <v>15027</v>
      </c>
      <c r="BH30" s="230">
        <v>23988</v>
      </c>
      <c r="BI30" s="230">
        <v>-8961</v>
      </c>
      <c r="BJ30" s="229">
        <v>-0.37359999999999999</v>
      </c>
      <c r="BK30" s="230">
        <v>9099</v>
      </c>
      <c r="BL30" s="230">
        <v>13450</v>
      </c>
      <c r="BM30" s="230">
        <v>-4351</v>
      </c>
      <c r="BN30" s="229">
        <v>-0.32350000000000001</v>
      </c>
      <c r="BO30" s="230">
        <v>31979</v>
      </c>
      <c r="BP30" s="230">
        <v>47483</v>
      </c>
      <c r="BQ30" s="230">
        <v>-15504</v>
      </c>
      <c r="BR30" s="229">
        <v>-0.32650000000000001</v>
      </c>
      <c r="BS30" s="230">
        <v>1588966</v>
      </c>
      <c r="BT30" s="230">
        <v>1863293</v>
      </c>
      <c r="BU30" s="230">
        <v>-274327</v>
      </c>
      <c r="BV30" s="229">
        <v>-0.1472</v>
      </c>
      <c r="BW30" s="230">
        <v>33210400</v>
      </c>
      <c r="BX30" s="230">
        <v>32786400</v>
      </c>
      <c r="BY30" s="230">
        <v>424000</v>
      </c>
      <c r="BZ30" s="229">
        <v>1.29E-2</v>
      </c>
      <c r="CA30" s="230">
        <v>26638800</v>
      </c>
      <c r="CB30" s="230">
        <v>26490400</v>
      </c>
      <c r="CC30" s="230">
        <v>148400</v>
      </c>
      <c r="CD30" s="229">
        <v>5.5999999999999999E-3</v>
      </c>
      <c r="CE30" s="230">
        <v>6291600</v>
      </c>
      <c r="CF30" s="230">
        <v>6015200</v>
      </c>
      <c r="CG30" s="230">
        <v>276400</v>
      </c>
      <c r="CH30" s="229">
        <v>4.5999999999999999E-2</v>
      </c>
      <c r="CI30" s="228">
        <v>0</v>
      </c>
      <c r="CJ30" s="228">
        <v>0</v>
      </c>
      <c r="CK30" s="228">
        <v>0</v>
      </c>
      <c r="CL30" s="229">
        <v>0</v>
      </c>
      <c r="CM30" s="230">
        <v>8566000</v>
      </c>
      <c r="CN30" s="230">
        <v>8490000</v>
      </c>
      <c r="CO30" s="230">
        <v>76000</v>
      </c>
      <c r="CP30" s="229">
        <v>8.9999999999999993E-3</v>
      </c>
      <c r="CQ30" s="230">
        <v>6984400</v>
      </c>
      <c r="CR30" s="230">
        <v>7004800</v>
      </c>
      <c r="CS30" s="230">
        <v>-20400</v>
      </c>
      <c r="CT30" s="229">
        <v>-2.8999999999999998E-3</v>
      </c>
      <c r="CU30" s="230">
        <v>48760800</v>
      </c>
      <c r="CV30" s="230">
        <v>48281200</v>
      </c>
      <c r="CW30" s="230">
        <v>479600</v>
      </c>
      <c r="CX30" s="229">
        <v>9.9000000000000008E-3</v>
      </c>
      <c r="CY30" s="228">
        <v>27.97</v>
      </c>
      <c r="CZ30" s="228">
        <v>27.34</v>
      </c>
      <c r="DA30" s="228">
        <v>0.63</v>
      </c>
      <c r="DB30" s="228">
        <v>0.63</v>
      </c>
      <c r="DC30" s="228">
        <v>27.59</v>
      </c>
      <c r="DD30" s="228">
        <v>27.66</v>
      </c>
      <c r="DE30" s="228">
        <v>0.38</v>
      </c>
      <c r="DF30" s="228">
        <v>-7.0000000000000007E-2</v>
      </c>
      <c r="DG30" s="228">
        <v>27.67</v>
      </c>
      <c r="DH30" s="228">
        <v>26.75</v>
      </c>
      <c r="DI30" s="228">
        <v>0.92</v>
      </c>
      <c r="DJ30" s="228">
        <v>0.92</v>
      </c>
      <c r="DK30" s="228">
        <v>28.45</v>
      </c>
      <c r="DL30" s="228">
        <v>28.39</v>
      </c>
      <c r="DM30" s="228">
        <v>0.06</v>
      </c>
      <c r="DN30" s="228">
        <v>0.06</v>
      </c>
      <c r="DO30" s="228">
        <v>0.82</v>
      </c>
      <c r="DP30" s="228">
        <v>0.83</v>
      </c>
      <c r="DQ30" s="228">
        <v>-0.01</v>
      </c>
      <c r="DR30" s="229">
        <v>-1.2E-2</v>
      </c>
      <c r="DS30" s="231">
        <v>2200</v>
      </c>
      <c r="DT30" s="231">
        <v>2100</v>
      </c>
      <c r="DU30" s="228">
        <v>0.61</v>
      </c>
      <c r="DV30" s="228">
        <v>0.56000000000000005</v>
      </c>
      <c r="DW30" s="228">
        <v>0.05</v>
      </c>
      <c r="DX30" s="229">
        <v>8.9300000000000004E-2</v>
      </c>
      <c r="DY30" s="229">
        <v>0.18940000000000001</v>
      </c>
      <c r="DZ30" s="230">
        <v>6015200</v>
      </c>
      <c r="EA30" s="229">
        <v>5.1000000000000004E-3</v>
      </c>
      <c r="EB30" s="229">
        <v>0.18940000000000001</v>
      </c>
      <c r="EC30" s="228">
        <v>9.08</v>
      </c>
      <c r="ED30" s="229">
        <v>4.1999999999999997E-3</v>
      </c>
      <c r="EE30" s="230">
        <v>1054042</v>
      </c>
      <c r="EF30" s="230">
        <v>1290618</v>
      </c>
      <c r="EG30" s="229">
        <v>-0.18329999999999999</v>
      </c>
      <c r="EH30" s="229">
        <v>0.66339999999999999</v>
      </c>
      <c r="EI30" s="231">
        <v>134312.79999999999</v>
      </c>
      <c r="EJ30" s="231">
        <v>78109.7</v>
      </c>
      <c r="EK30" s="231">
        <v>67822.81</v>
      </c>
      <c r="EL30" s="228">
        <v>0</v>
      </c>
      <c r="EM30" s="231">
        <v>280245.31</v>
      </c>
      <c r="EN30" s="231">
        <v>416394.88</v>
      </c>
      <c r="EO30" s="231">
        <v>-136149.57</v>
      </c>
      <c r="EP30" s="229">
        <v>-0.32700000000000001</v>
      </c>
      <c r="EQ30" s="231">
        <v>195053</v>
      </c>
      <c r="ER30" s="231">
        <v>145563</v>
      </c>
      <c r="ES30" s="231">
        <v>718697</v>
      </c>
      <c r="ET30" s="231">
        <v>294716519</v>
      </c>
      <c r="EU30" s="231">
        <v>1059313</v>
      </c>
      <c r="EV30" s="231">
        <v>1050535</v>
      </c>
      <c r="EW30" s="231">
        <v>8778</v>
      </c>
      <c r="EX30" s="229">
        <v>8.3999999999999995E-3</v>
      </c>
      <c r="EY30" s="229">
        <v>0.16539999999999999</v>
      </c>
    </row>
    <row r="31" spans="1:155" ht="17.25" thickBot="1" x14ac:dyDescent="0.3">
      <c r="A31" s="226">
        <v>45860</v>
      </c>
      <c r="B31" s="227" t="s">
        <v>184</v>
      </c>
      <c r="C31" s="227" t="s">
        <v>249</v>
      </c>
      <c r="D31" s="231">
        <v>3475.2</v>
      </c>
      <c r="E31" s="231">
        <v>3510</v>
      </c>
      <c r="F31" s="228">
        <v>-34.799999999999997</v>
      </c>
      <c r="G31" s="229">
        <v>-9.9000000000000008E-3</v>
      </c>
      <c r="H31" s="231">
        <v>3464.6</v>
      </c>
      <c r="I31" s="231">
        <v>3502.8</v>
      </c>
      <c r="J31" s="228">
        <v>-38.200000000000003</v>
      </c>
      <c r="K31" s="229">
        <v>-1.09E-2</v>
      </c>
      <c r="L31" s="231">
        <v>3475.2</v>
      </c>
      <c r="M31" s="231">
        <v>3510</v>
      </c>
      <c r="N31" s="228">
        <v>-34.799999999999997</v>
      </c>
      <c r="O31" s="229">
        <v>-9.9000000000000008E-3</v>
      </c>
      <c r="P31" s="231">
        <v>3491.8</v>
      </c>
      <c r="Q31" s="231">
        <v>3527.8</v>
      </c>
      <c r="R31" s="228">
        <v>-36</v>
      </c>
      <c r="S31" s="229">
        <v>-1.0200000000000001E-2</v>
      </c>
      <c r="T31" s="228">
        <v>0</v>
      </c>
      <c r="U31" s="228">
        <v>0</v>
      </c>
      <c r="V31" s="228">
        <v>0</v>
      </c>
      <c r="W31" s="229">
        <v>0</v>
      </c>
      <c r="X31" s="228">
        <v>10.6</v>
      </c>
      <c r="Y31" s="228">
        <v>7.2</v>
      </c>
      <c r="Z31" s="228">
        <v>3.4</v>
      </c>
      <c r="AA31" s="229">
        <v>3.0999999999999999E-3</v>
      </c>
      <c r="AB31" s="228">
        <v>10.6</v>
      </c>
      <c r="AC31" s="228">
        <v>7.2</v>
      </c>
      <c r="AD31" s="228">
        <v>3.4</v>
      </c>
      <c r="AE31" s="229">
        <v>3.0999999999999999E-3</v>
      </c>
      <c r="AF31" s="228">
        <v>27.2</v>
      </c>
      <c r="AG31" s="228">
        <v>25</v>
      </c>
      <c r="AH31" s="228">
        <v>2.2000000000000002</v>
      </c>
      <c r="AI31" s="229">
        <v>7.9000000000000008E-3</v>
      </c>
      <c r="AJ31" s="228">
        <v>0</v>
      </c>
      <c r="AK31" s="228">
        <v>0</v>
      </c>
      <c r="AL31" s="228">
        <v>0</v>
      </c>
      <c r="AM31" s="229">
        <v>0</v>
      </c>
      <c r="AN31" s="231">
        <v>3478.37</v>
      </c>
      <c r="AO31" s="231">
        <v>3495.92</v>
      </c>
      <c r="AP31" s="228">
        <v>0</v>
      </c>
      <c r="AQ31" s="230">
        <v>11306</v>
      </c>
      <c r="AR31" s="230">
        <v>9824</v>
      </c>
      <c r="AS31" s="230">
        <v>1482</v>
      </c>
      <c r="AT31" s="229">
        <v>0.15090000000000001</v>
      </c>
      <c r="AU31" s="230">
        <v>7970</v>
      </c>
      <c r="AV31" s="230">
        <v>8332</v>
      </c>
      <c r="AW31" s="228">
        <v>-362</v>
      </c>
      <c r="AX31" s="229">
        <v>-4.3400000000000001E-2</v>
      </c>
      <c r="AY31" s="230">
        <v>1856</v>
      </c>
      <c r="AZ31" s="230">
        <v>1423</v>
      </c>
      <c r="BA31" s="228">
        <v>433</v>
      </c>
      <c r="BB31" s="229">
        <v>0.30430000000000001</v>
      </c>
      <c r="BC31" s="228">
        <v>0</v>
      </c>
      <c r="BD31" s="228">
        <v>0</v>
      </c>
      <c r="BE31" s="228">
        <v>0</v>
      </c>
      <c r="BF31" s="229">
        <v>0</v>
      </c>
      <c r="BG31" s="230">
        <v>33541</v>
      </c>
      <c r="BH31" s="230">
        <v>39425</v>
      </c>
      <c r="BI31" s="230">
        <v>-5884</v>
      </c>
      <c r="BJ31" s="229">
        <v>-0.1492</v>
      </c>
      <c r="BK31" s="230">
        <v>9082</v>
      </c>
      <c r="BL31" s="230">
        <v>13066</v>
      </c>
      <c r="BM31" s="230">
        <v>-3984</v>
      </c>
      <c r="BN31" s="229">
        <v>-0.3049</v>
      </c>
      <c r="BO31" s="230">
        <v>53929</v>
      </c>
      <c r="BP31" s="230">
        <v>62315</v>
      </c>
      <c r="BQ31" s="230">
        <v>-8386</v>
      </c>
      <c r="BR31" s="229">
        <v>-0.1346</v>
      </c>
      <c r="BS31" s="230">
        <v>2655031</v>
      </c>
      <c r="BT31" s="230">
        <v>1637558</v>
      </c>
      <c r="BU31" s="230">
        <v>1017473</v>
      </c>
      <c r="BV31" s="229">
        <v>0.62129999999999996</v>
      </c>
      <c r="BW31" s="230">
        <v>17688650</v>
      </c>
      <c r="BX31" s="230">
        <v>17336725</v>
      </c>
      <c r="BY31" s="230">
        <v>351925</v>
      </c>
      <c r="BZ31" s="229">
        <v>2.0299999999999999E-2</v>
      </c>
      <c r="CA31" s="230">
        <v>14950775</v>
      </c>
      <c r="CB31" s="230">
        <v>15078700</v>
      </c>
      <c r="CC31" s="230">
        <v>-127925</v>
      </c>
      <c r="CD31" s="229">
        <v>-8.5000000000000006E-3</v>
      </c>
      <c r="CE31" s="230">
        <v>2168775</v>
      </c>
      <c r="CF31" s="230">
        <v>1940225</v>
      </c>
      <c r="CG31" s="230">
        <v>228550</v>
      </c>
      <c r="CH31" s="229">
        <v>0.1178</v>
      </c>
      <c r="CI31" s="228">
        <v>0</v>
      </c>
      <c r="CJ31" s="228">
        <v>0</v>
      </c>
      <c r="CK31" s="228">
        <v>0</v>
      </c>
      <c r="CL31" s="229">
        <v>0</v>
      </c>
      <c r="CM31" s="230">
        <v>9349375</v>
      </c>
      <c r="CN31" s="230">
        <v>9212350</v>
      </c>
      <c r="CO31" s="230">
        <v>137025</v>
      </c>
      <c r="CP31" s="229">
        <v>1.49E-2</v>
      </c>
      <c r="CQ31" s="230">
        <v>3644200</v>
      </c>
      <c r="CR31" s="230">
        <v>3536225</v>
      </c>
      <c r="CS31" s="230">
        <v>107975</v>
      </c>
      <c r="CT31" s="229">
        <v>3.0499999999999999E-2</v>
      </c>
      <c r="CU31" s="230">
        <v>30682225</v>
      </c>
      <c r="CV31" s="230">
        <v>30085300</v>
      </c>
      <c r="CW31" s="230">
        <v>596925</v>
      </c>
      <c r="CX31" s="229">
        <v>1.9800000000000002E-2</v>
      </c>
      <c r="CY31" s="228">
        <v>22.97</v>
      </c>
      <c r="CZ31" s="228">
        <v>22.6</v>
      </c>
      <c r="DA31" s="228">
        <v>0.37</v>
      </c>
      <c r="DB31" s="228">
        <v>0.37</v>
      </c>
      <c r="DC31" s="228">
        <v>30.01</v>
      </c>
      <c r="DD31" s="228">
        <v>30.05</v>
      </c>
      <c r="DE31" s="228">
        <v>-7.04</v>
      </c>
      <c r="DF31" s="228">
        <v>-0.04</v>
      </c>
      <c r="DG31" s="228">
        <v>23.36</v>
      </c>
      <c r="DH31" s="228">
        <v>22.71</v>
      </c>
      <c r="DI31" s="228">
        <v>0.65</v>
      </c>
      <c r="DJ31" s="228">
        <v>0.65</v>
      </c>
      <c r="DK31" s="228">
        <v>21.51</v>
      </c>
      <c r="DL31" s="228">
        <v>22.26</v>
      </c>
      <c r="DM31" s="228">
        <v>-0.75</v>
      </c>
      <c r="DN31" s="228">
        <v>-0.75</v>
      </c>
      <c r="DO31" s="228">
        <v>0.39</v>
      </c>
      <c r="DP31" s="228">
        <v>0.38</v>
      </c>
      <c r="DQ31" s="228">
        <v>0.01</v>
      </c>
      <c r="DR31" s="229">
        <v>2.63E-2</v>
      </c>
      <c r="DS31" s="231">
        <v>3700</v>
      </c>
      <c r="DT31" s="231">
        <v>3500</v>
      </c>
      <c r="DU31" s="228">
        <v>0.27</v>
      </c>
      <c r="DV31" s="228">
        <v>0.33</v>
      </c>
      <c r="DW31" s="228">
        <v>-0.06</v>
      </c>
      <c r="DX31" s="229">
        <v>-0.18179999999999999</v>
      </c>
      <c r="DY31" s="229">
        <v>0.1226</v>
      </c>
      <c r="DZ31" s="230">
        <v>1940225</v>
      </c>
      <c r="EA31" s="229">
        <v>4.7999999999999996E-3</v>
      </c>
      <c r="EB31" s="229">
        <v>0.1226</v>
      </c>
      <c r="EC31" s="228">
        <v>17.55</v>
      </c>
      <c r="ED31" s="229">
        <v>5.0000000000000001E-3</v>
      </c>
      <c r="EE31" s="230">
        <v>2219467</v>
      </c>
      <c r="EF31" s="230">
        <v>1105590</v>
      </c>
      <c r="EG31" s="229">
        <v>1.0075000000000001</v>
      </c>
      <c r="EH31" s="229">
        <v>0.83589999999999998</v>
      </c>
      <c r="EI31" s="231">
        <v>213829.58</v>
      </c>
      <c r="EJ31" s="231">
        <v>55285.5</v>
      </c>
      <c r="EK31" s="231">
        <v>68957.990000000005</v>
      </c>
      <c r="EL31" s="228">
        <v>0</v>
      </c>
      <c r="EM31" s="231">
        <v>338073.07</v>
      </c>
      <c r="EN31" s="231">
        <v>390406.49</v>
      </c>
      <c r="EO31" s="231">
        <v>-52333.42</v>
      </c>
      <c r="EP31" s="229">
        <v>-0.13400000000000001</v>
      </c>
      <c r="EQ31" s="231">
        <v>344802</v>
      </c>
      <c r="ER31" s="231">
        <v>127743</v>
      </c>
      <c r="ES31" s="231">
        <v>615283</v>
      </c>
      <c r="ET31" s="231">
        <v>271909552</v>
      </c>
      <c r="EU31" s="231">
        <v>1087828</v>
      </c>
      <c r="EV31" s="231">
        <v>1073364</v>
      </c>
      <c r="EW31" s="231">
        <v>14464</v>
      </c>
      <c r="EX31" s="229">
        <v>1.35E-2</v>
      </c>
      <c r="EY31" s="229">
        <v>0.1128</v>
      </c>
    </row>
    <row r="32" spans="1:155" ht="17.25" thickBot="1" x14ac:dyDescent="0.3">
      <c r="A32" s="226">
        <v>45860</v>
      </c>
      <c r="B32" s="227" t="s">
        <v>162</v>
      </c>
      <c r="C32" s="227" t="s">
        <v>251</v>
      </c>
      <c r="D32" s="231">
        <v>3261.9</v>
      </c>
      <c r="E32" s="231">
        <v>3251.1</v>
      </c>
      <c r="F32" s="228">
        <v>10.8</v>
      </c>
      <c r="G32" s="229">
        <v>3.3E-3</v>
      </c>
      <c r="H32" s="231">
        <v>3257.2</v>
      </c>
      <c r="I32" s="231">
        <v>3246.7</v>
      </c>
      <c r="J32" s="228">
        <v>10.5</v>
      </c>
      <c r="K32" s="229">
        <v>3.2000000000000002E-3</v>
      </c>
      <c r="L32" s="231">
        <v>3261.9</v>
      </c>
      <c r="M32" s="231">
        <v>3251.1</v>
      </c>
      <c r="N32" s="228">
        <v>10.8</v>
      </c>
      <c r="O32" s="229">
        <v>3.3E-3</v>
      </c>
      <c r="P32" s="231">
        <v>3280.8</v>
      </c>
      <c r="Q32" s="231">
        <v>3267</v>
      </c>
      <c r="R32" s="228">
        <v>13.8</v>
      </c>
      <c r="S32" s="229">
        <v>4.1999999999999997E-3</v>
      </c>
      <c r="T32" s="228">
        <v>0</v>
      </c>
      <c r="U32" s="228">
        <v>0</v>
      </c>
      <c r="V32" s="228">
        <v>0</v>
      </c>
      <c r="W32" s="229">
        <v>0</v>
      </c>
      <c r="X32" s="228">
        <v>4.7</v>
      </c>
      <c r="Y32" s="228">
        <v>4.4000000000000004</v>
      </c>
      <c r="Z32" s="228">
        <v>0.3</v>
      </c>
      <c r="AA32" s="229">
        <v>1.4E-3</v>
      </c>
      <c r="AB32" s="228">
        <v>4.7</v>
      </c>
      <c r="AC32" s="228">
        <v>4.4000000000000004</v>
      </c>
      <c r="AD32" s="228">
        <v>0.3</v>
      </c>
      <c r="AE32" s="229">
        <v>1.4E-3</v>
      </c>
      <c r="AF32" s="228">
        <v>23.6</v>
      </c>
      <c r="AG32" s="228">
        <v>20.3</v>
      </c>
      <c r="AH32" s="228">
        <v>3.3</v>
      </c>
      <c r="AI32" s="229">
        <v>7.1999999999999998E-3</v>
      </c>
      <c r="AJ32" s="228">
        <v>0</v>
      </c>
      <c r="AK32" s="228">
        <v>0</v>
      </c>
      <c r="AL32" s="228">
        <v>0</v>
      </c>
      <c r="AM32" s="229">
        <v>0</v>
      </c>
      <c r="AN32" s="231">
        <v>3250.92</v>
      </c>
      <c r="AO32" s="231">
        <v>3269.14</v>
      </c>
      <c r="AP32" s="228">
        <v>0</v>
      </c>
      <c r="AQ32" s="230">
        <v>15925</v>
      </c>
      <c r="AR32" s="230">
        <v>17302</v>
      </c>
      <c r="AS32" s="230">
        <v>-1377</v>
      </c>
      <c r="AT32" s="229">
        <v>-7.9600000000000004E-2</v>
      </c>
      <c r="AU32" s="230">
        <v>13206</v>
      </c>
      <c r="AV32" s="230">
        <v>15392</v>
      </c>
      <c r="AW32" s="230">
        <v>-2186</v>
      </c>
      <c r="AX32" s="229">
        <v>-0.14199999999999999</v>
      </c>
      <c r="AY32" s="230">
        <v>1860</v>
      </c>
      <c r="AZ32" s="230">
        <v>1739</v>
      </c>
      <c r="BA32" s="228">
        <v>121</v>
      </c>
      <c r="BB32" s="229">
        <v>6.9599999999999995E-2</v>
      </c>
      <c r="BC32" s="228">
        <v>0</v>
      </c>
      <c r="BD32" s="228">
        <v>0</v>
      </c>
      <c r="BE32" s="228">
        <v>0</v>
      </c>
      <c r="BF32" s="229">
        <v>0</v>
      </c>
      <c r="BG32" s="230">
        <v>72297</v>
      </c>
      <c r="BH32" s="230">
        <v>66161</v>
      </c>
      <c r="BI32" s="230">
        <v>6136</v>
      </c>
      <c r="BJ32" s="229">
        <v>9.2700000000000005E-2</v>
      </c>
      <c r="BK32" s="230">
        <v>30967</v>
      </c>
      <c r="BL32" s="230">
        <v>32046</v>
      </c>
      <c r="BM32" s="230">
        <v>-1079</v>
      </c>
      <c r="BN32" s="229">
        <v>-3.3700000000000001E-2</v>
      </c>
      <c r="BO32" s="230">
        <v>119189</v>
      </c>
      <c r="BP32" s="230">
        <v>115509</v>
      </c>
      <c r="BQ32" s="230">
        <v>3680</v>
      </c>
      <c r="BR32" s="229">
        <v>3.1899999999999998E-2</v>
      </c>
      <c r="BS32" s="230">
        <v>2216627</v>
      </c>
      <c r="BT32" s="230">
        <v>2512628</v>
      </c>
      <c r="BU32" s="230">
        <v>-296001</v>
      </c>
      <c r="BV32" s="229">
        <v>-0.1178</v>
      </c>
      <c r="BW32" s="230">
        <v>23689400</v>
      </c>
      <c r="BX32" s="230">
        <v>23551200</v>
      </c>
      <c r="BY32" s="230">
        <v>138200</v>
      </c>
      <c r="BZ32" s="229">
        <v>5.8999999999999999E-3</v>
      </c>
      <c r="CA32" s="230">
        <v>21491000</v>
      </c>
      <c r="CB32" s="230">
        <v>21562000</v>
      </c>
      <c r="CC32" s="230">
        <v>-71000</v>
      </c>
      <c r="CD32" s="229">
        <v>-3.3E-3</v>
      </c>
      <c r="CE32" s="230">
        <v>1416400</v>
      </c>
      <c r="CF32" s="230">
        <v>1355400</v>
      </c>
      <c r="CG32" s="230">
        <v>61000</v>
      </c>
      <c r="CH32" s="229">
        <v>4.4999999999999998E-2</v>
      </c>
      <c r="CI32" s="228">
        <v>0</v>
      </c>
      <c r="CJ32" s="228">
        <v>0</v>
      </c>
      <c r="CK32" s="228">
        <v>0</v>
      </c>
      <c r="CL32" s="229">
        <v>0</v>
      </c>
      <c r="CM32" s="230">
        <v>5962400</v>
      </c>
      <c r="CN32" s="230">
        <v>6065800</v>
      </c>
      <c r="CO32" s="230">
        <v>-103400</v>
      </c>
      <c r="CP32" s="229">
        <v>-1.7000000000000001E-2</v>
      </c>
      <c r="CQ32" s="230">
        <v>3586000</v>
      </c>
      <c r="CR32" s="230">
        <v>3632200</v>
      </c>
      <c r="CS32" s="230">
        <v>-46200</v>
      </c>
      <c r="CT32" s="229">
        <v>-1.2699999999999999E-2</v>
      </c>
      <c r="CU32" s="230">
        <v>33237800</v>
      </c>
      <c r="CV32" s="230">
        <v>33249200</v>
      </c>
      <c r="CW32" s="230">
        <v>-11400</v>
      </c>
      <c r="CX32" s="229">
        <v>-2.9999999999999997E-4</v>
      </c>
      <c r="CY32" s="228">
        <v>28.62</v>
      </c>
      <c r="CZ32" s="228">
        <v>28.6</v>
      </c>
      <c r="DA32" s="228">
        <v>0.02</v>
      </c>
      <c r="DB32" s="228">
        <v>0.02</v>
      </c>
      <c r="DC32" s="228">
        <v>34.93</v>
      </c>
      <c r="DD32" s="228">
        <v>35.020000000000003</v>
      </c>
      <c r="DE32" s="228">
        <v>-6.31</v>
      </c>
      <c r="DF32" s="228">
        <v>-0.09</v>
      </c>
      <c r="DG32" s="228">
        <v>27.88</v>
      </c>
      <c r="DH32" s="228">
        <v>27.48</v>
      </c>
      <c r="DI32" s="228">
        <v>0.4</v>
      </c>
      <c r="DJ32" s="228">
        <v>0.4</v>
      </c>
      <c r="DK32" s="228">
        <v>30.37</v>
      </c>
      <c r="DL32" s="228">
        <v>30.89</v>
      </c>
      <c r="DM32" s="228">
        <v>-0.52</v>
      </c>
      <c r="DN32" s="228">
        <v>-0.52</v>
      </c>
      <c r="DO32" s="228">
        <v>0.6</v>
      </c>
      <c r="DP32" s="228">
        <v>0.6</v>
      </c>
      <c r="DQ32" s="228">
        <v>0</v>
      </c>
      <c r="DR32" s="229">
        <v>0</v>
      </c>
      <c r="DS32" s="231">
        <v>3300</v>
      </c>
      <c r="DT32" s="231">
        <v>3200</v>
      </c>
      <c r="DU32" s="228">
        <v>0.43</v>
      </c>
      <c r="DV32" s="228">
        <v>0.48</v>
      </c>
      <c r="DW32" s="228">
        <v>-0.05</v>
      </c>
      <c r="DX32" s="229">
        <v>-0.1042</v>
      </c>
      <c r="DY32" s="229">
        <v>5.9799999999999999E-2</v>
      </c>
      <c r="DZ32" s="230">
        <v>1355400</v>
      </c>
      <c r="EA32" s="229">
        <v>5.7999999999999996E-3</v>
      </c>
      <c r="EB32" s="229">
        <v>5.9799999999999999E-2</v>
      </c>
      <c r="EC32" s="228">
        <v>18.22</v>
      </c>
      <c r="ED32" s="229">
        <v>5.5999999999999999E-3</v>
      </c>
      <c r="EE32" s="230">
        <v>1276177</v>
      </c>
      <c r="EF32" s="230">
        <v>1426788</v>
      </c>
      <c r="EG32" s="229">
        <v>-0.1056</v>
      </c>
      <c r="EH32" s="229">
        <v>0.57569999999999999</v>
      </c>
      <c r="EI32" s="231">
        <v>489403.27</v>
      </c>
      <c r="EJ32" s="231">
        <v>197115.77</v>
      </c>
      <c r="EK32" s="231">
        <v>103637.88</v>
      </c>
      <c r="EL32" s="228">
        <v>0</v>
      </c>
      <c r="EM32" s="231">
        <v>790156.92</v>
      </c>
      <c r="EN32" s="231">
        <v>756903.48</v>
      </c>
      <c r="EO32" s="231">
        <v>33253.440000000002</v>
      </c>
      <c r="EP32" s="229">
        <v>4.3900000000000002E-2</v>
      </c>
      <c r="EQ32" s="231">
        <v>199623</v>
      </c>
      <c r="ER32" s="231">
        <v>109104</v>
      </c>
      <c r="ES32" s="231">
        <v>773280</v>
      </c>
      <c r="ET32" s="231">
        <v>190580808</v>
      </c>
      <c r="EU32" s="231">
        <v>1082007</v>
      </c>
      <c r="EV32" s="231">
        <v>1079334</v>
      </c>
      <c r="EW32" s="231">
        <v>2673</v>
      </c>
      <c r="EX32" s="229">
        <v>2.5000000000000001E-3</v>
      </c>
      <c r="EY32" s="229">
        <v>0.1744</v>
      </c>
    </row>
    <row r="33" spans="1:155" ht="17.25" thickBot="1" x14ac:dyDescent="0.3">
      <c r="A33" s="226">
        <v>45860</v>
      </c>
      <c r="B33" s="227" t="s">
        <v>162</v>
      </c>
      <c r="C33" s="227" t="s">
        <v>255</v>
      </c>
      <c r="D33" s="231">
        <v>12514</v>
      </c>
      <c r="E33" s="231">
        <v>12436</v>
      </c>
      <c r="F33" s="228">
        <v>78</v>
      </c>
      <c r="G33" s="229">
        <v>6.3E-3</v>
      </c>
      <c r="H33" s="231">
        <v>12492</v>
      </c>
      <c r="I33" s="231">
        <v>12405</v>
      </c>
      <c r="J33" s="228">
        <v>87</v>
      </c>
      <c r="K33" s="229">
        <v>7.0000000000000001E-3</v>
      </c>
      <c r="L33" s="231">
        <v>12514</v>
      </c>
      <c r="M33" s="231">
        <v>12436</v>
      </c>
      <c r="N33" s="228">
        <v>78</v>
      </c>
      <c r="O33" s="229">
        <v>6.3E-3</v>
      </c>
      <c r="P33" s="231">
        <v>12436</v>
      </c>
      <c r="Q33" s="231">
        <v>12353</v>
      </c>
      <c r="R33" s="228">
        <v>83</v>
      </c>
      <c r="S33" s="229">
        <v>6.7000000000000002E-3</v>
      </c>
      <c r="T33" s="228">
        <v>0</v>
      </c>
      <c r="U33" s="228">
        <v>0</v>
      </c>
      <c r="V33" s="228">
        <v>0</v>
      </c>
      <c r="W33" s="229">
        <v>0</v>
      </c>
      <c r="X33" s="228">
        <v>22</v>
      </c>
      <c r="Y33" s="228">
        <v>31</v>
      </c>
      <c r="Z33" s="228">
        <v>-9</v>
      </c>
      <c r="AA33" s="229">
        <v>1.8E-3</v>
      </c>
      <c r="AB33" s="228">
        <v>22</v>
      </c>
      <c r="AC33" s="228">
        <v>31</v>
      </c>
      <c r="AD33" s="228">
        <v>-9</v>
      </c>
      <c r="AE33" s="229">
        <v>1.8E-3</v>
      </c>
      <c r="AF33" s="228">
        <v>-56</v>
      </c>
      <c r="AG33" s="228">
        <v>-52</v>
      </c>
      <c r="AH33" s="228">
        <v>-4</v>
      </c>
      <c r="AI33" s="229">
        <v>-4.4999999999999997E-3</v>
      </c>
      <c r="AJ33" s="228">
        <v>0</v>
      </c>
      <c r="AK33" s="228">
        <v>0</v>
      </c>
      <c r="AL33" s="228">
        <v>0</v>
      </c>
      <c r="AM33" s="229">
        <v>0</v>
      </c>
      <c r="AN33" s="231">
        <v>12473.43</v>
      </c>
      <c r="AO33" s="231">
        <v>12386.94</v>
      </c>
      <c r="AP33" s="228">
        <v>0</v>
      </c>
      <c r="AQ33" s="230">
        <v>5421</v>
      </c>
      <c r="AR33" s="230">
        <v>5961</v>
      </c>
      <c r="AS33" s="228">
        <v>-540</v>
      </c>
      <c r="AT33" s="229">
        <v>-9.06E-2</v>
      </c>
      <c r="AU33" s="230">
        <v>4585</v>
      </c>
      <c r="AV33" s="230">
        <v>4877</v>
      </c>
      <c r="AW33" s="228">
        <v>-292</v>
      </c>
      <c r="AX33" s="229">
        <v>-5.9900000000000002E-2</v>
      </c>
      <c r="AY33" s="228">
        <v>787</v>
      </c>
      <c r="AZ33" s="228">
        <v>977</v>
      </c>
      <c r="BA33" s="228">
        <v>-190</v>
      </c>
      <c r="BB33" s="229">
        <v>-0.19450000000000001</v>
      </c>
      <c r="BC33" s="228">
        <v>0</v>
      </c>
      <c r="BD33" s="228">
        <v>0</v>
      </c>
      <c r="BE33" s="228">
        <v>0</v>
      </c>
      <c r="BF33" s="229">
        <v>0</v>
      </c>
      <c r="BG33" s="230">
        <v>53438</v>
      </c>
      <c r="BH33" s="230">
        <v>48592</v>
      </c>
      <c r="BI33" s="230">
        <v>4846</v>
      </c>
      <c r="BJ33" s="229">
        <v>9.9699999999999997E-2</v>
      </c>
      <c r="BK33" s="230">
        <v>26928</v>
      </c>
      <c r="BL33" s="230">
        <v>21159</v>
      </c>
      <c r="BM33" s="230">
        <v>5769</v>
      </c>
      <c r="BN33" s="229">
        <v>0.27260000000000001</v>
      </c>
      <c r="BO33" s="230">
        <v>85787</v>
      </c>
      <c r="BP33" s="230">
        <v>75712</v>
      </c>
      <c r="BQ33" s="230">
        <v>10075</v>
      </c>
      <c r="BR33" s="229">
        <v>0.1331</v>
      </c>
      <c r="BS33" s="230">
        <v>171033</v>
      </c>
      <c r="BT33" s="230">
        <v>236821</v>
      </c>
      <c r="BU33" s="230">
        <v>-65788</v>
      </c>
      <c r="BV33" s="229">
        <v>-0.27779999999999999</v>
      </c>
      <c r="BW33" s="230">
        <v>3037950</v>
      </c>
      <c r="BX33" s="230">
        <v>3062500</v>
      </c>
      <c r="BY33" s="230">
        <v>-24550</v>
      </c>
      <c r="BZ33" s="229">
        <v>-8.0000000000000002E-3</v>
      </c>
      <c r="CA33" s="230">
        <v>2830450</v>
      </c>
      <c r="CB33" s="230">
        <v>2859850</v>
      </c>
      <c r="CC33" s="230">
        <v>-29400</v>
      </c>
      <c r="CD33" s="229">
        <v>-1.03E-2</v>
      </c>
      <c r="CE33" s="230">
        <v>195950</v>
      </c>
      <c r="CF33" s="230">
        <v>190750</v>
      </c>
      <c r="CG33" s="230">
        <v>5200</v>
      </c>
      <c r="CH33" s="229">
        <v>2.7300000000000001E-2</v>
      </c>
      <c r="CI33" s="228">
        <v>0</v>
      </c>
      <c r="CJ33" s="228">
        <v>0</v>
      </c>
      <c r="CK33" s="228">
        <v>0</v>
      </c>
      <c r="CL33" s="229">
        <v>0</v>
      </c>
      <c r="CM33" s="230">
        <v>3197300</v>
      </c>
      <c r="CN33" s="230">
        <v>3233050</v>
      </c>
      <c r="CO33" s="230">
        <v>-35750</v>
      </c>
      <c r="CP33" s="229">
        <v>-1.11E-2</v>
      </c>
      <c r="CQ33" s="230">
        <v>998350</v>
      </c>
      <c r="CR33" s="230">
        <v>963750</v>
      </c>
      <c r="CS33" s="230">
        <v>34600</v>
      </c>
      <c r="CT33" s="229">
        <v>3.5900000000000001E-2</v>
      </c>
      <c r="CU33" s="230">
        <v>7233600</v>
      </c>
      <c r="CV33" s="230">
        <v>7259300</v>
      </c>
      <c r="CW33" s="230">
        <v>-25700</v>
      </c>
      <c r="CX33" s="229">
        <v>-3.5000000000000001E-3</v>
      </c>
      <c r="CY33" s="228">
        <v>17.649999999999999</v>
      </c>
      <c r="CZ33" s="228">
        <v>19.07</v>
      </c>
      <c r="DA33" s="228">
        <v>-1.42</v>
      </c>
      <c r="DB33" s="228">
        <v>-1.42</v>
      </c>
      <c r="DC33" s="228">
        <v>24.92</v>
      </c>
      <c r="DD33" s="228">
        <v>24.96</v>
      </c>
      <c r="DE33" s="228">
        <v>-7.27</v>
      </c>
      <c r="DF33" s="228">
        <v>-0.04</v>
      </c>
      <c r="DG33" s="228">
        <v>16.760000000000002</v>
      </c>
      <c r="DH33" s="228">
        <v>18.739999999999998</v>
      </c>
      <c r="DI33" s="228">
        <v>-1.98</v>
      </c>
      <c r="DJ33" s="228">
        <v>-1.98</v>
      </c>
      <c r="DK33" s="228">
        <v>19.420000000000002</v>
      </c>
      <c r="DL33" s="228">
        <v>19.82</v>
      </c>
      <c r="DM33" s="228">
        <v>-0.4</v>
      </c>
      <c r="DN33" s="228">
        <v>-0.4</v>
      </c>
      <c r="DO33" s="228">
        <v>0.31</v>
      </c>
      <c r="DP33" s="228">
        <v>0.3</v>
      </c>
      <c r="DQ33" s="228">
        <v>0.01</v>
      </c>
      <c r="DR33" s="229">
        <v>3.3300000000000003E-2</v>
      </c>
      <c r="DS33" s="231">
        <v>12800</v>
      </c>
      <c r="DT33" s="231">
        <v>12500</v>
      </c>
      <c r="DU33" s="228">
        <v>0.5</v>
      </c>
      <c r="DV33" s="228">
        <v>0.44</v>
      </c>
      <c r="DW33" s="228">
        <v>0.06</v>
      </c>
      <c r="DX33" s="229">
        <v>0.13639999999999999</v>
      </c>
      <c r="DY33" s="229">
        <v>6.4500000000000002E-2</v>
      </c>
      <c r="DZ33" s="230">
        <v>190750</v>
      </c>
      <c r="EA33" s="229">
        <v>-6.1999999999999998E-3</v>
      </c>
      <c r="EB33" s="229">
        <v>6.4500000000000002E-2</v>
      </c>
      <c r="EC33" s="228">
        <v>-86.49</v>
      </c>
      <c r="ED33" s="229">
        <v>-6.8999999999999999E-3</v>
      </c>
      <c r="EE33" s="230">
        <v>86599</v>
      </c>
      <c r="EF33" s="230">
        <v>141880</v>
      </c>
      <c r="EG33" s="229">
        <v>-0.3896</v>
      </c>
      <c r="EH33" s="229">
        <v>0.50629999999999997</v>
      </c>
      <c r="EI33" s="231">
        <v>342976.08</v>
      </c>
      <c r="EJ33" s="231">
        <v>164587.1</v>
      </c>
      <c r="EK33" s="231">
        <v>33775.279999999999</v>
      </c>
      <c r="EL33" s="228">
        <v>0</v>
      </c>
      <c r="EM33" s="231">
        <v>541338.46</v>
      </c>
      <c r="EN33" s="231">
        <v>479805.54</v>
      </c>
      <c r="EO33" s="231">
        <v>61532.92</v>
      </c>
      <c r="EP33" s="229">
        <v>0.12820000000000001</v>
      </c>
      <c r="EQ33" s="231">
        <v>415753</v>
      </c>
      <c r="ER33" s="231">
        <v>119900</v>
      </c>
      <c r="ES33" s="231">
        <v>380015</v>
      </c>
      <c r="ET33" s="231">
        <v>26231219</v>
      </c>
      <c r="EU33" s="231">
        <v>915668</v>
      </c>
      <c r="EV33" s="231">
        <v>916866</v>
      </c>
      <c r="EW33" s="231">
        <v>-1198</v>
      </c>
      <c r="EX33" s="229">
        <v>-1.2999999999999999E-3</v>
      </c>
      <c r="EY33" s="229">
        <v>0.27579999999999999</v>
      </c>
    </row>
    <row r="34" spans="1:155" ht="17.25" thickBot="1" x14ac:dyDescent="0.3">
      <c r="A34" s="226">
        <v>45860</v>
      </c>
      <c r="B34" s="227" t="s">
        <v>168</v>
      </c>
      <c r="C34" s="227" t="s">
        <v>265</v>
      </c>
      <c r="D34" s="231">
        <v>2445.6</v>
      </c>
      <c r="E34" s="231">
        <v>2475</v>
      </c>
      <c r="F34" s="228">
        <v>-29.4</v>
      </c>
      <c r="G34" s="229">
        <v>-1.1900000000000001E-2</v>
      </c>
      <c r="H34" s="231">
        <v>2443.5</v>
      </c>
      <c r="I34" s="231">
        <v>2472.6</v>
      </c>
      <c r="J34" s="228">
        <v>-29.1</v>
      </c>
      <c r="K34" s="229">
        <v>-1.18E-2</v>
      </c>
      <c r="L34" s="231">
        <v>2445.6</v>
      </c>
      <c r="M34" s="231">
        <v>2475</v>
      </c>
      <c r="N34" s="228">
        <v>-29.4</v>
      </c>
      <c r="O34" s="229">
        <v>-1.1900000000000001E-2</v>
      </c>
      <c r="P34" s="231">
        <v>2458.3000000000002</v>
      </c>
      <c r="Q34" s="231">
        <v>2489.6999999999998</v>
      </c>
      <c r="R34" s="228">
        <v>-31.4</v>
      </c>
      <c r="S34" s="229">
        <v>-1.26E-2</v>
      </c>
      <c r="T34" s="228">
        <v>0</v>
      </c>
      <c r="U34" s="228">
        <v>0</v>
      </c>
      <c r="V34" s="228">
        <v>0</v>
      </c>
      <c r="W34" s="229">
        <v>0</v>
      </c>
      <c r="X34" s="228">
        <v>2.1</v>
      </c>
      <c r="Y34" s="228">
        <v>2.4</v>
      </c>
      <c r="Z34" s="228">
        <v>-0.3</v>
      </c>
      <c r="AA34" s="229">
        <v>8.9999999999999998E-4</v>
      </c>
      <c r="AB34" s="228">
        <v>2.1</v>
      </c>
      <c r="AC34" s="228">
        <v>2.4</v>
      </c>
      <c r="AD34" s="228">
        <v>-0.3</v>
      </c>
      <c r="AE34" s="229">
        <v>8.9999999999999998E-4</v>
      </c>
      <c r="AF34" s="228">
        <v>14.8</v>
      </c>
      <c r="AG34" s="228">
        <v>17.100000000000001</v>
      </c>
      <c r="AH34" s="228">
        <v>-2.2999999999999998</v>
      </c>
      <c r="AI34" s="229">
        <v>6.1000000000000004E-3</v>
      </c>
      <c r="AJ34" s="228">
        <v>0</v>
      </c>
      <c r="AK34" s="228">
        <v>0</v>
      </c>
      <c r="AL34" s="228">
        <v>0</v>
      </c>
      <c r="AM34" s="229">
        <v>0</v>
      </c>
      <c r="AN34" s="231">
        <v>2454.69</v>
      </c>
      <c r="AO34" s="231">
        <v>2467</v>
      </c>
      <c r="AP34" s="228">
        <v>0</v>
      </c>
      <c r="AQ34" s="230">
        <v>3129</v>
      </c>
      <c r="AR34" s="230">
        <v>3473</v>
      </c>
      <c r="AS34" s="228">
        <v>-344</v>
      </c>
      <c r="AT34" s="229">
        <v>-9.9000000000000005E-2</v>
      </c>
      <c r="AU34" s="230">
        <v>2656</v>
      </c>
      <c r="AV34" s="230">
        <v>3139</v>
      </c>
      <c r="AW34" s="228">
        <v>-483</v>
      </c>
      <c r="AX34" s="229">
        <v>-0.15390000000000001</v>
      </c>
      <c r="AY34" s="228">
        <v>458</v>
      </c>
      <c r="AZ34" s="228">
        <v>273</v>
      </c>
      <c r="BA34" s="228">
        <v>185</v>
      </c>
      <c r="BB34" s="229">
        <v>0.67769999999999997</v>
      </c>
      <c r="BC34" s="228">
        <v>0</v>
      </c>
      <c r="BD34" s="228">
        <v>0</v>
      </c>
      <c r="BE34" s="228">
        <v>0</v>
      </c>
      <c r="BF34" s="229">
        <v>0</v>
      </c>
      <c r="BG34" s="230">
        <v>5741</v>
      </c>
      <c r="BH34" s="230">
        <v>7037</v>
      </c>
      <c r="BI34" s="230">
        <v>-1296</v>
      </c>
      <c r="BJ34" s="229">
        <v>-0.1842</v>
      </c>
      <c r="BK34" s="230">
        <v>4562</v>
      </c>
      <c r="BL34" s="230">
        <v>5641</v>
      </c>
      <c r="BM34" s="230">
        <v>-1079</v>
      </c>
      <c r="BN34" s="229">
        <v>-0.1913</v>
      </c>
      <c r="BO34" s="230">
        <v>13432</v>
      </c>
      <c r="BP34" s="230">
        <v>16151</v>
      </c>
      <c r="BQ34" s="230">
        <v>-2719</v>
      </c>
      <c r="BR34" s="229">
        <v>-0.16830000000000001</v>
      </c>
      <c r="BS34" s="230">
        <v>404233</v>
      </c>
      <c r="BT34" s="230">
        <v>497852</v>
      </c>
      <c r="BU34" s="230">
        <v>-93619</v>
      </c>
      <c r="BV34" s="229">
        <v>-0.188</v>
      </c>
      <c r="BW34" s="230">
        <v>9888000</v>
      </c>
      <c r="BX34" s="230">
        <v>9859750</v>
      </c>
      <c r="BY34" s="230">
        <v>28250</v>
      </c>
      <c r="BZ34" s="229">
        <v>2.8999999999999998E-3</v>
      </c>
      <c r="CA34" s="230">
        <v>9449250</v>
      </c>
      <c r="CB34" s="230">
        <v>9463750</v>
      </c>
      <c r="CC34" s="230">
        <v>-14500</v>
      </c>
      <c r="CD34" s="229">
        <v>-1.5E-3</v>
      </c>
      <c r="CE34" s="230">
        <v>374250</v>
      </c>
      <c r="CF34" s="230">
        <v>333750</v>
      </c>
      <c r="CG34" s="230">
        <v>40500</v>
      </c>
      <c r="CH34" s="229">
        <v>0.12130000000000001</v>
      </c>
      <c r="CI34" s="228">
        <v>0</v>
      </c>
      <c r="CJ34" s="228">
        <v>0</v>
      </c>
      <c r="CK34" s="228">
        <v>0</v>
      </c>
      <c r="CL34" s="229">
        <v>0</v>
      </c>
      <c r="CM34" s="230">
        <v>2265250</v>
      </c>
      <c r="CN34" s="230">
        <v>2194750</v>
      </c>
      <c r="CO34" s="230">
        <v>70500</v>
      </c>
      <c r="CP34" s="229">
        <v>3.2099999999999997E-2</v>
      </c>
      <c r="CQ34" s="230">
        <v>2265250</v>
      </c>
      <c r="CR34" s="230">
        <v>2138000</v>
      </c>
      <c r="CS34" s="230">
        <v>127250</v>
      </c>
      <c r="CT34" s="229">
        <v>5.9499999999999997E-2</v>
      </c>
      <c r="CU34" s="230">
        <v>14418500</v>
      </c>
      <c r="CV34" s="230">
        <v>14192500</v>
      </c>
      <c r="CW34" s="230">
        <v>226000</v>
      </c>
      <c r="CX34" s="229">
        <v>1.5900000000000001E-2</v>
      </c>
      <c r="CY34" s="228">
        <v>26.87</v>
      </c>
      <c r="CZ34" s="228">
        <v>25.59</v>
      </c>
      <c r="DA34" s="228">
        <v>1.28</v>
      </c>
      <c r="DB34" s="228">
        <v>1.28</v>
      </c>
      <c r="DC34" s="228">
        <v>22.21</v>
      </c>
      <c r="DD34" s="228">
        <v>22.2</v>
      </c>
      <c r="DE34" s="228">
        <v>4.66</v>
      </c>
      <c r="DF34" s="228">
        <v>0.01</v>
      </c>
      <c r="DG34" s="228">
        <v>26.95</v>
      </c>
      <c r="DH34" s="228">
        <v>24.94</v>
      </c>
      <c r="DI34" s="228">
        <v>2.0099999999999998</v>
      </c>
      <c r="DJ34" s="228">
        <v>2.0099999999999998</v>
      </c>
      <c r="DK34" s="228">
        <v>26.77</v>
      </c>
      <c r="DL34" s="228">
        <v>26.41</v>
      </c>
      <c r="DM34" s="228">
        <v>0.36</v>
      </c>
      <c r="DN34" s="228">
        <v>0.36</v>
      </c>
      <c r="DO34" s="228">
        <v>1</v>
      </c>
      <c r="DP34" s="228">
        <v>0.97</v>
      </c>
      <c r="DQ34" s="228">
        <v>0.03</v>
      </c>
      <c r="DR34" s="229">
        <v>3.09E-2</v>
      </c>
      <c r="DS34" s="231">
        <v>2500</v>
      </c>
      <c r="DT34" s="231">
        <v>2400</v>
      </c>
      <c r="DU34" s="228">
        <v>0.79</v>
      </c>
      <c r="DV34" s="228">
        <v>0.8</v>
      </c>
      <c r="DW34" s="228">
        <v>-0.01</v>
      </c>
      <c r="DX34" s="229">
        <v>-1.2500000000000001E-2</v>
      </c>
      <c r="DY34" s="229">
        <v>3.78E-2</v>
      </c>
      <c r="DZ34" s="230">
        <v>333750</v>
      </c>
      <c r="EA34" s="229">
        <v>5.1999999999999998E-3</v>
      </c>
      <c r="EB34" s="229">
        <v>3.78E-2</v>
      </c>
      <c r="EC34" s="228">
        <v>12.31</v>
      </c>
      <c r="ED34" s="229">
        <v>5.0000000000000001E-3</v>
      </c>
      <c r="EE34" s="230">
        <v>226966</v>
      </c>
      <c r="EF34" s="230">
        <v>278102</v>
      </c>
      <c r="EG34" s="229">
        <v>-0.18390000000000001</v>
      </c>
      <c r="EH34" s="229">
        <v>0.5615</v>
      </c>
      <c r="EI34" s="231">
        <v>36436.769999999997</v>
      </c>
      <c r="EJ34" s="231">
        <v>27640.75</v>
      </c>
      <c r="EK34" s="231">
        <v>19217.11</v>
      </c>
      <c r="EL34" s="228">
        <v>0</v>
      </c>
      <c r="EM34" s="231">
        <v>83294.63</v>
      </c>
      <c r="EN34" s="231">
        <v>99655.51</v>
      </c>
      <c r="EO34" s="231">
        <v>-16360.88</v>
      </c>
      <c r="EP34" s="229">
        <v>-0.16420000000000001</v>
      </c>
      <c r="EQ34" s="231">
        <v>57198</v>
      </c>
      <c r="ER34" s="231">
        <v>52567</v>
      </c>
      <c r="ES34" s="231">
        <v>241883</v>
      </c>
      <c r="ET34" s="231">
        <v>71801274</v>
      </c>
      <c r="EU34" s="231">
        <v>351648</v>
      </c>
      <c r="EV34" s="231">
        <v>349090</v>
      </c>
      <c r="EW34" s="231">
        <v>2558</v>
      </c>
      <c r="EX34" s="229">
        <v>7.3000000000000001E-3</v>
      </c>
      <c r="EY34" s="229">
        <v>0.20080000000000001</v>
      </c>
    </row>
    <row r="35" spans="1:155" ht="17.25" thickBot="1" x14ac:dyDescent="0.3">
      <c r="A35" s="226">
        <v>45860</v>
      </c>
      <c r="B35" s="227" t="s">
        <v>161</v>
      </c>
      <c r="C35" s="227" t="s">
        <v>268</v>
      </c>
      <c r="D35" s="228">
        <v>341.3</v>
      </c>
      <c r="E35" s="228">
        <v>341.75</v>
      </c>
      <c r="F35" s="228">
        <v>-0.45</v>
      </c>
      <c r="G35" s="229">
        <v>-1.2999999999999999E-3</v>
      </c>
      <c r="H35" s="228">
        <v>340.85</v>
      </c>
      <c r="I35" s="228">
        <v>341.55</v>
      </c>
      <c r="J35" s="228">
        <v>-0.7</v>
      </c>
      <c r="K35" s="229">
        <v>-2E-3</v>
      </c>
      <c r="L35" s="228">
        <v>341.3</v>
      </c>
      <c r="M35" s="228">
        <v>341.75</v>
      </c>
      <c r="N35" s="228">
        <v>-0.45</v>
      </c>
      <c r="O35" s="229">
        <v>-1.2999999999999999E-3</v>
      </c>
      <c r="P35" s="228">
        <v>339.8</v>
      </c>
      <c r="Q35" s="228">
        <v>340.2</v>
      </c>
      <c r="R35" s="228">
        <v>-0.4</v>
      </c>
      <c r="S35" s="229">
        <v>-1.1999999999999999E-3</v>
      </c>
      <c r="T35" s="228">
        <v>0</v>
      </c>
      <c r="U35" s="228">
        <v>0</v>
      </c>
      <c r="V35" s="228">
        <v>0</v>
      </c>
      <c r="W35" s="229">
        <v>0</v>
      </c>
      <c r="X35" s="228">
        <v>0.45</v>
      </c>
      <c r="Y35" s="228">
        <v>0.2</v>
      </c>
      <c r="Z35" s="228">
        <v>0.25</v>
      </c>
      <c r="AA35" s="229">
        <v>1.2999999999999999E-3</v>
      </c>
      <c r="AB35" s="228">
        <v>0.45</v>
      </c>
      <c r="AC35" s="228">
        <v>0.2</v>
      </c>
      <c r="AD35" s="228">
        <v>0.25</v>
      </c>
      <c r="AE35" s="229">
        <v>1.2999999999999999E-3</v>
      </c>
      <c r="AF35" s="228">
        <v>-1.05</v>
      </c>
      <c r="AG35" s="228">
        <v>-1.35</v>
      </c>
      <c r="AH35" s="228">
        <v>0.3</v>
      </c>
      <c r="AI35" s="229">
        <v>-3.0999999999999999E-3</v>
      </c>
      <c r="AJ35" s="228">
        <v>0</v>
      </c>
      <c r="AK35" s="228">
        <v>0</v>
      </c>
      <c r="AL35" s="228">
        <v>0</v>
      </c>
      <c r="AM35" s="229">
        <v>0</v>
      </c>
      <c r="AN35" s="228">
        <v>341.4</v>
      </c>
      <c r="AO35" s="228">
        <v>339.94</v>
      </c>
      <c r="AP35" s="228">
        <v>0</v>
      </c>
      <c r="AQ35" s="230">
        <v>4103</v>
      </c>
      <c r="AR35" s="230">
        <v>4867</v>
      </c>
      <c r="AS35" s="228">
        <v>-764</v>
      </c>
      <c r="AT35" s="229">
        <v>-0.157</v>
      </c>
      <c r="AU35" s="230">
        <v>3236</v>
      </c>
      <c r="AV35" s="230">
        <v>4078</v>
      </c>
      <c r="AW35" s="228">
        <v>-842</v>
      </c>
      <c r="AX35" s="229">
        <v>-0.20649999999999999</v>
      </c>
      <c r="AY35" s="228">
        <v>843</v>
      </c>
      <c r="AZ35" s="228">
        <v>743</v>
      </c>
      <c r="BA35" s="228">
        <v>100</v>
      </c>
      <c r="BB35" s="229">
        <v>0.1346</v>
      </c>
      <c r="BC35" s="228">
        <v>0</v>
      </c>
      <c r="BD35" s="228">
        <v>0</v>
      </c>
      <c r="BE35" s="228">
        <v>0</v>
      </c>
      <c r="BF35" s="229">
        <v>0</v>
      </c>
      <c r="BG35" s="230">
        <v>19106</v>
      </c>
      <c r="BH35" s="230">
        <v>23151</v>
      </c>
      <c r="BI35" s="230">
        <v>-4045</v>
      </c>
      <c r="BJ35" s="229">
        <v>-0.17469999999999999</v>
      </c>
      <c r="BK35" s="230">
        <v>8458</v>
      </c>
      <c r="BL35" s="230">
        <v>9674</v>
      </c>
      <c r="BM35" s="230">
        <v>-1216</v>
      </c>
      <c r="BN35" s="229">
        <v>-0.12570000000000001</v>
      </c>
      <c r="BO35" s="230">
        <v>31667</v>
      </c>
      <c r="BP35" s="230">
        <v>37692</v>
      </c>
      <c r="BQ35" s="230">
        <v>-6025</v>
      </c>
      <c r="BR35" s="229">
        <v>-0.1598</v>
      </c>
      <c r="BS35" s="230">
        <v>5020447</v>
      </c>
      <c r="BT35" s="230">
        <v>4758246</v>
      </c>
      <c r="BU35" s="230">
        <v>262201</v>
      </c>
      <c r="BV35" s="229">
        <v>5.5100000000000003E-2</v>
      </c>
      <c r="BW35" s="230">
        <v>115924500</v>
      </c>
      <c r="BX35" s="230">
        <v>116523000</v>
      </c>
      <c r="BY35" s="230">
        <v>-598500</v>
      </c>
      <c r="BZ35" s="229">
        <v>-5.1000000000000004E-3</v>
      </c>
      <c r="CA35" s="230">
        <v>85917000</v>
      </c>
      <c r="CB35" s="230">
        <v>86821500</v>
      </c>
      <c r="CC35" s="230">
        <v>-904500</v>
      </c>
      <c r="CD35" s="229">
        <v>-1.04E-2</v>
      </c>
      <c r="CE35" s="230">
        <v>29565000</v>
      </c>
      <c r="CF35" s="230">
        <v>29272500</v>
      </c>
      <c r="CG35" s="230">
        <v>292500</v>
      </c>
      <c r="CH35" s="229">
        <v>0.01</v>
      </c>
      <c r="CI35" s="228">
        <v>0</v>
      </c>
      <c r="CJ35" s="228">
        <v>0</v>
      </c>
      <c r="CK35" s="228">
        <v>0</v>
      </c>
      <c r="CL35" s="229">
        <v>0</v>
      </c>
      <c r="CM35" s="230">
        <v>80997000</v>
      </c>
      <c r="CN35" s="230">
        <v>80050500</v>
      </c>
      <c r="CO35" s="230">
        <v>946500</v>
      </c>
      <c r="CP35" s="229">
        <v>1.18E-2</v>
      </c>
      <c r="CQ35" s="230">
        <v>26377500</v>
      </c>
      <c r="CR35" s="230">
        <v>25465500</v>
      </c>
      <c r="CS35" s="230">
        <v>912000</v>
      </c>
      <c r="CT35" s="229">
        <v>3.5799999999999998E-2</v>
      </c>
      <c r="CU35" s="230">
        <v>223299000</v>
      </c>
      <c r="CV35" s="230">
        <v>222039000</v>
      </c>
      <c r="CW35" s="230">
        <v>1260000</v>
      </c>
      <c r="CX35" s="229">
        <v>5.7000000000000002E-3</v>
      </c>
      <c r="CY35" s="228">
        <v>14.92</v>
      </c>
      <c r="CZ35" s="228">
        <v>15.11</v>
      </c>
      <c r="DA35" s="228">
        <v>-0.19</v>
      </c>
      <c r="DB35" s="228">
        <v>-0.19</v>
      </c>
      <c r="DC35" s="228">
        <v>31.63</v>
      </c>
      <c r="DD35" s="228">
        <v>31.7</v>
      </c>
      <c r="DE35" s="228">
        <v>-16.71</v>
      </c>
      <c r="DF35" s="228">
        <v>-7.0000000000000007E-2</v>
      </c>
      <c r="DG35" s="228">
        <v>14.35</v>
      </c>
      <c r="DH35" s="228">
        <v>14.55</v>
      </c>
      <c r="DI35" s="228">
        <v>-0.2</v>
      </c>
      <c r="DJ35" s="228">
        <v>-0.2</v>
      </c>
      <c r="DK35" s="228">
        <v>16.21</v>
      </c>
      <c r="DL35" s="228">
        <v>16.440000000000001</v>
      </c>
      <c r="DM35" s="228">
        <v>-0.23</v>
      </c>
      <c r="DN35" s="228">
        <v>-0.23</v>
      </c>
      <c r="DO35" s="228">
        <v>0.33</v>
      </c>
      <c r="DP35" s="228">
        <v>0.32</v>
      </c>
      <c r="DQ35" s="228">
        <v>0.01</v>
      </c>
      <c r="DR35" s="229">
        <v>3.1300000000000001E-2</v>
      </c>
      <c r="DS35" s="228">
        <v>345</v>
      </c>
      <c r="DT35" s="228">
        <v>345</v>
      </c>
      <c r="DU35" s="228">
        <v>0.44</v>
      </c>
      <c r="DV35" s="228">
        <v>0.42</v>
      </c>
      <c r="DW35" s="228">
        <v>0.02</v>
      </c>
      <c r="DX35" s="229">
        <v>4.7600000000000003E-2</v>
      </c>
      <c r="DY35" s="229">
        <v>0.255</v>
      </c>
      <c r="DZ35" s="230">
        <v>29272500</v>
      </c>
      <c r="EA35" s="229">
        <v>-4.4000000000000003E-3</v>
      </c>
      <c r="EB35" s="229">
        <v>0.255</v>
      </c>
      <c r="EC35" s="228">
        <v>-1.46</v>
      </c>
      <c r="ED35" s="229">
        <v>-4.3E-3</v>
      </c>
      <c r="EE35" s="230">
        <v>3295352</v>
      </c>
      <c r="EF35" s="230">
        <v>3184143</v>
      </c>
      <c r="EG35" s="229">
        <v>3.49E-2</v>
      </c>
      <c r="EH35" s="229">
        <v>0.65639999999999998</v>
      </c>
      <c r="EI35" s="231">
        <v>100077.74</v>
      </c>
      <c r="EJ35" s="231">
        <v>43234.720000000001</v>
      </c>
      <c r="EK35" s="231">
        <v>20993</v>
      </c>
      <c r="EL35" s="228">
        <v>0</v>
      </c>
      <c r="EM35" s="231">
        <v>164305.46</v>
      </c>
      <c r="EN35" s="231">
        <v>195716.81</v>
      </c>
      <c r="EO35" s="231">
        <v>-31411.35</v>
      </c>
      <c r="EP35" s="229">
        <v>-0.1605</v>
      </c>
      <c r="EQ35" s="231">
        <v>282592</v>
      </c>
      <c r="ER35" s="231">
        <v>88864</v>
      </c>
      <c r="ES35" s="231">
        <v>395209</v>
      </c>
      <c r="ET35" s="231">
        <v>948263976</v>
      </c>
      <c r="EU35" s="231">
        <v>766665</v>
      </c>
      <c r="EV35" s="231">
        <v>762781</v>
      </c>
      <c r="EW35" s="231">
        <v>3884</v>
      </c>
      <c r="EX35" s="229">
        <v>5.1000000000000004E-3</v>
      </c>
      <c r="EY35" s="229">
        <v>0.23549999999999999</v>
      </c>
    </row>
    <row r="36" spans="1:155" ht="17.25" thickBot="1" x14ac:dyDescent="0.3">
      <c r="A36" s="226">
        <v>45860</v>
      </c>
      <c r="B36" s="227" t="s">
        <v>193</v>
      </c>
      <c r="C36" s="227" t="s">
        <v>269</v>
      </c>
      <c r="D36" s="228">
        <v>246.32</v>
      </c>
      <c r="E36" s="228">
        <v>245.42</v>
      </c>
      <c r="F36" s="228">
        <v>0.9</v>
      </c>
      <c r="G36" s="229">
        <v>3.7000000000000002E-3</v>
      </c>
      <c r="H36" s="228">
        <v>246.41</v>
      </c>
      <c r="I36" s="228">
        <v>245.04</v>
      </c>
      <c r="J36" s="228">
        <v>1.37</v>
      </c>
      <c r="K36" s="229">
        <v>5.5999999999999999E-3</v>
      </c>
      <c r="L36" s="228">
        <v>246.32</v>
      </c>
      <c r="M36" s="228">
        <v>245.42</v>
      </c>
      <c r="N36" s="228">
        <v>0.9</v>
      </c>
      <c r="O36" s="229">
        <v>3.7000000000000002E-3</v>
      </c>
      <c r="P36" s="228">
        <v>246.35</v>
      </c>
      <c r="Q36" s="228">
        <v>245.51</v>
      </c>
      <c r="R36" s="228">
        <v>0.84</v>
      </c>
      <c r="S36" s="229">
        <v>3.3999999999999998E-3</v>
      </c>
      <c r="T36" s="228">
        <v>0</v>
      </c>
      <c r="U36" s="228">
        <v>0</v>
      </c>
      <c r="V36" s="228">
        <v>0</v>
      </c>
      <c r="W36" s="229">
        <v>0</v>
      </c>
      <c r="X36" s="228">
        <v>-0.09</v>
      </c>
      <c r="Y36" s="228">
        <v>0.38</v>
      </c>
      <c r="Z36" s="228">
        <v>-0.47</v>
      </c>
      <c r="AA36" s="229">
        <v>-4.0000000000000002E-4</v>
      </c>
      <c r="AB36" s="228">
        <v>-0.09</v>
      </c>
      <c r="AC36" s="228">
        <v>0.38</v>
      </c>
      <c r="AD36" s="228">
        <v>-0.47</v>
      </c>
      <c r="AE36" s="229">
        <v>-4.0000000000000002E-4</v>
      </c>
      <c r="AF36" s="228">
        <v>-0.06</v>
      </c>
      <c r="AG36" s="228">
        <v>0.47</v>
      </c>
      <c r="AH36" s="228">
        <v>-0.53</v>
      </c>
      <c r="AI36" s="229">
        <v>-2.0000000000000001E-4</v>
      </c>
      <c r="AJ36" s="228">
        <v>0</v>
      </c>
      <c r="AK36" s="228">
        <v>0</v>
      </c>
      <c r="AL36" s="228">
        <v>0</v>
      </c>
      <c r="AM36" s="229">
        <v>0</v>
      </c>
      <c r="AN36" s="228">
        <v>245.83</v>
      </c>
      <c r="AO36" s="228">
        <v>245.92</v>
      </c>
      <c r="AP36" s="228">
        <v>0</v>
      </c>
      <c r="AQ36" s="230">
        <v>4906</v>
      </c>
      <c r="AR36" s="230">
        <v>2996</v>
      </c>
      <c r="AS36" s="230">
        <v>1910</v>
      </c>
      <c r="AT36" s="229">
        <v>0.63749999999999996</v>
      </c>
      <c r="AU36" s="230">
        <v>3430</v>
      </c>
      <c r="AV36" s="230">
        <v>2227</v>
      </c>
      <c r="AW36" s="230">
        <v>1203</v>
      </c>
      <c r="AX36" s="229">
        <v>0.54020000000000001</v>
      </c>
      <c r="AY36" s="230">
        <v>1438</v>
      </c>
      <c r="AZ36" s="228">
        <v>727</v>
      </c>
      <c r="BA36" s="228">
        <v>711</v>
      </c>
      <c r="BB36" s="229">
        <v>0.97799999999999998</v>
      </c>
      <c r="BC36" s="228">
        <v>0</v>
      </c>
      <c r="BD36" s="228">
        <v>0</v>
      </c>
      <c r="BE36" s="228">
        <v>0</v>
      </c>
      <c r="BF36" s="229">
        <v>0</v>
      </c>
      <c r="BG36" s="230">
        <v>23375</v>
      </c>
      <c r="BH36" s="230">
        <v>23297</v>
      </c>
      <c r="BI36" s="228">
        <v>78</v>
      </c>
      <c r="BJ36" s="229">
        <v>3.3E-3</v>
      </c>
      <c r="BK36" s="230">
        <v>10073</v>
      </c>
      <c r="BL36" s="230">
        <v>6999</v>
      </c>
      <c r="BM36" s="230">
        <v>3074</v>
      </c>
      <c r="BN36" s="229">
        <v>0.43919999999999998</v>
      </c>
      <c r="BO36" s="230">
        <v>38354</v>
      </c>
      <c r="BP36" s="230">
        <v>33292</v>
      </c>
      <c r="BQ36" s="230">
        <v>5062</v>
      </c>
      <c r="BR36" s="229">
        <v>0.152</v>
      </c>
      <c r="BS36" s="230">
        <v>6736609</v>
      </c>
      <c r="BT36" s="230">
        <v>5841831</v>
      </c>
      <c r="BU36" s="230">
        <v>894778</v>
      </c>
      <c r="BV36" s="229">
        <v>0.1532</v>
      </c>
      <c r="BW36" s="230">
        <v>99443250</v>
      </c>
      <c r="BX36" s="230">
        <v>99920250</v>
      </c>
      <c r="BY36" s="230">
        <v>-477000</v>
      </c>
      <c r="BZ36" s="229">
        <v>-4.7999999999999996E-3</v>
      </c>
      <c r="CA36" s="230">
        <v>75631500</v>
      </c>
      <c r="CB36" s="230">
        <v>78120000</v>
      </c>
      <c r="CC36" s="230">
        <v>-2488500</v>
      </c>
      <c r="CD36" s="229">
        <v>-3.1899999999999998E-2</v>
      </c>
      <c r="CE36" s="230">
        <v>23474250</v>
      </c>
      <c r="CF36" s="230">
        <v>21485250</v>
      </c>
      <c r="CG36" s="230">
        <v>1989000</v>
      </c>
      <c r="CH36" s="229">
        <v>9.2600000000000002E-2</v>
      </c>
      <c r="CI36" s="228">
        <v>0</v>
      </c>
      <c r="CJ36" s="228">
        <v>0</v>
      </c>
      <c r="CK36" s="228">
        <v>0</v>
      </c>
      <c r="CL36" s="229">
        <v>0</v>
      </c>
      <c r="CM36" s="230">
        <v>79186500</v>
      </c>
      <c r="CN36" s="230">
        <v>80948250</v>
      </c>
      <c r="CO36" s="230">
        <v>-1761750</v>
      </c>
      <c r="CP36" s="229">
        <v>-2.18E-2</v>
      </c>
      <c r="CQ36" s="230">
        <v>22554000</v>
      </c>
      <c r="CR36" s="230">
        <v>21728250</v>
      </c>
      <c r="CS36" s="230">
        <v>825750</v>
      </c>
      <c r="CT36" s="229">
        <v>3.7999999999999999E-2</v>
      </c>
      <c r="CU36" s="230">
        <v>201183750</v>
      </c>
      <c r="CV36" s="230">
        <v>202596750</v>
      </c>
      <c r="CW36" s="230">
        <v>-1413000</v>
      </c>
      <c r="CX36" s="229">
        <v>-7.0000000000000001E-3</v>
      </c>
      <c r="CY36" s="228">
        <v>18.059999999999999</v>
      </c>
      <c r="CZ36" s="228">
        <v>19.399999999999999</v>
      </c>
      <c r="DA36" s="228">
        <v>-1.34</v>
      </c>
      <c r="DB36" s="228">
        <v>-1.34</v>
      </c>
      <c r="DC36" s="228">
        <v>36.35</v>
      </c>
      <c r="DD36" s="228">
        <v>36.44</v>
      </c>
      <c r="DE36" s="228">
        <v>-18.29</v>
      </c>
      <c r="DF36" s="228">
        <v>-0.09</v>
      </c>
      <c r="DG36" s="228">
        <v>17.91</v>
      </c>
      <c r="DH36" s="228">
        <v>19.690000000000001</v>
      </c>
      <c r="DI36" s="228">
        <v>-1.78</v>
      </c>
      <c r="DJ36" s="228">
        <v>-1.78</v>
      </c>
      <c r="DK36" s="228">
        <v>18.41</v>
      </c>
      <c r="DL36" s="228">
        <v>18.440000000000001</v>
      </c>
      <c r="DM36" s="228">
        <v>-0.03</v>
      </c>
      <c r="DN36" s="228">
        <v>-0.03</v>
      </c>
      <c r="DO36" s="228">
        <v>0.28000000000000003</v>
      </c>
      <c r="DP36" s="228">
        <v>0.27</v>
      </c>
      <c r="DQ36" s="228">
        <v>0.01</v>
      </c>
      <c r="DR36" s="229">
        <v>3.6999999999999998E-2</v>
      </c>
      <c r="DS36" s="228">
        <v>250</v>
      </c>
      <c r="DT36" s="228">
        <v>245</v>
      </c>
      <c r="DU36" s="228">
        <v>0.43</v>
      </c>
      <c r="DV36" s="228">
        <v>0.3</v>
      </c>
      <c r="DW36" s="228">
        <v>0.13</v>
      </c>
      <c r="DX36" s="229">
        <v>0.43330000000000002</v>
      </c>
      <c r="DY36" s="229">
        <v>0.2361</v>
      </c>
      <c r="DZ36" s="230">
        <v>21485250</v>
      </c>
      <c r="EA36" s="229">
        <v>1E-4</v>
      </c>
      <c r="EB36" s="229">
        <v>0.2361</v>
      </c>
      <c r="EC36" s="228">
        <v>0.09</v>
      </c>
      <c r="ED36" s="229">
        <v>4.0000000000000002E-4</v>
      </c>
      <c r="EE36" s="230">
        <v>4295446</v>
      </c>
      <c r="EF36" s="230">
        <v>3546219</v>
      </c>
      <c r="EG36" s="229">
        <v>0.21129999999999999</v>
      </c>
      <c r="EH36" s="229">
        <v>0.63759999999999994</v>
      </c>
      <c r="EI36" s="231">
        <v>132571.57999999999</v>
      </c>
      <c r="EJ36" s="231">
        <v>56229.48</v>
      </c>
      <c r="EK36" s="231">
        <v>27139.81</v>
      </c>
      <c r="EL36" s="228">
        <v>0</v>
      </c>
      <c r="EM36" s="231">
        <v>215940.87</v>
      </c>
      <c r="EN36" s="231">
        <v>188302.98</v>
      </c>
      <c r="EO36" s="231">
        <v>27637.89</v>
      </c>
      <c r="EP36" s="229">
        <v>0.14680000000000001</v>
      </c>
      <c r="EQ36" s="231">
        <v>200389</v>
      </c>
      <c r="ER36" s="231">
        <v>54513</v>
      </c>
      <c r="ES36" s="231">
        <v>244960</v>
      </c>
      <c r="ET36" s="231">
        <v>1034282422</v>
      </c>
      <c r="EU36" s="231">
        <v>499861</v>
      </c>
      <c r="EV36" s="231">
        <v>502501</v>
      </c>
      <c r="EW36" s="231">
        <v>-2640</v>
      </c>
      <c r="EX36" s="229">
        <v>-5.3E-3</v>
      </c>
      <c r="EY36" s="229">
        <v>0.19450000000000001</v>
      </c>
    </row>
    <row r="37" spans="1:155" ht="17.25" thickBot="1" x14ac:dyDescent="0.3">
      <c r="A37" s="226">
        <v>45860</v>
      </c>
      <c r="B37" s="227" t="s">
        <v>161</v>
      </c>
      <c r="C37" s="227" t="s">
        <v>276</v>
      </c>
      <c r="D37" s="228">
        <v>297.8</v>
      </c>
      <c r="E37" s="228">
        <v>297.14999999999998</v>
      </c>
      <c r="F37" s="228">
        <v>0.65</v>
      </c>
      <c r="G37" s="229">
        <v>2.2000000000000001E-3</v>
      </c>
      <c r="H37" s="228">
        <v>297.8</v>
      </c>
      <c r="I37" s="228">
        <v>297</v>
      </c>
      <c r="J37" s="228">
        <v>0.8</v>
      </c>
      <c r="K37" s="229">
        <v>2.7000000000000001E-3</v>
      </c>
      <c r="L37" s="228">
        <v>297.8</v>
      </c>
      <c r="M37" s="228">
        <v>297.14999999999998</v>
      </c>
      <c r="N37" s="228">
        <v>0.65</v>
      </c>
      <c r="O37" s="229">
        <v>2.2000000000000001E-3</v>
      </c>
      <c r="P37" s="228">
        <v>298</v>
      </c>
      <c r="Q37" s="228">
        <v>296.95</v>
      </c>
      <c r="R37" s="228">
        <v>1.05</v>
      </c>
      <c r="S37" s="229">
        <v>3.5000000000000001E-3</v>
      </c>
      <c r="T37" s="228">
        <v>0</v>
      </c>
      <c r="U37" s="228">
        <v>0</v>
      </c>
      <c r="V37" s="228">
        <v>0</v>
      </c>
      <c r="W37" s="229">
        <v>0</v>
      </c>
      <c r="X37" s="228">
        <v>0</v>
      </c>
      <c r="Y37" s="228">
        <v>0.15</v>
      </c>
      <c r="Z37" s="228">
        <v>-0.15</v>
      </c>
      <c r="AA37" s="229">
        <v>0</v>
      </c>
      <c r="AB37" s="228">
        <v>0</v>
      </c>
      <c r="AC37" s="228">
        <v>0.15</v>
      </c>
      <c r="AD37" s="228">
        <v>-0.15</v>
      </c>
      <c r="AE37" s="229">
        <v>0</v>
      </c>
      <c r="AF37" s="228">
        <v>0.2</v>
      </c>
      <c r="AG37" s="228">
        <v>-0.05</v>
      </c>
      <c r="AH37" s="228">
        <v>0.25</v>
      </c>
      <c r="AI37" s="229">
        <v>6.9999999999999999E-4</v>
      </c>
      <c r="AJ37" s="228">
        <v>0</v>
      </c>
      <c r="AK37" s="228">
        <v>0</v>
      </c>
      <c r="AL37" s="228">
        <v>0</v>
      </c>
      <c r="AM37" s="229">
        <v>0</v>
      </c>
      <c r="AN37" s="228">
        <v>297.07</v>
      </c>
      <c r="AO37" s="228">
        <v>297.06</v>
      </c>
      <c r="AP37" s="228">
        <v>0</v>
      </c>
      <c r="AQ37" s="230">
        <v>3496</v>
      </c>
      <c r="AR37" s="230">
        <v>3716</v>
      </c>
      <c r="AS37" s="228">
        <v>-220</v>
      </c>
      <c r="AT37" s="229">
        <v>-5.9200000000000003E-2</v>
      </c>
      <c r="AU37" s="230">
        <v>3056</v>
      </c>
      <c r="AV37" s="230">
        <v>2993</v>
      </c>
      <c r="AW37" s="228">
        <v>63</v>
      </c>
      <c r="AX37" s="229">
        <v>2.1000000000000001E-2</v>
      </c>
      <c r="AY37" s="228">
        <v>419</v>
      </c>
      <c r="AZ37" s="228">
        <v>693</v>
      </c>
      <c r="BA37" s="228">
        <v>-274</v>
      </c>
      <c r="BB37" s="229">
        <v>-0.39539999999999997</v>
      </c>
      <c r="BC37" s="228">
        <v>0</v>
      </c>
      <c r="BD37" s="228">
        <v>0</v>
      </c>
      <c r="BE37" s="228">
        <v>0</v>
      </c>
      <c r="BF37" s="229">
        <v>0</v>
      </c>
      <c r="BG37" s="230">
        <v>7164</v>
      </c>
      <c r="BH37" s="230">
        <v>8231</v>
      </c>
      <c r="BI37" s="230">
        <v>-1067</v>
      </c>
      <c r="BJ37" s="229">
        <v>-0.12959999999999999</v>
      </c>
      <c r="BK37" s="230">
        <v>4874</v>
      </c>
      <c r="BL37" s="230">
        <v>3660</v>
      </c>
      <c r="BM37" s="230">
        <v>1214</v>
      </c>
      <c r="BN37" s="229">
        <v>0.33169999999999999</v>
      </c>
      <c r="BO37" s="230">
        <v>15534</v>
      </c>
      <c r="BP37" s="230">
        <v>15607</v>
      </c>
      <c r="BQ37" s="228">
        <v>-73</v>
      </c>
      <c r="BR37" s="229">
        <v>-4.7000000000000002E-3</v>
      </c>
      <c r="BS37" s="230">
        <v>9047909</v>
      </c>
      <c r="BT37" s="230">
        <v>5377404</v>
      </c>
      <c r="BU37" s="230">
        <v>3670505</v>
      </c>
      <c r="BV37" s="229">
        <v>0.68259999999999998</v>
      </c>
      <c r="BW37" s="230">
        <v>80197100</v>
      </c>
      <c r="BX37" s="230">
        <v>82032500</v>
      </c>
      <c r="BY37" s="230">
        <v>-1835400</v>
      </c>
      <c r="BZ37" s="229">
        <v>-2.24E-2</v>
      </c>
      <c r="CA37" s="230">
        <v>50813600</v>
      </c>
      <c r="CB37" s="230">
        <v>52683200</v>
      </c>
      <c r="CC37" s="230">
        <v>-1869600</v>
      </c>
      <c r="CD37" s="229">
        <v>-3.5499999999999997E-2</v>
      </c>
      <c r="CE37" s="230">
        <v>29147900</v>
      </c>
      <c r="CF37" s="230">
        <v>29121300</v>
      </c>
      <c r="CG37" s="230">
        <v>26600</v>
      </c>
      <c r="CH37" s="229">
        <v>8.9999999999999998E-4</v>
      </c>
      <c r="CI37" s="228">
        <v>0</v>
      </c>
      <c r="CJ37" s="228">
        <v>0</v>
      </c>
      <c r="CK37" s="228">
        <v>0</v>
      </c>
      <c r="CL37" s="229">
        <v>0</v>
      </c>
      <c r="CM37" s="230">
        <v>26776700</v>
      </c>
      <c r="CN37" s="230">
        <v>28249200</v>
      </c>
      <c r="CO37" s="230">
        <v>-1472500</v>
      </c>
      <c r="CP37" s="229">
        <v>-5.21E-2</v>
      </c>
      <c r="CQ37" s="230">
        <v>15207600</v>
      </c>
      <c r="CR37" s="230">
        <v>15078400</v>
      </c>
      <c r="CS37" s="230">
        <v>129200</v>
      </c>
      <c r="CT37" s="229">
        <v>8.6E-3</v>
      </c>
      <c r="CU37" s="230">
        <v>122181400</v>
      </c>
      <c r="CV37" s="230">
        <v>125360100</v>
      </c>
      <c r="CW37" s="230">
        <v>-3178700</v>
      </c>
      <c r="CX37" s="229">
        <v>-2.5399999999999999E-2</v>
      </c>
      <c r="CY37" s="228">
        <v>23.4</v>
      </c>
      <c r="CZ37" s="228">
        <v>24.34</v>
      </c>
      <c r="DA37" s="228">
        <v>-0.94</v>
      </c>
      <c r="DB37" s="228">
        <v>-0.94</v>
      </c>
      <c r="DC37" s="228">
        <v>31.76</v>
      </c>
      <c r="DD37" s="228">
        <v>31.84</v>
      </c>
      <c r="DE37" s="228">
        <v>-8.36</v>
      </c>
      <c r="DF37" s="228">
        <v>-0.08</v>
      </c>
      <c r="DG37" s="228">
        <v>23.2</v>
      </c>
      <c r="DH37" s="228">
        <v>24.21</v>
      </c>
      <c r="DI37" s="228">
        <v>-1.01</v>
      </c>
      <c r="DJ37" s="228">
        <v>-1.01</v>
      </c>
      <c r="DK37" s="228">
        <v>23.71</v>
      </c>
      <c r="DL37" s="228">
        <v>24.64</v>
      </c>
      <c r="DM37" s="228">
        <v>-0.93</v>
      </c>
      <c r="DN37" s="228">
        <v>-0.93</v>
      </c>
      <c r="DO37" s="228">
        <v>0.56999999999999995</v>
      </c>
      <c r="DP37" s="228">
        <v>0.53</v>
      </c>
      <c r="DQ37" s="228">
        <v>0.04</v>
      </c>
      <c r="DR37" s="229">
        <v>7.5499999999999998E-2</v>
      </c>
      <c r="DS37" s="228">
        <v>300</v>
      </c>
      <c r="DT37" s="228">
        <v>300</v>
      </c>
      <c r="DU37" s="228">
        <v>0.68</v>
      </c>
      <c r="DV37" s="228">
        <v>0.44</v>
      </c>
      <c r="DW37" s="228">
        <v>0.24</v>
      </c>
      <c r="DX37" s="229">
        <v>0.54549999999999998</v>
      </c>
      <c r="DY37" s="229">
        <v>0.36349999999999999</v>
      </c>
      <c r="DZ37" s="230">
        <v>29121300</v>
      </c>
      <c r="EA37" s="229">
        <v>6.9999999999999999E-4</v>
      </c>
      <c r="EB37" s="229">
        <v>0.36349999999999999</v>
      </c>
      <c r="EC37" s="228">
        <v>-0.01</v>
      </c>
      <c r="ED37" s="229">
        <v>0</v>
      </c>
      <c r="EE37" s="230">
        <v>6440027</v>
      </c>
      <c r="EF37" s="230">
        <v>3608399</v>
      </c>
      <c r="EG37" s="229">
        <v>0.78469999999999995</v>
      </c>
      <c r="EH37" s="229">
        <v>0.71179999999999999</v>
      </c>
      <c r="EI37" s="231">
        <v>41643.800000000003</v>
      </c>
      <c r="EJ37" s="231">
        <v>27636.82</v>
      </c>
      <c r="EK37" s="231">
        <v>19732.88</v>
      </c>
      <c r="EL37" s="228">
        <v>0</v>
      </c>
      <c r="EM37" s="231">
        <v>89013.5</v>
      </c>
      <c r="EN37" s="231">
        <v>89137.43</v>
      </c>
      <c r="EO37" s="228">
        <v>-123.93</v>
      </c>
      <c r="EP37" s="229">
        <v>-1.4E-3</v>
      </c>
      <c r="EQ37" s="231">
        <v>82280</v>
      </c>
      <c r="ER37" s="231">
        <v>44448</v>
      </c>
      <c r="ES37" s="231">
        <v>238889</v>
      </c>
      <c r="ET37" s="231">
        <v>905143907</v>
      </c>
      <c r="EU37" s="231">
        <v>365617</v>
      </c>
      <c r="EV37" s="231">
        <v>374515</v>
      </c>
      <c r="EW37" s="231">
        <v>-8898</v>
      </c>
      <c r="EX37" s="229">
        <v>-2.3800000000000002E-2</v>
      </c>
      <c r="EY37" s="229">
        <v>0.13500000000000001</v>
      </c>
    </row>
    <row r="38" spans="1:155" ht="17.25" thickBot="1" x14ac:dyDescent="0.3">
      <c r="A38" s="226">
        <v>45860</v>
      </c>
      <c r="B38" s="227" t="s">
        <v>193</v>
      </c>
      <c r="C38" s="227" t="s">
        <v>281</v>
      </c>
      <c r="D38" s="231">
        <v>1417.3</v>
      </c>
      <c r="E38" s="231">
        <v>1432.4</v>
      </c>
      <c r="F38" s="228">
        <v>-15.1</v>
      </c>
      <c r="G38" s="229">
        <v>-1.0500000000000001E-2</v>
      </c>
      <c r="H38" s="231">
        <v>1412.8</v>
      </c>
      <c r="I38" s="231">
        <v>1428.6</v>
      </c>
      <c r="J38" s="228">
        <v>-15.8</v>
      </c>
      <c r="K38" s="229">
        <v>-1.11E-2</v>
      </c>
      <c r="L38" s="231">
        <v>1417.3</v>
      </c>
      <c r="M38" s="231">
        <v>1432.4</v>
      </c>
      <c r="N38" s="228">
        <v>-15.1</v>
      </c>
      <c r="O38" s="229">
        <v>-1.0500000000000001E-2</v>
      </c>
      <c r="P38" s="231">
        <v>1418.9</v>
      </c>
      <c r="Q38" s="231">
        <v>1434.9</v>
      </c>
      <c r="R38" s="228">
        <v>-16</v>
      </c>
      <c r="S38" s="229">
        <v>-1.12E-2</v>
      </c>
      <c r="T38" s="228">
        <v>0</v>
      </c>
      <c r="U38" s="228">
        <v>0</v>
      </c>
      <c r="V38" s="228">
        <v>0</v>
      </c>
      <c r="W38" s="229">
        <v>0</v>
      </c>
      <c r="X38" s="228">
        <v>4.5</v>
      </c>
      <c r="Y38" s="228">
        <v>3.8</v>
      </c>
      <c r="Z38" s="228">
        <v>0.7</v>
      </c>
      <c r="AA38" s="229">
        <v>3.2000000000000002E-3</v>
      </c>
      <c r="AB38" s="228">
        <v>4.5</v>
      </c>
      <c r="AC38" s="228">
        <v>3.8</v>
      </c>
      <c r="AD38" s="228">
        <v>0.7</v>
      </c>
      <c r="AE38" s="229">
        <v>3.2000000000000002E-3</v>
      </c>
      <c r="AF38" s="228">
        <v>6.1</v>
      </c>
      <c r="AG38" s="228">
        <v>6.3</v>
      </c>
      <c r="AH38" s="228">
        <v>-0.2</v>
      </c>
      <c r="AI38" s="229">
        <v>4.3E-3</v>
      </c>
      <c r="AJ38" s="228">
        <v>0</v>
      </c>
      <c r="AK38" s="228">
        <v>0</v>
      </c>
      <c r="AL38" s="228">
        <v>0</v>
      </c>
      <c r="AM38" s="229">
        <v>0</v>
      </c>
      <c r="AN38" s="231">
        <v>1422.03</v>
      </c>
      <c r="AO38" s="231">
        <v>1424.09</v>
      </c>
      <c r="AP38" s="228">
        <v>0</v>
      </c>
      <c r="AQ38" s="230">
        <v>35900</v>
      </c>
      <c r="AR38" s="230">
        <v>70537</v>
      </c>
      <c r="AS38" s="230">
        <v>-34637</v>
      </c>
      <c r="AT38" s="229">
        <v>-0.49099999999999999</v>
      </c>
      <c r="AU38" s="230">
        <v>23122</v>
      </c>
      <c r="AV38" s="230">
        <v>50639</v>
      </c>
      <c r="AW38" s="230">
        <v>-27517</v>
      </c>
      <c r="AX38" s="229">
        <v>-0.54339999999999999</v>
      </c>
      <c r="AY38" s="230">
        <v>11828</v>
      </c>
      <c r="AZ38" s="230">
        <v>18074</v>
      </c>
      <c r="BA38" s="230">
        <v>-6246</v>
      </c>
      <c r="BB38" s="229">
        <v>-0.34560000000000002</v>
      </c>
      <c r="BC38" s="228">
        <v>0</v>
      </c>
      <c r="BD38" s="228">
        <v>0</v>
      </c>
      <c r="BE38" s="228">
        <v>0</v>
      </c>
      <c r="BF38" s="229">
        <v>0</v>
      </c>
      <c r="BG38" s="230">
        <v>323867</v>
      </c>
      <c r="BH38" s="230">
        <v>554861</v>
      </c>
      <c r="BI38" s="230">
        <v>-230994</v>
      </c>
      <c r="BJ38" s="229">
        <v>-0.4163</v>
      </c>
      <c r="BK38" s="230">
        <v>151461</v>
      </c>
      <c r="BL38" s="230">
        <v>274621</v>
      </c>
      <c r="BM38" s="230">
        <v>-123160</v>
      </c>
      <c r="BN38" s="229">
        <v>-0.44850000000000001</v>
      </c>
      <c r="BO38" s="230">
        <v>511228</v>
      </c>
      <c r="BP38" s="230">
        <v>900019</v>
      </c>
      <c r="BQ38" s="230">
        <v>-388791</v>
      </c>
      <c r="BR38" s="229">
        <v>-0.432</v>
      </c>
      <c r="BS38" s="230">
        <v>21918719</v>
      </c>
      <c r="BT38" s="230">
        <v>23999891</v>
      </c>
      <c r="BU38" s="230">
        <v>-2081172</v>
      </c>
      <c r="BV38" s="229">
        <v>-8.6699999999999999E-2</v>
      </c>
      <c r="BW38" s="230">
        <v>120079500</v>
      </c>
      <c r="BX38" s="230">
        <v>115774500</v>
      </c>
      <c r="BY38" s="230">
        <v>4305000</v>
      </c>
      <c r="BZ38" s="229">
        <v>3.7199999999999997E-2</v>
      </c>
      <c r="CA38" s="230">
        <v>68565500</v>
      </c>
      <c r="CB38" s="230">
        <v>68381000</v>
      </c>
      <c r="CC38" s="230">
        <v>184500</v>
      </c>
      <c r="CD38" s="229">
        <v>2.7000000000000001E-3</v>
      </c>
      <c r="CE38" s="230">
        <v>47226500</v>
      </c>
      <c r="CF38" s="230">
        <v>43365000</v>
      </c>
      <c r="CG38" s="230">
        <v>3861500</v>
      </c>
      <c r="CH38" s="229">
        <v>8.8999999999999996E-2</v>
      </c>
      <c r="CI38" s="228">
        <v>0</v>
      </c>
      <c r="CJ38" s="228">
        <v>0</v>
      </c>
      <c r="CK38" s="228">
        <v>0</v>
      </c>
      <c r="CL38" s="229">
        <v>0</v>
      </c>
      <c r="CM38" s="230">
        <v>113057000</v>
      </c>
      <c r="CN38" s="230">
        <v>102789000</v>
      </c>
      <c r="CO38" s="230">
        <v>10268000</v>
      </c>
      <c r="CP38" s="229">
        <v>9.9900000000000003E-2</v>
      </c>
      <c r="CQ38" s="230">
        <v>44912000</v>
      </c>
      <c r="CR38" s="230">
        <v>40595500</v>
      </c>
      <c r="CS38" s="230">
        <v>4316500</v>
      </c>
      <c r="CT38" s="229">
        <v>0.10630000000000001</v>
      </c>
      <c r="CU38" s="230">
        <v>278048500</v>
      </c>
      <c r="CV38" s="230">
        <v>259159000</v>
      </c>
      <c r="CW38" s="230">
        <v>18889500</v>
      </c>
      <c r="CX38" s="229">
        <v>7.2900000000000006E-2</v>
      </c>
      <c r="CY38" s="228">
        <v>21.68</v>
      </c>
      <c r="CZ38" s="228">
        <v>21.52</v>
      </c>
      <c r="DA38" s="228">
        <v>0.16</v>
      </c>
      <c r="DB38" s="228">
        <v>0.16</v>
      </c>
      <c r="DC38" s="228">
        <v>26.15</v>
      </c>
      <c r="DD38" s="228">
        <v>26.17</v>
      </c>
      <c r="DE38" s="228">
        <v>-4.47</v>
      </c>
      <c r="DF38" s="228">
        <v>-0.02</v>
      </c>
      <c r="DG38" s="228">
        <v>21.74</v>
      </c>
      <c r="DH38" s="228">
        <v>21.84</v>
      </c>
      <c r="DI38" s="228">
        <v>-0.1</v>
      </c>
      <c r="DJ38" s="228">
        <v>-0.1</v>
      </c>
      <c r="DK38" s="228">
        <v>21.55</v>
      </c>
      <c r="DL38" s="228">
        <v>20.89</v>
      </c>
      <c r="DM38" s="228">
        <v>0.66</v>
      </c>
      <c r="DN38" s="228">
        <v>0.66</v>
      </c>
      <c r="DO38" s="228">
        <v>0.4</v>
      </c>
      <c r="DP38" s="228">
        <v>0.39</v>
      </c>
      <c r="DQ38" s="228">
        <v>0.01</v>
      </c>
      <c r="DR38" s="229">
        <v>2.5600000000000001E-2</v>
      </c>
      <c r="DS38" s="231">
        <v>1500</v>
      </c>
      <c r="DT38" s="231">
        <v>1400</v>
      </c>
      <c r="DU38" s="228">
        <v>0.47</v>
      </c>
      <c r="DV38" s="228">
        <v>0.49</v>
      </c>
      <c r="DW38" s="228">
        <v>-0.02</v>
      </c>
      <c r="DX38" s="229">
        <v>-4.0800000000000003E-2</v>
      </c>
      <c r="DY38" s="229">
        <v>0.39329999999999998</v>
      </c>
      <c r="DZ38" s="230">
        <v>43365000</v>
      </c>
      <c r="EA38" s="229">
        <v>1.1000000000000001E-3</v>
      </c>
      <c r="EB38" s="229">
        <v>0.39329999999999998</v>
      </c>
      <c r="EC38" s="228">
        <v>2.06</v>
      </c>
      <c r="ED38" s="229">
        <v>1.4E-3</v>
      </c>
      <c r="EE38" s="230">
        <v>16405897</v>
      </c>
      <c r="EF38" s="230">
        <v>15773712</v>
      </c>
      <c r="EG38" s="229">
        <v>4.0099999999999997E-2</v>
      </c>
      <c r="EH38" s="229">
        <v>0.74850000000000005</v>
      </c>
      <c r="EI38" s="231">
        <v>2396519.44</v>
      </c>
      <c r="EJ38" s="231">
        <v>1065812.46</v>
      </c>
      <c r="EK38" s="231">
        <v>255426.55</v>
      </c>
      <c r="EL38" s="228">
        <v>0</v>
      </c>
      <c r="EM38" s="231">
        <v>3717758.45</v>
      </c>
      <c r="EN38" s="231">
        <v>6630780.3099999996</v>
      </c>
      <c r="EO38" s="231">
        <v>-2913021.86</v>
      </c>
      <c r="EP38" s="229">
        <v>-0.43930000000000002</v>
      </c>
      <c r="EQ38" s="231">
        <v>1699550</v>
      </c>
      <c r="ER38" s="231">
        <v>642796</v>
      </c>
      <c r="ES38" s="231">
        <v>1703045</v>
      </c>
      <c r="ET38" s="231">
        <v>1323414074</v>
      </c>
      <c r="EU38" s="231">
        <v>4045392</v>
      </c>
      <c r="EV38" s="231">
        <v>3797959</v>
      </c>
      <c r="EW38" s="231">
        <v>247433</v>
      </c>
      <c r="EX38" s="229">
        <v>6.5100000000000005E-2</v>
      </c>
      <c r="EY38" s="229">
        <v>0.21010000000000001</v>
      </c>
    </row>
    <row r="39" spans="1:155" ht="17.25" thickBot="1" x14ac:dyDescent="0.3">
      <c r="A39" s="226">
        <v>45860</v>
      </c>
      <c r="B39" s="227" t="s">
        <v>175</v>
      </c>
      <c r="C39" s="227" t="s">
        <v>462</v>
      </c>
      <c r="D39" s="231">
        <v>1812.1</v>
      </c>
      <c r="E39" s="231">
        <v>1809</v>
      </c>
      <c r="F39" s="228">
        <v>3.1</v>
      </c>
      <c r="G39" s="229">
        <v>1.6999999999999999E-3</v>
      </c>
      <c r="H39" s="231">
        <v>1809</v>
      </c>
      <c r="I39" s="231">
        <v>1804.7</v>
      </c>
      <c r="J39" s="228">
        <v>4.3</v>
      </c>
      <c r="K39" s="229">
        <v>2.3999999999999998E-3</v>
      </c>
      <c r="L39" s="231">
        <v>1812.1</v>
      </c>
      <c r="M39" s="231">
        <v>1809</v>
      </c>
      <c r="N39" s="228">
        <v>3.1</v>
      </c>
      <c r="O39" s="229">
        <v>1.6999999999999999E-3</v>
      </c>
      <c r="P39" s="231">
        <v>1821.7</v>
      </c>
      <c r="Q39" s="231">
        <v>1818.3</v>
      </c>
      <c r="R39" s="228">
        <v>3.4</v>
      </c>
      <c r="S39" s="229">
        <v>1.9E-3</v>
      </c>
      <c r="T39" s="228">
        <v>0</v>
      </c>
      <c r="U39" s="228">
        <v>0</v>
      </c>
      <c r="V39" s="228">
        <v>0</v>
      </c>
      <c r="W39" s="229">
        <v>0</v>
      </c>
      <c r="X39" s="228">
        <v>3.1</v>
      </c>
      <c r="Y39" s="228">
        <v>4.3</v>
      </c>
      <c r="Z39" s="228">
        <v>-1.2</v>
      </c>
      <c r="AA39" s="229">
        <v>1.6999999999999999E-3</v>
      </c>
      <c r="AB39" s="228">
        <v>3.1</v>
      </c>
      <c r="AC39" s="228">
        <v>4.3</v>
      </c>
      <c r="AD39" s="228">
        <v>-1.2</v>
      </c>
      <c r="AE39" s="229">
        <v>1.6999999999999999E-3</v>
      </c>
      <c r="AF39" s="228">
        <v>12.7</v>
      </c>
      <c r="AG39" s="228">
        <v>13.6</v>
      </c>
      <c r="AH39" s="228">
        <v>-0.9</v>
      </c>
      <c r="AI39" s="229">
        <v>7.0000000000000001E-3</v>
      </c>
      <c r="AJ39" s="228">
        <v>0</v>
      </c>
      <c r="AK39" s="228">
        <v>0</v>
      </c>
      <c r="AL39" s="228">
        <v>0</v>
      </c>
      <c r="AM39" s="229">
        <v>0</v>
      </c>
      <c r="AN39" s="231">
        <v>1808.86</v>
      </c>
      <c r="AO39" s="231">
        <v>1817.49</v>
      </c>
      <c r="AP39" s="228">
        <v>0</v>
      </c>
      <c r="AQ39" s="230">
        <v>1819</v>
      </c>
      <c r="AR39" s="230">
        <v>2004</v>
      </c>
      <c r="AS39" s="228">
        <v>-185</v>
      </c>
      <c r="AT39" s="229">
        <v>-9.2299999999999993E-2</v>
      </c>
      <c r="AU39" s="230">
        <v>1638</v>
      </c>
      <c r="AV39" s="230">
        <v>1724</v>
      </c>
      <c r="AW39" s="228">
        <v>-86</v>
      </c>
      <c r="AX39" s="229">
        <v>-4.99E-2</v>
      </c>
      <c r="AY39" s="228">
        <v>172</v>
      </c>
      <c r="AZ39" s="228">
        <v>269</v>
      </c>
      <c r="BA39" s="228">
        <v>-97</v>
      </c>
      <c r="BB39" s="229">
        <v>-0.36059999999999998</v>
      </c>
      <c r="BC39" s="228">
        <v>0</v>
      </c>
      <c r="BD39" s="228">
        <v>0</v>
      </c>
      <c r="BE39" s="228">
        <v>0</v>
      </c>
      <c r="BF39" s="229">
        <v>0</v>
      </c>
      <c r="BG39" s="230">
        <v>9086</v>
      </c>
      <c r="BH39" s="230">
        <v>8015</v>
      </c>
      <c r="BI39" s="230">
        <v>1071</v>
      </c>
      <c r="BJ39" s="229">
        <v>0.1336</v>
      </c>
      <c r="BK39" s="230">
        <v>2544</v>
      </c>
      <c r="BL39" s="230">
        <v>3090</v>
      </c>
      <c r="BM39" s="228">
        <v>-546</v>
      </c>
      <c r="BN39" s="229">
        <v>-0.1767</v>
      </c>
      <c r="BO39" s="230">
        <v>13449</v>
      </c>
      <c r="BP39" s="230">
        <v>13109</v>
      </c>
      <c r="BQ39" s="228">
        <v>340</v>
      </c>
      <c r="BR39" s="229">
        <v>2.5899999999999999E-2</v>
      </c>
      <c r="BS39" s="230">
        <v>581630</v>
      </c>
      <c r="BT39" s="230">
        <v>485880</v>
      </c>
      <c r="BU39" s="230">
        <v>95750</v>
      </c>
      <c r="BV39" s="229">
        <v>0.1971</v>
      </c>
      <c r="BW39" s="230">
        <v>7386375</v>
      </c>
      <c r="BX39" s="230">
        <v>7315500</v>
      </c>
      <c r="BY39" s="230">
        <v>70875</v>
      </c>
      <c r="BZ39" s="229">
        <v>9.7000000000000003E-3</v>
      </c>
      <c r="CA39" s="230">
        <v>6985125</v>
      </c>
      <c r="CB39" s="230">
        <v>6922500</v>
      </c>
      <c r="CC39" s="230">
        <v>62625</v>
      </c>
      <c r="CD39" s="229">
        <v>8.9999999999999993E-3</v>
      </c>
      <c r="CE39" s="230">
        <v>381750</v>
      </c>
      <c r="CF39" s="230">
        <v>374250</v>
      </c>
      <c r="CG39" s="230">
        <v>7500</v>
      </c>
      <c r="CH39" s="229">
        <v>0.02</v>
      </c>
      <c r="CI39" s="228">
        <v>0</v>
      </c>
      <c r="CJ39" s="228">
        <v>0</v>
      </c>
      <c r="CK39" s="228">
        <v>0</v>
      </c>
      <c r="CL39" s="229">
        <v>0</v>
      </c>
      <c r="CM39" s="230">
        <v>4945500</v>
      </c>
      <c r="CN39" s="230">
        <v>4957875</v>
      </c>
      <c r="CO39" s="230">
        <v>-12375</v>
      </c>
      <c r="CP39" s="229">
        <v>-2.5000000000000001E-3</v>
      </c>
      <c r="CQ39" s="230">
        <v>1912875</v>
      </c>
      <c r="CR39" s="230">
        <v>1933125</v>
      </c>
      <c r="CS39" s="230">
        <v>-20250</v>
      </c>
      <c r="CT39" s="229">
        <v>-1.0500000000000001E-2</v>
      </c>
      <c r="CU39" s="230">
        <v>14244750</v>
      </c>
      <c r="CV39" s="230">
        <v>14206500</v>
      </c>
      <c r="CW39" s="230">
        <v>38250</v>
      </c>
      <c r="CX39" s="229">
        <v>2.7000000000000001E-3</v>
      </c>
      <c r="CY39" s="228">
        <v>24.6</v>
      </c>
      <c r="CZ39" s="228">
        <v>25.32</v>
      </c>
      <c r="DA39" s="228">
        <v>-0.72</v>
      </c>
      <c r="DB39" s="228">
        <v>-0.72</v>
      </c>
      <c r="DC39" s="228">
        <v>27.64</v>
      </c>
      <c r="DD39" s="228">
        <v>27.71</v>
      </c>
      <c r="DE39" s="228">
        <v>-3.04</v>
      </c>
      <c r="DF39" s="228">
        <v>-7.0000000000000007E-2</v>
      </c>
      <c r="DG39" s="228">
        <v>24.08</v>
      </c>
      <c r="DH39" s="228">
        <v>24.94</v>
      </c>
      <c r="DI39" s="228">
        <v>-0.86</v>
      </c>
      <c r="DJ39" s="228">
        <v>-0.86</v>
      </c>
      <c r="DK39" s="228">
        <v>26.47</v>
      </c>
      <c r="DL39" s="228">
        <v>26.3</v>
      </c>
      <c r="DM39" s="228">
        <v>0.17</v>
      </c>
      <c r="DN39" s="228">
        <v>0.17</v>
      </c>
      <c r="DO39" s="228">
        <v>0.39</v>
      </c>
      <c r="DP39" s="228">
        <v>0.39</v>
      </c>
      <c r="DQ39" s="228">
        <v>0</v>
      </c>
      <c r="DR39" s="229">
        <v>0</v>
      </c>
      <c r="DS39" s="231">
        <v>1860</v>
      </c>
      <c r="DT39" s="231">
        <v>1800</v>
      </c>
      <c r="DU39" s="228">
        <v>0.28000000000000003</v>
      </c>
      <c r="DV39" s="228">
        <v>0.39</v>
      </c>
      <c r="DW39" s="228">
        <v>-0.11</v>
      </c>
      <c r="DX39" s="229">
        <v>-0.28210000000000002</v>
      </c>
      <c r="DY39" s="229">
        <v>5.1700000000000003E-2</v>
      </c>
      <c r="DZ39" s="230">
        <v>374250</v>
      </c>
      <c r="EA39" s="229">
        <v>5.3E-3</v>
      </c>
      <c r="EB39" s="229">
        <v>5.1700000000000003E-2</v>
      </c>
      <c r="EC39" s="228">
        <v>8.6300000000000008</v>
      </c>
      <c r="ED39" s="229">
        <v>4.7999999999999996E-3</v>
      </c>
      <c r="EE39" s="230">
        <v>343988</v>
      </c>
      <c r="EF39" s="230">
        <v>293146</v>
      </c>
      <c r="EG39" s="229">
        <v>0.1734</v>
      </c>
      <c r="EH39" s="229">
        <v>0.59140000000000004</v>
      </c>
      <c r="EI39" s="231">
        <v>64339.19</v>
      </c>
      <c r="EJ39" s="231">
        <v>16912.43</v>
      </c>
      <c r="EK39" s="231">
        <v>12344.76</v>
      </c>
      <c r="EL39" s="228">
        <v>0</v>
      </c>
      <c r="EM39" s="231">
        <v>93596.38</v>
      </c>
      <c r="EN39" s="231">
        <v>91013.3</v>
      </c>
      <c r="EO39" s="231">
        <v>2583.08</v>
      </c>
      <c r="EP39" s="229">
        <v>2.8400000000000002E-2</v>
      </c>
      <c r="EQ39" s="231">
        <v>93061</v>
      </c>
      <c r="ER39" s="231">
        <v>33758</v>
      </c>
      <c r="ES39" s="231">
        <v>133888</v>
      </c>
      <c r="ET39" s="231">
        <v>89427016</v>
      </c>
      <c r="EU39" s="231">
        <v>260707</v>
      </c>
      <c r="EV39" s="231">
        <v>259754</v>
      </c>
      <c r="EW39" s="228">
        <v>953</v>
      </c>
      <c r="EX39" s="229">
        <v>3.7000000000000002E-3</v>
      </c>
      <c r="EY39" s="229">
        <v>0.1593</v>
      </c>
    </row>
    <row r="40" spans="1:155" ht="17.25" thickBot="1" x14ac:dyDescent="0.3">
      <c r="A40" s="226">
        <v>45860</v>
      </c>
      <c r="B40" s="227" t="s">
        <v>172</v>
      </c>
      <c r="C40" s="227" t="s">
        <v>283</v>
      </c>
      <c r="D40" s="228">
        <v>815.85</v>
      </c>
      <c r="E40" s="228">
        <v>824.85</v>
      </c>
      <c r="F40" s="228">
        <v>-9</v>
      </c>
      <c r="G40" s="229">
        <v>-1.09E-2</v>
      </c>
      <c r="H40" s="228">
        <v>815</v>
      </c>
      <c r="I40" s="228">
        <v>824.2</v>
      </c>
      <c r="J40" s="228">
        <v>-9.1999999999999993</v>
      </c>
      <c r="K40" s="229">
        <v>-1.12E-2</v>
      </c>
      <c r="L40" s="228">
        <v>815.85</v>
      </c>
      <c r="M40" s="228">
        <v>824.85</v>
      </c>
      <c r="N40" s="228">
        <v>-9</v>
      </c>
      <c r="O40" s="229">
        <v>-1.09E-2</v>
      </c>
      <c r="P40" s="228">
        <v>819.95</v>
      </c>
      <c r="Q40" s="228">
        <v>828.95</v>
      </c>
      <c r="R40" s="228">
        <v>-9</v>
      </c>
      <c r="S40" s="229">
        <v>-1.09E-2</v>
      </c>
      <c r="T40" s="228">
        <v>0</v>
      </c>
      <c r="U40" s="228">
        <v>0</v>
      </c>
      <c r="V40" s="228">
        <v>0</v>
      </c>
      <c r="W40" s="229">
        <v>0</v>
      </c>
      <c r="X40" s="228">
        <v>0.85</v>
      </c>
      <c r="Y40" s="228">
        <v>0.65</v>
      </c>
      <c r="Z40" s="228">
        <v>0.2</v>
      </c>
      <c r="AA40" s="229">
        <v>1E-3</v>
      </c>
      <c r="AB40" s="228">
        <v>0.85</v>
      </c>
      <c r="AC40" s="228">
        <v>0.65</v>
      </c>
      <c r="AD40" s="228">
        <v>0.2</v>
      </c>
      <c r="AE40" s="229">
        <v>1E-3</v>
      </c>
      <c r="AF40" s="228">
        <v>4.95</v>
      </c>
      <c r="AG40" s="228">
        <v>4.75</v>
      </c>
      <c r="AH40" s="228">
        <v>0.2</v>
      </c>
      <c r="AI40" s="229">
        <v>6.1000000000000004E-3</v>
      </c>
      <c r="AJ40" s="228">
        <v>0</v>
      </c>
      <c r="AK40" s="228">
        <v>0</v>
      </c>
      <c r="AL40" s="228">
        <v>0</v>
      </c>
      <c r="AM40" s="229">
        <v>0</v>
      </c>
      <c r="AN40" s="228">
        <v>820.21</v>
      </c>
      <c r="AO40" s="228">
        <v>824</v>
      </c>
      <c r="AP40" s="228">
        <v>0</v>
      </c>
      <c r="AQ40" s="230">
        <v>28886</v>
      </c>
      <c r="AR40" s="230">
        <v>24762</v>
      </c>
      <c r="AS40" s="230">
        <v>4124</v>
      </c>
      <c r="AT40" s="229">
        <v>0.16650000000000001</v>
      </c>
      <c r="AU40" s="230">
        <v>22848</v>
      </c>
      <c r="AV40" s="230">
        <v>20250</v>
      </c>
      <c r="AW40" s="230">
        <v>2598</v>
      </c>
      <c r="AX40" s="229">
        <v>0.1283</v>
      </c>
      <c r="AY40" s="230">
        <v>5738</v>
      </c>
      <c r="AZ40" s="230">
        <v>4337</v>
      </c>
      <c r="BA40" s="230">
        <v>1401</v>
      </c>
      <c r="BB40" s="229">
        <v>0.32300000000000001</v>
      </c>
      <c r="BC40" s="228">
        <v>0</v>
      </c>
      <c r="BD40" s="228">
        <v>0</v>
      </c>
      <c r="BE40" s="228">
        <v>0</v>
      </c>
      <c r="BF40" s="229">
        <v>0</v>
      </c>
      <c r="BG40" s="230">
        <v>123130</v>
      </c>
      <c r="BH40" s="230">
        <v>121540</v>
      </c>
      <c r="BI40" s="230">
        <v>1590</v>
      </c>
      <c r="BJ40" s="229">
        <v>1.3100000000000001E-2</v>
      </c>
      <c r="BK40" s="230">
        <v>66683</v>
      </c>
      <c r="BL40" s="230">
        <v>57911</v>
      </c>
      <c r="BM40" s="230">
        <v>8772</v>
      </c>
      <c r="BN40" s="229">
        <v>0.1515</v>
      </c>
      <c r="BO40" s="230">
        <v>218699</v>
      </c>
      <c r="BP40" s="230">
        <v>204213</v>
      </c>
      <c r="BQ40" s="230">
        <v>14486</v>
      </c>
      <c r="BR40" s="229">
        <v>7.0900000000000005E-2</v>
      </c>
      <c r="BS40" s="230">
        <v>8025527</v>
      </c>
      <c r="BT40" s="230">
        <v>9110760</v>
      </c>
      <c r="BU40" s="230">
        <v>-1085233</v>
      </c>
      <c r="BV40" s="229">
        <v>-0.1191</v>
      </c>
      <c r="BW40" s="230">
        <v>112539750</v>
      </c>
      <c r="BX40" s="230">
        <v>112822500</v>
      </c>
      <c r="BY40" s="230">
        <v>-282750</v>
      </c>
      <c r="BZ40" s="229">
        <v>-2.5000000000000001E-3</v>
      </c>
      <c r="CA40" s="230">
        <v>92765250</v>
      </c>
      <c r="CB40" s="230">
        <v>95491500</v>
      </c>
      <c r="CC40" s="230">
        <v>-2726250</v>
      </c>
      <c r="CD40" s="229">
        <v>-2.8500000000000001E-2</v>
      </c>
      <c r="CE40" s="230">
        <v>18924000</v>
      </c>
      <c r="CF40" s="230">
        <v>16568250</v>
      </c>
      <c r="CG40" s="230">
        <v>2355750</v>
      </c>
      <c r="CH40" s="229">
        <v>0.14219999999999999</v>
      </c>
      <c r="CI40" s="228">
        <v>0</v>
      </c>
      <c r="CJ40" s="228">
        <v>0</v>
      </c>
      <c r="CK40" s="228">
        <v>0</v>
      </c>
      <c r="CL40" s="229">
        <v>0</v>
      </c>
      <c r="CM40" s="230">
        <v>84405750</v>
      </c>
      <c r="CN40" s="230">
        <v>84951750</v>
      </c>
      <c r="CO40" s="230">
        <v>-546000</v>
      </c>
      <c r="CP40" s="229">
        <v>-6.4000000000000003E-3</v>
      </c>
      <c r="CQ40" s="230">
        <v>42403500</v>
      </c>
      <c r="CR40" s="230">
        <v>42581250</v>
      </c>
      <c r="CS40" s="230">
        <v>-177750</v>
      </c>
      <c r="CT40" s="229">
        <v>-4.1999999999999997E-3</v>
      </c>
      <c r="CU40" s="230">
        <v>239349000</v>
      </c>
      <c r="CV40" s="230">
        <v>240355500</v>
      </c>
      <c r="CW40" s="230">
        <v>-1006500</v>
      </c>
      <c r="CX40" s="229">
        <v>-4.1999999999999997E-3</v>
      </c>
      <c r="CY40" s="228">
        <v>18.829999999999998</v>
      </c>
      <c r="CZ40" s="228">
        <v>18.73</v>
      </c>
      <c r="DA40" s="228">
        <v>0.1</v>
      </c>
      <c r="DB40" s="228">
        <v>0.1</v>
      </c>
      <c r="DC40" s="228">
        <v>28.75</v>
      </c>
      <c r="DD40" s="228">
        <v>28.78</v>
      </c>
      <c r="DE40" s="228">
        <v>-9.92</v>
      </c>
      <c r="DF40" s="228">
        <v>-0.03</v>
      </c>
      <c r="DG40" s="228">
        <v>19.16</v>
      </c>
      <c r="DH40" s="228">
        <v>18.77</v>
      </c>
      <c r="DI40" s="228">
        <v>0.39</v>
      </c>
      <c r="DJ40" s="228">
        <v>0.39</v>
      </c>
      <c r="DK40" s="228">
        <v>18.239999999999998</v>
      </c>
      <c r="DL40" s="228">
        <v>18.63</v>
      </c>
      <c r="DM40" s="228">
        <v>-0.39</v>
      </c>
      <c r="DN40" s="228">
        <v>-0.39</v>
      </c>
      <c r="DO40" s="228">
        <v>0.5</v>
      </c>
      <c r="DP40" s="228">
        <v>0.5</v>
      </c>
      <c r="DQ40" s="228">
        <v>0</v>
      </c>
      <c r="DR40" s="229">
        <v>0</v>
      </c>
      <c r="DS40" s="228">
        <v>820</v>
      </c>
      <c r="DT40" s="228">
        <v>820</v>
      </c>
      <c r="DU40" s="228">
        <v>0.54</v>
      </c>
      <c r="DV40" s="228">
        <v>0.48</v>
      </c>
      <c r="DW40" s="228">
        <v>0.06</v>
      </c>
      <c r="DX40" s="229">
        <v>0.125</v>
      </c>
      <c r="DY40" s="229">
        <v>0.16819999999999999</v>
      </c>
      <c r="DZ40" s="230">
        <v>16568250</v>
      </c>
      <c r="EA40" s="229">
        <v>5.0000000000000001E-3</v>
      </c>
      <c r="EB40" s="229">
        <v>0.16819999999999999</v>
      </c>
      <c r="EC40" s="228">
        <v>3.79</v>
      </c>
      <c r="ED40" s="229">
        <v>4.5999999999999999E-3</v>
      </c>
      <c r="EE40" s="230">
        <v>4693707</v>
      </c>
      <c r="EF40" s="230">
        <v>5854487</v>
      </c>
      <c r="EG40" s="229">
        <v>-0.1983</v>
      </c>
      <c r="EH40" s="229">
        <v>0.58479999999999999</v>
      </c>
      <c r="EI40" s="231">
        <v>779664.19</v>
      </c>
      <c r="EJ40" s="231">
        <v>407543.16</v>
      </c>
      <c r="EK40" s="231">
        <v>177875.92</v>
      </c>
      <c r="EL40" s="228">
        <v>0</v>
      </c>
      <c r="EM40" s="231">
        <v>1365083.27</v>
      </c>
      <c r="EN40" s="231">
        <v>1283177.8899999999</v>
      </c>
      <c r="EO40" s="231">
        <v>81905.38</v>
      </c>
      <c r="EP40" s="229">
        <v>6.3799999999999996E-2</v>
      </c>
      <c r="EQ40" s="231">
        <v>709867</v>
      </c>
      <c r="ER40" s="231">
        <v>340867</v>
      </c>
      <c r="ES40" s="231">
        <v>919006</v>
      </c>
      <c r="ET40" s="231">
        <v>753011455</v>
      </c>
      <c r="EU40" s="231">
        <v>1969740</v>
      </c>
      <c r="EV40" s="231">
        <v>1988848</v>
      </c>
      <c r="EW40" s="231">
        <v>-19108</v>
      </c>
      <c r="EX40" s="229">
        <v>-9.5999999999999992E-3</v>
      </c>
      <c r="EY40" s="229">
        <v>0.31790000000000002</v>
      </c>
    </row>
    <row r="41" spans="1:155" ht="17.25" thickBot="1" x14ac:dyDescent="0.3">
      <c r="A41" s="226">
        <v>45860</v>
      </c>
      <c r="B41" s="227" t="s">
        <v>175</v>
      </c>
      <c r="C41" s="227" t="s">
        <v>562</v>
      </c>
      <c r="D41" s="228">
        <v>642.15</v>
      </c>
      <c r="E41" s="228">
        <v>656.8</v>
      </c>
      <c r="F41" s="228">
        <v>-14.65</v>
      </c>
      <c r="G41" s="229">
        <v>-2.23E-2</v>
      </c>
      <c r="H41" s="228">
        <v>640.15</v>
      </c>
      <c r="I41" s="228">
        <v>655.65</v>
      </c>
      <c r="J41" s="228">
        <v>-15.5</v>
      </c>
      <c r="K41" s="229">
        <v>-2.3599999999999999E-2</v>
      </c>
      <c r="L41" s="228">
        <v>642.15</v>
      </c>
      <c r="M41" s="228">
        <v>656.8</v>
      </c>
      <c r="N41" s="228">
        <v>-14.65</v>
      </c>
      <c r="O41" s="229">
        <v>-2.23E-2</v>
      </c>
      <c r="P41" s="228">
        <v>645.1</v>
      </c>
      <c r="Q41" s="228">
        <v>659.85</v>
      </c>
      <c r="R41" s="228">
        <v>-14.75</v>
      </c>
      <c r="S41" s="229">
        <v>-2.24E-2</v>
      </c>
      <c r="T41" s="228">
        <v>0</v>
      </c>
      <c r="U41" s="228">
        <v>0</v>
      </c>
      <c r="V41" s="228">
        <v>0</v>
      </c>
      <c r="W41" s="229">
        <v>0</v>
      </c>
      <c r="X41" s="228">
        <v>2</v>
      </c>
      <c r="Y41" s="228">
        <v>1.1499999999999999</v>
      </c>
      <c r="Z41" s="228">
        <v>0.85</v>
      </c>
      <c r="AA41" s="229">
        <v>3.0999999999999999E-3</v>
      </c>
      <c r="AB41" s="228">
        <v>2</v>
      </c>
      <c r="AC41" s="228">
        <v>1.1499999999999999</v>
      </c>
      <c r="AD41" s="228">
        <v>0.85</v>
      </c>
      <c r="AE41" s="229">
        <v>3.0999999999999999E-3</v>
      </c>
      <c r="AF41" s="228">
        <v>4.95</v>
      </c>
      <c r="AG41" s="228">
        <v>4.2</v>
      </c>
      <c r="AH41" s="228">
        <v>0.75</v>
      </c>
      <c r="AI41" s="229">
        <v>7.7000000000000002E-3</v>
      </c>
      <c r="AJ41" s="228">
        <v>0</v>
      </c>
      <c r="AK41" s="228">
        <v>0</v>
      </c>
      <c r="AL41" s="228">
        <v>0</v>
      </c>
      <c r="AM41" s="229">
        <v>0</v>
      </c>
      <c r="AN41" s="228">
        <v>645.96</v>
      </c>
      <c r="AO41" s="228">
        <v>647.41</v>
      </c>
      <c r="AP41" s="228">
        <v>0</v>
      </c>
      <c r="AQ41" s="230">
        <v>8628</v>
      </c>
      <c r="AR41" s="230">
        <v>9093</v>
      </c>
      <c r="AS41" s="228">
        <v>-465</v>
      </c>
      <c r="AT41" s="229">
        <v>-5.11E-2</v>
      </c>
      <c r="AU41" s="230">
        <v>5804</v>
      </c>
      <c r="AV41" s="230">
        <v>7560</v>
      </c>
      <c r="AW41" s="230">
        <v>-1756</v>
      </c>
      <c r="AX41" s="229">
        <v>-0.23230000000000001</v>
      </c>
      <c r="AY41" s="230">
        <v>1645</v>
      </c>
      <c r="AZ41" s="230">
        <v>1409</v>
      </c>
      <c r="BA41" s="228">
        <v>236</v>
      </c>
      <c r="BB41" s="229">
        <v>0.16750000000000001</v>
      </c>
      <c r="BC41" s="228">
        <v>0</v>
      </c>
      <c r="BD41" s="228">
        <v>0</v>
      </c>
      <c r="BE41" s="228">
        <v>0</v>
      </c>
      <c r="BF41" s="229">
        <v>0</v>
      </c>
      <c r="BG41" s="230">
        <v>9667</v>
      </c>
      <c r="BH41" s="230">
        <v>16114</v>
      </c>
      <c r="BI41" s="230">
        <v>-6447</v>
      </c>
      <c r="BJ41" s="229">
        <v>-0.40010000000000001</v>
      </c>
      <c r="BK41" s="230">
        <v>3973</v>
      </c>
      <c r="BL41" s="230">
        <v>6759</v>
      </c>
      <c r="BM41" s="230">
        <v>-2786</v>
      </c>
      <c r="BN41" s="229">
        <v>-0.41220000000000001</v>
      </c>
      <c r="BO41" s="230">
        <v>22268</v>
      </c>
      <c r="BP41" s="230">
        <v>31966</v>
      </c>
      <c r="BQ41" s="230">
        <v>-9698</v>
      </c>
      <c r="BR41" s="229">
        <v>-0.3034</v>
      </c>
      <c r="BS41" s="230">
        <v>4801325</v>
      </c>
      <c r="BT41" s="230">
        <v>5064679</v>
      </c>
      <c r="BU41" s="230">
        <v>-263354</v>
      </c>
      <c r="BV41" s="229">
        <v>-5.1999999999999998E-2</v>
      </c>
      <c r="BW41" s="230">
        <v>40051275</v>
      </c>
      <c r="BX41" s="230">
        <v>39590925</v>
      </c>
      <c r="BY41" s="230">
        <v>460350</v>
      </c>
      <c r="BZ41" s="229">
        <v>1.1599999999999999E-2</v>
      </c>
      <c r="CA41" s="230">
        <v>35320725</v>
      </c>
      <c r="CB41" s="230">
        <v>36579675</v>
      </c>
      <c r="CC41" s="230">
        <v>-1258950</v>
      </c>
      <c r="CD41" s="229">
        <v>-3.44E-2</v>
      </c>
      <c r="CE41" s="230">
        <v>3526050</v>
      </c>
      <c r="CF41" s="230">
        <v>2714250</v>
      </c>
      <c r="CG41" s="230">
        <v>811800</v>
      </c>
      <c r="CH41" s="229">
        <v>0.29909999999999998</v>
      </c>
      <c r="CI41" s="228">
        <v>0</v>
      </c>
      <c r="CJ41" s="228">
        <v>0</v>
      </c>
      <c r="CK41" s="228">
        <v>0</v>
      </c>
      <c r="CL41" s="229">
        <v>0</v>
      </c>
      <c r="CM41" s="230">
        <v>11905575</v>
      </c>
      <c r="CN41" s="230">
        <v>11438625</v>
      </c>
      <c r="CO41" s="230">
        <v>466950</v>
      </c>
      <c r="CP41" s="229">
        <v>4.0800000000000003E-2</v>
      </c>
      <c r="CQ41" s="230">
        <v>6960525</v>
      </c>
      <c r="CR41" s="230">
        <v>6749325</v>
      </c>
      <c r="CS41" s="230">
        <v>211200</v>
      </c>
      <c r="CT41" s="229">
        <v>3.1300000000000001E-2</v>
      </c>
      <c r="CU41" s="230">
        <v>58917375</v>
      </c>
      <c r="CV41" s="230">
        <v>57778875</v>
      </c>
      <c r="CW41" s="230">
        <v>1138500</v>
      </c>
      <c r="CX41" s="229">
        <v>1.9699999999999999E-2</v>
      </c>
      <c r="CY41" s="228">
        <v>44.67</v>
      </c>
      <c r="CZ41" s="228">
        <v>42.12</v>
      </c>
      <c r="DA41" s="228">
        <v>2.5499999999999998</v>
      </c>
      <c r="DB41" s="228">
        <v>2.5499999999999998</v>
      </c>
      <c r="DC41" s="228">
        <v>43.05</v>
      </c>
      <c r="DD41" s="228">
        <v>43.04</v>
      </c>
      <c r="DE41" s="228">
        <v>1.62</v>
      </c>
      <c r="DF41" s="228">
        <v>0.01</v>
      </c>
      <c r="DG41" s="228">
        <v>45.32</v>
      </c>
      <c r="DH41" s="228">
        <v>42.24</v>
      </c>
      <c r="DI41" s="228">
        <v>3.08</v>
      </c>
      <c r="DJ41" s="228">
        <v>3.08</v>
      </c>
      <c r="DK41" s="228">
        <v>43.07</v>
      </c>
      <c r="DL41" s="228">
        <v>41.83</v>
      </c>
      <c r="DM41" s="228">
        <v>1.24</v>
      </c>
      <c r="DN41" s="228">
        <v>1.24</v>
      </c>
      <c r="DO41" s="228">
        <v>0.57999999999999996</v>
      </c>
      <c r="DP41" s="228">
        <v>0.59</v>
      </c>
      <c r="DQ41" s="228">
        <v>-0.01</v>
      </c>
      <c r="DR41" s="229">
        <v>-1.6899999999999998E-2</v>
      </c>
      <c r="DS41" s="228">
        <v>700</v>
      </c>
      <c r="DT41" s="228">
        <v>650</v>
      </c>
      <c r="DU41" s="228">
        <v>0.41</v>
      </c>
      <c r="DV41" s="228">
        <v>0.42</v>
      </c>
      <c r="DW41" s="228">
        <v>-0.01</v>
      </c>
      <c r="DX41" s="229">
        <v>-2.3800000000000002E-2</v>
      </c>
      <c r="DY41" s="229">
        <v>8.7999999999999995E-2</v>
      </c>
      <c r="DZ41" s="230">
        <v>2714250</v>
      </c>
      <c r="EA41" s="229">
        <v>4.5999999999999999E-3</v>
      </c>
      <c r="EB41" s="229">
        <v>8.7999999999999995E-2</v>
      </c>
      <c r="EC41" s="228">
        <v>1.45</v>
      </c>
      <c r="ED41" s="229">
        <v>2.2000000000000001E-3</v>
      </c>
      <c r="EE41" s="230">
        <v>3122004</v>
      </c>
      <c r="EF41" s="230">
        <v>2462627</v>
      </c>
      <c r="EG41" s="229">
        <v>0.26779999999999998</v>
      </c>
      <c r="EH41" s="229">
        <v>0.6502</v>
      </c>
      <c r="EI41" s="231">
        <v>55023.06</v>
      </c>
      <c r="EJ41" s="231">
        <v>21223.69</v>
      </c>
      <c r="EK41" s="231">
        <v>46079.71</v>
      </c>
      <c r="EL41" s="228">
        <v>0</v>
      </c>
      <c r="EM41" s="231">
        <v>122326.46</v>
      </c>
      <c r="EN41" s="231">
        <v>176154.71</v>
      </c>
      <c r="EO41" s="231">
        <v>-53828.25</v>
      </c>
      <c r="EP41" s="229">
        <v>-0.30559999999999998</v>
      </c>
      <c r="EQ41" s="231">
        <v>83445</v>
      </c>
      <c r="ER41" s="231">
        <v>44815</v>
      </c>
      <c r="ES41" s="231">
        <v>257376</v>
      </c>
      <c r="ET41" s="231">
        <v>280560500</v>
      </c>
      <c r="EU41" s="231">
        <v>385635</v>
      </c>
      <c r="EV41" s="231">
        <v>384136</v>
      </c>
      <c r="EW41" s="231">
        <v>1499</v>
      </c>
      <c r="EX41" s="229">
        <v>3.8999999999999998E-3</v>
      </c>
      <c r="EY41" s="229">
        <v>0.21</v>
      </c>
    </row>
    <row r="42" spans="1:155" ht="17.25" thickBot="1" x14ac:dyDescent="0.3">
      <c r="A42" s="226">
        <v>45860</v>
      </c>
      <c r="B42" s="227" t="s">
        <v>170</v>
      </c>
      <c r="C42" s="227" t="s">
        <v>288</v>
      </c>
      <c r="D42" s="231">
        <v>1680.4</v>
      </c>
      <c r="E42" s="231">
        <v>1696.9</v>
      </c>
      <c r="F42" s="228">
        <v>-16.5</v>
      </c>
      <c r="G42" s="229">
        <v>-9.7000000000000003E-3</v>
      </c>
      <c r="H42" s="231">
        <v>1678</v>
      </c>
      <c r="I42" s="231">
        <v>1692.3</v>
      </c>
      <c r="J42" s="228">
        <v>-14.3</v>
      </c>
      <c r="K42" s="229">
        <v>-8.5000000000000006E-3</v>
      </c>
      <c r="L42" s="231">
        <v>1680.4</v>
      </c>
      <c r="M42" s="231">
        <v>1696.9</v>
      </c>
      <c r="N42" s="228">
        <v>-16.5</v>
      </c>
      <c r="O42" s="229">
        <v>-9.7000000000000003E-3</v>
      </c>
      <c r="P42" s="231">
        <v>1689.3</v>
      </c>
      <c r="Q42" s="231">
        <v>1704.9</v>
      </c>
      <c r="R42" s="228">
        <v>-15.6</v>
      </c>
      <c r="S42" s="229">
        <v>-9.1999999999999998E-3</v>
      </c>
      <c r="T42" s="228">
        <v>0</v>
      </c>
      <c r="U42" s="228">
        <v>0</v>
      </c>
      <c r="V42" s="228">
        <v>0</v>
      </c>
      <c r="W42" s="229">
        <v>0</v>
      </c>
      <c r="X42" s="228">
        <v>2.4</v>
      </c>
      <c r="Y42" s="228">
        <v>4.5999999999999996</v>
      </c>
      <c r="Z42" s="228">
        <v>-2.2000000000000002</v>
      </c>
      <c r="AA42" s="229">
        <v>1.4E-3</v>
      </c>
      <c r="AB42" s="228">
        <v>2.4</v>
      </c>
      <c r="AC42" s="228">
        <v>4.5999999999999996</v>
      </c>
      <c r="AD42" s="228">
        <v>-2.2000000000000002</v>
      </c>
      <c r="AE42" s="229">
        <v>1.4E-3</v>
      </c>
      <c r="AF42" s="228">
        <v>11.3</v>
      </c>
      <c r="AG42" s="228">
        <v>12.6</v>
      </c>
      <c r="AH42" s="228">
        <v>-1.3</v>
      </c>
      <c r="AI42" s="229">
        <v>6.7000000000000002E-3</v>
      </c>
      <c r="AJ42" s="228">
        <v>0</v>
      </c>
      <c r="AK42" s="228">
        <v>0</v>
      </c>
      <c r="AL42" s="228">
        <v>0</v>
      </c>
      <c r="AM42" s="229">
        <v>0</v>
      </c>
      <c r="AN42" s="231">
        <v>1681.37</v>
      </c>
      <c r="AO42" s="231">
        <v>1690.34</v>
      </c>
      <c r="AP42" s="228">
        <v>0</v>
      </c>
      <c r="AQ42" s="230">
        <v>3541</v>
      </c>
      <c r="AR42" s="230">
        <v>3770</v>
      </c>
      <c r="AS42" s="228">
        <v>-229</v>
      </c>
      <c r="AT42" s="229">
        <v>-6.0699999999999997E-2</v>
      </c>
      <c r="AU42" s="230">
        <v>3017</v>
      </c>
      <c r="AV42" s="230">
        <v>3059</v>
      </c>
      <c r="AW42" s="228">
        <v>-42</v>
      </c>
      <c r="AX42" s="229">
        <v>-1.37E-2</v>
      </c>
      <c r="AY42" s="228">
        <v>513</v>
      </c>
      <c r="AZ42" s="228">
        <v>695</v>
      </c>
      <c r="BA42" s="228">
        <v>-182</v>
      </c>
      <c r="BB42" s="229">
        <v>-0.26190000000000002</v>
      </c>
      <c r="BC42" s="228">
        <v>0</v>
      </c>
      <c r="BD42" s="228">
        <v>0</v>
      </c>
      <c r="BE42" s="228">
        <v>0</v>
      </c>
      <c r="BF42" s="229">
        <v>0</v>
      </c>
      <c r="BG42" s="230">
        <v>23452</v>
      </c>
      <c r="BH42" s="230">
        <v>19281</v>
      </c>
      <c r="BI42" s="230">
        <v>4171</v>
      </c>
      <c r="BJ42" s="229">
        <v>0.21629999999999999</v>
      </c>
      <c r="BK42" s="230">
        <v>8905</v>
      </c>
      <c r="BL42" s="230">
        <v>9111</v>
      </c>
      <c r="BM42" s="228">
        <v>-206</v>
      </c>
      <c r="BN42" s="229">
        <v>-2.2599999999999999E-2</v>
      </c>
      <c r="BO42" s="230">
        <v>35898</v>
      </c>
      <c r="BP42" s="230">
        <v>32162</v>
      </c>
      <c r="BQ42" s="230">
        <v>3736</v>
      </c>
      <c r="BR42" s="229">
        <v>0.1162</v>
      </c>
      <c r="BS42" s="230">
        <v>1261541</v>
      </c>
      <c r="BT42" s="230">
        <v>2407461</v>
      </c>
      <c r="BU42" s="230">
        <v>-1145920</v>
      </c>
      <c r="BV42" s="229">
        <v>-0.47599999999999998</v>
      </c>
      <c r="BW42" s="230">
        <v>19297250</v>
      </c>
      <c r="BX42" s="230">
        <v>19447750</v>
      </c>
      <c r="BY42" s="230">
        <v>-150500</v>
      </c>
      <c r="BZ42" s="229">
        <v>-7.7000000000000002E-3</v>
      </c>
      <c r="CA42" s="230">
        <v>17419150</v>
      </c>
      <c r="CB42" s="230">
        <v>17661000</v>
      </c>
      <c r="CC42" s="230">
        <v>-241850</v>
      </c>
      <c r="CD42" s="229">
        <v>-1.37E-2</v>
      </c>
      <c r="CE42" s="230">
        <v>1840300</v>
      </c>
      <c r="CF42" s="230">
        <v>1749650</v>
      </c>
      <c r="CG42" s="230">
        <v>90650</v>
      </c>
      <c r="CH42" s="229">
        <v>5.1799999999999999E-2</v>
      </c>
      <c r="CI42" s="228">
        <v>0</v>
      </c>
      <c r="CJ42" s="228">
        <v>0</v>
      </c>
      <c r="CK42" s="228">
        <v>0</v>
      </c>
      <c r="CL42" s="229">
        <v>0</v>
      </c>
      <c r="CM42" s="230">
        <v>9725450</v>
      </c>
      <c r="CN42" s="230">
        <v>9931600</v>
      </c>
      <c r="CO42" s="230">
        <v>-206150</v>
      </c>
      <c r="CP42" s="229">
        <v>-2.0799999999999999E-2</v>
      </c>
      <c r="CQ42" s="230">
        <v>3614450</v>
      </c>
      <c r="CR42" s="230">
        <v>3622500</v>
      </c>
      <c r="CS42" s="230">
        <v>-8050</v>
      </c>
      <c r="CT42" s="229">
        <v>-2.2000000000000001E-3</v>
      </c>
      <c r="CU42" s="230">
        <v>32637150</v>
      </c>
      <c r="CV42" s="230">
        <v>33001850</v>
      </c>
      <c r="CW42" s="230">
        <v>-364700</v>
      </c>
      <c r="CX42" s="229">
        <v>-1.11E-2</v>
      </c>
      <c r="CY42" s="228">
        <v>18.239999999999998</v>
      </c>
      <c r="CZ42" s="228">
        <v>18.23</v>
      </c>
      <c r="DA42" s="228">
        <v>0.01</v>
      </c>
      <c r="DB42" s="228">
        <v>0.01</v>
      </c>
      <c r="DC42" s="228">
        <v>24.3</v>
      </c>
      <c r="DD42" s="228">
        <v>24.33</v>
      </c>
      <c r="DE42" s="228">
        <v>-6.06</v>
      </c>
      <c r="DF42" s="228">
        <v>-0.03</v>
      </c>
      <c r="DG42" s="228">
        <v>18.14</v>
      </c>
      <c r="DH42" s="228">
        <v>18.09</v>
      </c>
      <c r="DI42" s="228">
        <v>0.05</v>
      </c>
      <c r="DJ42" s="228">
        <v>0.05</v>
      </c>
      <c r="DK42" s="228">
        <v>18.510000000000002</v>
      </c>
      <c r="DL42" s="228">
        <v>18.52</v>
      </c>
      <c r="DM42" s="228">
        <v>-0.01</v>
      </c>
      <c r="DN42" s="228">
        <v>-0.01</v>
      </c>
      <c r="DO42" s="228">
        <v>0.37</v>
      </c>
      <c r="DP42" s="228">
        <v>0.36</v>
      </c>
      <c r="DQ42" s="228">
        <v>0.01</v>
      </c>
      <c r="DR42" s="229">
        <v>2.7799999999999998E-2</v>
      </c>
      <c r="DS42" s="231">
        <v>1720</v>
      </c>
      <c r="DT42" s="231">
        <v>1600</v>
      </c>
      <c r="DU42" s="228">
        <v>0.38</v>
      </c>
      <c r="DV42" s="228">
        <v>0.47</v>
      </c>
      <c r="DW42" s="228">
        <v>-0.09</v>
      </c>
      <c r="DX42" s="229">
        <v>-0.1915</v>
      </c>
      <c r="DY42" s="229">
        <v>9.5399999999999999E-2</v>
      </c>
      <c r="DZ42" s="230">
        <v>1749650</v>
      </c>
      <c r="EA42" s="229">
        <v>5.3E-3</v>
      </c>
      <c r="EB42" s="229">
        <v>9.5399999999999999E-2</v>
      </c>
      <c r="EC42" s="228">
        <v>8.9700000000000006</v>
      </c>
      <c r="ED42" s="229">
        <v>5.3E-3</v>
      </c>
      <c r="EE42" s="230">
        <v>849923</v>
      </c>
      <c r="EF42" s="230">
        <v>1609738</v>
      </c>
      <c r="EG42" s="229">
        <v>-0.47199999999999998</v>
      </c>
      <c r="EH42" s="229">
        <v>0.67369999999999997</v>
      </c>
      <c r="EI42" s="231">
        <v>143901.54</v>
      </c>
      <c r="EJ42" s="231">
        <v>52201.83</v>
      </c>
      <c r="EK42" s="231">
        <v>20854.89</v>
      </c>
      <c r="EL42" s="228">
        <v>0</v>
      </c>
      <c r="EM42" s="231">
        <v>216958.26</v>
      </c>
      <c r="EN42" s="231">
        <v>194287.5</v>
      </c>
      <c r="EO42" s="231">
        <v>22670.76</v>
      </c>
      <c r="EP42" s="229">
        <v>0.1167</v>
      </c>
      <c r="EQ42" s="231">
        <v>168955</v>
      </c>
      <c r="ER42" s="231">
        <v>58624</v>
      </c>
      <c r="ES42" s="231">
        <v>324441</v>
      </c>
      <c r="ET42" s="231">
        <v>218440087</v>
      </c>
      <c r="EU42" s="231">
        <v>552020</v>
      </c>
      <c r="EV42" s="231">
        <v>561692</v>
      </c>
      <c r="EW42" s="231">
        <v>-9672</v>
      </c>
      <c r="EX42" s="229">
        <v>-1.72E-2</v>
      </c>
      <c r="EY42" s="229">
        <v>0.14940000000000001</v>
      </c>
    </row>
    <row r="43" spans="1:155" ht="17.25" thickBot="1" x14ac:dyDescent="0.3">
      <c r="A43" s="226">
        <v>45860</v>
      </c>
      <c r="B43" s="227" t="s">
        <v>168</v>
      </c>
      <c r="C43" s="227" t="s">
        <v>291</v>
      </c>
      <c r="D43" s="231">
        <v>1085.2</v>
      </c>
      <c r="E43" s="231">
        <v>1091.0999999999999</v>
      </c>
      <c r="F43" s="228">
        <v>-5.9</v>
      </c>
      <c r="G43" s="229">
        <v>-5.4000000000000003E-3</v>
      </c>
      <c r="H43" s="231">
        <v>1084.8</v>
      </c>
      <c r="I43" s="231">
        <v>1090.3</v>
      </c>
      <c r="J43" s="228">
        <v>-5.5</v>
      </c>
      <c r="K43" s="229">
        <v>-5.0000000000000001E-3</v>
      </c>
      <c r="L43" s="231">
        <v>1085.2</v>
      </c>
      <c r="M43" s="231">
        <v>1091.0999999999999</v>
      </c>
      <c r="N43" s="228">
        <v>-5.9</v>
      </c>
      <c r="O43" s="229">
        <v>-5.4000000000000003E-3</v>
      </c>
      <c r="P43" s="231">
        <v>1091.2</v>
      </c>
      <c r="Q43" s="231">
        <v>1096.8</v>
      </c>
      <c r="R43" s="228">
        <v>-5.6</v>
      </c>
      <c r="S43" s="229">
        <v>-5.1000000000000004E-3</v>
      </c>
      <c r="T43" s="228">
        <v>0</v>
      </c>
      <c r="U43" s="228">
        <v>0</v>
      </c>
      <c r="V43" s="228">
        <v>0</v>
      </c>
      <c r="W43" s="229">
        <v>0</v>
      </c>
      <c r="X43" s="228">
        <v>0.4</v>
      </c>
      <c r="Y43" s="228">
        <v>0.8</v>
      </c>
      <c r="Z43" s="228">
        <v>-0.4</v>
      </c>
      <c r="AA43" s="229">
        <v>4.0000000000000002E-4</v>
      </c>
      <c r="AB43" s="228">
        <v>0.4</v>
      </c>
      <c r="AC43" s="228">
        <v>0.8</v>
      </c>
      <c r="AD43" s="228">
        <v>-0.4</v>
      </c>
      <c r="AE43" s="229">
        <v>4.0000000000000002E-4</v>
      </c>
      <c r="AF43" s="228">
        <v>6.4</v>
      </c>
      <c r="AG43" s="228">
        <v>6.5</v>
      </c>
      <c r="AH43" s="228">
        <v>-0.1</v>
      </c>
      <c r="AI43" s="229">
        <v>5.8999999999999999E-3</v>
      </c>
      <c r="AJ43" s="228">
        <v>0</v>
      </c>
      <c r="AK43" s="228">
        <v>0</v>
      </c>
      <c r="AL43" s="228">
        <v>0</v>
      </c>
      <c r="AM43" s="229">
        <v>0</v>
      </c>
      <c r="AN43" s="231">
        <v>1083.57</v>
      </c>
      <c r="AO43" s="231">
        <v>1089.48</v>
      </c>
      <c r="AP43" s="228">
        <v>0</v>
      </c>
      <c r="AQ43" s="230">
        <v>2946</v>
      </c>
      <c r="AR43" s="230">
        <v>4013</v>
      </c>
      <c r="AS43" s="230">
        <v>-1067</v>
      </c>
      <c r="AT43" s="229">
        <v>-0.26590000000000003</v>
      </c>
      <c r="AU43" s="230">
        <v>2468</v>
      </c>
      <c r="AV43" s="230">
        <v>3740</v>
      </c>
      <c r="AW43" s="230">
        <v>-1272</v>
      </c>
      <c r="AX43" s="229">
        <v>-0.34010000000000001</v>
      </c>
      <c r="AY43" s="228">
        <v>469</v>
      </c>
      <c r="AZ43" s="228">
        <v>265</v>
      </c>
      <c r="BA43" s="228">
        <v>204</v>
      </c>
      <c r="BB43" s="229">
        <v>0.76980000000000004</v>
      </c>
      <c r="BC43" s="228">
        <v>0</v>
      </c>
      <c r="BD43" s="228">
        <v>0</v>
      </c>
      <c r="BE43" s="228">
        <v>0</v>
      </c>
      <c r="BF43" s="229">
        <v>0</v>
      </c>
      <c r="BG43" s="230">
        <v>5388</v>
      </c>
      <c r="BH43" s="230">
        <v>7453</v>
      </c>
      <c r="BI43" s="230">
        <v>-2065</v>
      </c>
      <c r="BJ43" s="229">
        <v>-0.27710000000000001</v>
      </c>
      <c r="BK43" s="230">
        <v>3833</v>
      </c>
      <c r="BL43" s="230">
        <v>6283</v>
      </c>
      <c r="BM43" s="230">
        <v>-2450</v>
      </c>
      <c r="BN43" s="229">
        <v>-0.38990000000000002</v>
      </c>
      <c r="BO43" s="230">
        <v>12167</v>
      </c>
      <c r="BP43" s="230">
        <v>17749</v>
      </c>
      <c r="BQ43" s="230">
        <v>-5582</v>
      </c>
      <c r="BR43" s="229">
        <v>-0.3145</v>
      </c>
      <c r="BS43" s="230">
        <v>984220</v>
      </c>
      <c r="BT43" s="230">
        <v>839483</v>
      </c>
      <c r="BU43" s="230">
        <v>144737</v>
      </c>
      <c r="BV43" s="229">
        <v>0.1724</v>
      </c>
      <c r="BW43" s="230">
        <v>15420900</v>
      </c>
      <c r="BX43" s="230">
        <v>15385150</v>
      </c>
      <c r="BY43" s="230">
        <v>35750</v>
      </c>
      <c r="BZ43" s="229">
        <v>2.3E-3</v>
      </c>
      <c r="CA43" s="230">
        <v>14523300</v>
      </c>
      <c r="CB43" s="230">
        <v>14672900</v>
      </c>
      <c r="CC43" s="230">
        <v>-149600</v>
      </c>
      <c r="CD43" s="229">
        <v>-1.0200000000000001E-2</v>
      </c>
      <c r="CE43" s="230">
        <v>850850</v>
      </c>
      <c r="CF43" s="230">
        <v>667150</v>
      </c>
      <c r="CG43" s="230">
        <v>183700</v>
      </c>
      <c r="CH43" s="229">
        <v>0.27539999999999998</v>
      </c>
      <c r="CI43" s="228">
        <v>0</v>
      </c>
      <c r="CJ43" s="228">
        <v>0</v>
      </c>
      <c r="CK43" s="228">
        <v>0</v>
      </c>
      <c r="CL43" s="229">
        <v>0</v>
      </c>
      <c r="CM43" s="230">
        <v>5574250</v>
      </c>
      <c r="CN43" s="230">
        <v>5537950</v>
      </c>
      <c r="CO43" s="230">
        <v>36300</v>
      </c>
      <c r="CP43" s="229">
        <v>6.6E-3</v>
      </c>
      <c r="CQ43" s="230">
        <v>3764750</v>
      </c>
      <c r="CR43" s="230">
        <v>3595350</v>
      </c>
      <c r="CS43" s="230">
        <v>169400</v>
      </c>
      <c r="CT43" s="229">
        <v>4.7100000000000003E-2</v>
      </c>
      <c r="CU43" s="230">
        <v>24759900</v>
      </c>
      <c r="CV43" s="230">
        <v>24518450</v>
      </c>
      <c r="CW43" s="230">
        <v>241450</v>
      </c>
      <c r="CX43" s="229">
        <v>9.7999999999999997E-3</v>
      </c>
      <c r="CY43" s="228">
        <v>30.68</v>
      </c>
      <c r="CZ43" s="228">
        <v>28.77</v>
      </c>
      <c r="DA43" s="228">
        <v>1.91</v>
      </c>
      <c r="DB43" s="228">
        <v>1.91</v>
      </c>
      <c r="DC43" s="228">
        <v>28.18</v>
      </c>
      <c r="DD43" s="228">
        <v>28.24</v>
      </c>
      <c r="DE43" s="228">
        <v>2.5</v>
      </c>
      <c r="DF43" s="228">
        <v>-0.06</v>
      </c>
      <c r="DG43" s="228">
        <v>30.92</v>
      </c>
      <c r="DH43" s="228">
        <v>29.05</v>
      </c>
      <c r="DI43" s="228">
        <v>1.87</v>
      </c>
      <c r="DJ43" s="228">
        <v>1.87</v>
      </c>
      <c r="DK43" s="228">
        <v>30.33</v>
      </c>
      <c r="DL43" s="228">
        <v>28.45</v>
      </c>
      <c r="DM43" s="228">
        <v>1.88</v>
      </c>
      <c r="DN43" s="228">
        <v>1.88</v>
      </c>
      <c r="DO43" s="228">
        <v>0.68</v>
      </c>
      <c r="DP43" s="228">
        <v>0.65</v>
      </c>
      <c r="DQ43" s="228">
        <v>0.03</v>
      </c>
      <c r="DR43" s="229">
        <v>4.6199999999999998E-2</v>
      </c>
      <c r="DS43" s="231">
        <v>1230</v>
      </c>
      <c r="DT43" s="228">
        <v>980</v>
      </c>
      <c r="DU43" s="228">
        <v>0.71</v>
      </c>
      <c r="DV43" s="228">
        <v>0.84</v>
      </c>
      <c r="DW43" s="228">
        <v>-0.13</v>
      </c>
      <c r="DX43" s="229">
        <v>-0.15479999999999999</v>
      </c>
      <c r="DY43" s="229">
        <v>5.5199999999999999E-2</v>
      </c>
      <c r="DZ43" s="230">
        <v>667150</v>
      </c>
      <c r="EA43" s="229">
        <v>5.4999999999999997E-3</v>
      </c>
      <c r="EB43" s="229">
        <v>5.5199999999999999E-2</v>
      </c>
      <c r="EC43" s="228">
        <v>5.91</v>
      </c>
      <c r="ED43" s="229">
        <v>5.4999999999999997E-3</v>
      </c>
      <c r="EE43" s="230">
        <v>661307</v>
      </c>
      <c r="EF43" s="230">
        <v>524736</v>
      </c>
      <c r="EG43" s="229">
        <v>0.26029999999999998</v>
      </c>
      <c r="EH43" s="229">
        <v>0.67190000000000005</v>
      </c>
      <c r="EI43" s="231">
        <v>33583.82</v>
      </c>
      <c r="EJ43" s="231">
        <v>22591.07</v>
      </c>
      <c r="EK43" s="231">
        <v>17572.88</v>
      </c>
      <c r="EL43" s="228">
        <v>0</v>
      </c>
      <c r="EM43" s="231">
        <v>73747.77</v>
      </c>
      <c r="EN43" s="231">
        <v>107851.63</v>
      </c>
      <c r="EO43" s="231">
        <v>-34103.86</v>
      </c>
      <c r="EP43" s="229">
        <v>-0.31619999999999998</v>
      </c>
      <c r="EQ43" s="231">
        <v>64720</v>
      </c>
      <c r="ER43" s="231">
        <v>39148</v>
      </c>
      <c r="ES43" s="231">
        <v>167404</v>
      </c>
      <c r="ET43" s="231">
        <v>130936945</v>
      </c>
      <c r="EU43" s="231">
        <v>271272</v>
      </c>
      <c r="EV43" s="231">
        <v>269651</v>
      </c>
      <c r="EW43" s="231">
        <v>1621</v>
      </c>
      <c r="EX43" s="229">
        <v>6.0000000000000001E-3</v>
      </c>
      <c r="EY43" s="229">
        <v>0.18909999999999999</v>
      </c>
    </row>
    <row r="44" spans="1:155" ht="17.25" thickBot="1" x14ac:dyDescent="0.3">
      <c r="A44" s="226">
        <v>45860</v>
      </c>
      <c r="B44" s="227" t="s">
        <v>162</v>
      </c>
      <c r="C44" s="227" t="s">
        <v>292</v>
      </c>
      <c r="D44" s="228">
        <v>674.75</v>
      </c>
      <c r="E44" s="228">
        <v>688.4</v>
      </c>
      <c r="F44" s="228">
        <v>-13.65</v>
      </c>
      <c r="G44" s="229">
        <v>-1.9800000000000002E-2</v>
      </c>
      <c r="H44" s="228">
        <v>673.4</v>
      </c>
      <c r="I44" s="228">
        <v>687.45</v>
      </c>
      <c r="J44" s="228">
        <v>-14.05</v>
      </c>
      <c r="K44" s="229">
        <v>-2.0400000000000001E-2</v>
      </c>
      <c r="L44" s="228">
        <v>674.75</v>
      </c>
      <c r="M44" s="228">
        <v>688.4</v>
      </c>
      <c r="N44" s="228">
        <v>-13.65</v>
      </c>
      <c r="O44" s="229">
        <v>-1.9800000000000002E-2</v>
      </c>
      <c r="P44" s="228">
        <v>678.05</v>
      </c>
      <c r="Q44" s="228">
        <v>691.9</v>
      </c>
      <c r="R44" s="228">
        <v>-13.85</v>
      </c>
      <c r="S44" s="229">
        <v>-0.02</v>
      </c>
      <c r="T44" s="228">
        <v>0</v>
      </c>
      <c r="U44" s="228">
        <v>0</v>
      </c>
      <c r="V44" s="228">
        <v>0</v>
      </c>
      <c r="W44" s="229">
        <v>0</v>
      </c>
      <c r="X44" s="228">
        <v>1.35</v>
      </c>
      <c r="Y44" s="228">
        <v>0.95</v>
      </c>
      <c r="Z44" s="228">
        <v>0.4</v>
      </c>
      <c r="AA44" s="229">
        <v>2E-3</v>
      </c>
      <c r="AB44" s="228">
        <v>1.35</v>
      </c>
      <c r="AC44" s="228">
        <v>0.95</v>
      </c>
      <c r="AD44" s="228">
        <v>0.4</v>
      </c>
      <c r="AE44" s="229">
        <v>2E-3</v>
      </c>
      <c r="AF44" s="228">
        <v>4.6500000000000004</v>
      </c>
      <c r="AG44" s="228">
        <v>4.45</v>
      </c>
      <c r="AH44" s="228">
        <v>0.2</v>
      </c>
      <c r="AI44" s="229">
        <v>6.8999999999999999E-3</v>
      </c>
      <c r="AJ44" s="228">
        <v>0</v>
      </c>
      <c r="AK44" s="228">
        <v>0</v>
      </c>
      <c r="AL44" s="228">
        <v>0</v>
      </c>
      <c r="AM44" s="229">
        <v>0</v>
      </c>
      <c r="AN44" s="228">
        <v>678.42</v>
      </c>
      <c r="AO44" s="228">
        <v>681.91</v>
      </c>
      <c r="AP44" s="228">
        <v>0</v>
      </c>
      <c r="AQ44" s="230">
        <v>16331</v>
      </c>
      <c r="AR44" s="230">
        <v>16775</v>
      </c>
      <c r="AS44" s="228">
        <v>-444</v>
      </c>
      <c r="AT44" s="229">
        <v>-2.6499999999999999E-2</v>
      </c>
      <c r="AU44" s="230">
        <v>12159</v>
      </c>
      <c r="AV44" s="230">
        <v>14063</v>
      </c>
      <c r="AW44" s="230">
        <v>-1904</v>
      </c>
      <c r="AX44" s="229">
        <v>-0.13539999999999999</v>
      </c>
      <c r="AY44" s="230">
        <v>3732</v>
      </c>
      <c r="AZ44" s="230">
        <v>2319</v>
      </c>
      <c r="BA44" s="230">
        <v>1413</v>
      </c>
      <c r="BB44" s="229">
        <v>0.60929999999999995</v>
      </c>
      <c r="BC44" s="228">
        <v>0</v>
      </c>
      <c r="BD44" s="228">
        <v>0</v>
      </c>
      <c r="BE44" s="228">
        <v>0</v>
      </c>
      <c r="BF44" s="229">
        <v>0</v>
      </c>
      <c r="BG44" s="230">
        <v>60188</v>
      </c>
      <c r="BH44" s="230">
        <v>87313</v>
      </c>
      <c r="BI44" s="230">
        <v>-27125</v>
      </c>
      <c r="BJ44" s="229">
        <v>-0.31069999999999998</v>
      </c>
      <c r="BK44" s="230">
        <v>32127</v>
      </c>
      <c r="BL44" s="230">
        <v>48890</v>
      </c>
      <c r="BM44" s="230">
        <v>-16763</v>
      </c>
      <c r="BN44" s="229">
        <v>-0.34289999999999998</v>
      </c>
      <c r="BO44" s="230">
        <v>108646</v>
      </c>
      <c r="BP44" s="230">
        <v>152978</v>
      </c>
      <c r="BQ44" s="230">
        <v>-44332</v>
      </c>
      <c r="BR44" s="229">
        <v>-0.2898</v>
      </c>
      <c r="BS44" s="230">
        <v>8138472</v>
      </c>
      <c r="BT44" s="230">
        <v>7084041</v>
      </c>
      <c r="BU44" s="230">
        <v>1054431</v>
      </c>
      <c r="BV44" s="229">
        <v>0.14879999999999999</v>
      </c>
      <c r="BW44" s="230">
        <v>80456800</v>
      </c>
      <c r="BX44" s="230">
        <v>78652800</v>
      </c>
      <c r="BY44" s="230">
        <v>1804000</v>
      </c>
      <c r="BZ44" s="229">
        <v>2.29E-2</v>
      </c>
      <c r="CA44" s="230">
        <v>67232800</v>
      </c>
      <c r="CB44" s="230">
        <v>67736800</v>
      </c>
      <c r="CC44" s="230">
        <v>-504000</v>
      </c>
      <c r="CD44" s="229">
        <v>-7.4000000000000003E-3</v>
      </c>
      <c r="CE44" s="230">
        <v>11396800</v>
      </c>
      <c r="CF44" s="230">
        <v>9261600</v>
      </c>
      <c r="CG44" s="230">
        <v>2135200</v>
      </c>
      <c r="CH44" s="229">
        <v>0.23050000000000001</v>
      </c>
      <c r="CI44" s="228">
        <v>0</v>
      </c>
      <c r="CJ44" s="228">
        <v>0</v>
      </c>
      <c r="CK44" s="228">
        <v>0</v>
      </c>
      <c r="CL44" s="229">
        <v>0</v>
      </c>
      <c r="CM44" s="230">
        <v>48833600</v>
      </c>
      <c r="CN44" s="230">
        <v>46570400</v>
      </c>
      <c r="CO44" s="230">
        <v>2263200</v>
      </c>
      <c r="CP44" s="229">
        <v>4.8599999999999997E-2</v>
      </c>
      <c r="CQ44" s="230">
        <v>29804000</v>
      </c>
      <c r="CR44" s="230">
        <v>29654400</v>
      </c>
      <c r="CS44" s="230">
        <v>149600</v>
      </c>
      <c r="CT44" s="229">
        <v>5.0000000000000001E-3</v>
      </c>
      <c r="CU44" s="230">
        <v>159094400</v>
      </c>
      <c r="CV44" s="230">
        <v>154877600</v>
      </c>
      <c r="CW44" s="230">
        <v>4216800</v>
      </c>
      <c r="CX44" s="229">
        <v>2.7199999999999998E-2</v>
      </c>
      <c r="CY44" s="228">
        <v>27.76</v>
      </c>
      <c r="CZ44" s="228">
        <v>27.43</v>
      </c>
      <c r="DA44" s="228">
        <v>0.33</v>
      </c>
      <c r="DB44" s="228">
        <v>0.33</v>
      </c>
      <c r="DC44" s="228">
        <v>36.369999999999997</v>
      </c>
      <c r="DD44" s="228">
        <v>36.36</v>
      </c>
      <c r="DE44" s="228">
        <v>-8.61</v>
      </c>
      <c r="DF44" s="228">
        <v>0.01</v>
      </c>
      <c r="DG44" s="228">
        <v>28.37</v>
      </c>
      <c r="DH44" s="228">
        <v>27.33</v>
      </c>
      <c r="DI44" s="228">
        <v>1.04</v>
      </c>
      <c r="DJ44" s="228">
        <v>1.04</v>
      </c>
      <c r="DK44" s="228">
        <v>26.63</v>
      </c>
      <c r="DL44" s="228">
        <v>27.61</v>
      </c>
      <c r="DM44" s="228">
        <v>-0.98</v>
      </c>
      <c r="DN44" s="228">
        <v>-0.98</v>
      </c>
      <c r="DO44" s="228">
        <v>0.61</v>
      </c>
      <c r="DP44" s="228">
        <v>0.64</v>
      </c>
      <c r="DQ44" s="228">
        <v>-0.03</v>
      </c>
      <c r="DR44" s="229">
        <v>-4.6899999999999997E-2</v>
      </c>
      <c r="DS44" s="228">
        <v>700</v>
      </c>
      <c r="DT44" s="228">
        <v>680</v>
      </c>
      <c r="DU44" s="228">
        <v>0.53</v>
      </c>
      <c r="DV44" s="228">
        <v>0.56000000000000005</v>
      </c>
      <c r="DW44" s="228">
        <v>-0.03</v>
      </c>
      <c r="DX44" s="229">
        <v>-5.3600000000000002E-2</v>
      </c>
      <c r="DY44" s="229">
        <v>0.14169999999999999</v>
      </c>
      <c r="DZ44" s="230">
        <v>9261600</v>
      </c>
      <c r="EA44" s="229">
        <v>4.8999999999999998E-3</v>
      </c>
      <c r="EB44" s="229">
        <v>0.14169999999999999</v>
      </c>
      <c r="EC44" s="228">
        <v>3.49</v>
      </c>
      <c r="ED44" s="229">
        <v>5.1000000000000004E-3</v>
      </c>
      <c r="EE44" s="230">
        <v>4164635</v>
      </c>
      <c r="EF44" s="230">
        <v>2242117</v>
      </c>
      <c r="EG44" s="229">
        <v>0.85750000000000004</v>
      </c>
      <c r="EH44" s="229">
        <v>0.51170000000000004</v>
      </c>
      <c r="EI44" s="231">
        <v>343125.98</v>
      </c>
      <c r="EJ44" s="231">
        <v>174366.02</v>
      </c>
      <c r="EK44" s="231">
        <v>88760.53</v>
      </c>
      <c r="EL44" s="228">
        <v>0</v>
      </c>
      <c r="EM44" s="231">
        <v>606252.53</v>
      </c>
      <c r="EN44" s="231">
        <v>857849.62</v>
      </c>
      <c r="EO44" s="231">
        <v>-251597.09</v>
      </c>
      <c r="EP44" s="229">
        <v>-0.29330000000000001</v>
      </c>
      <c r="EQ44" s="231">
        <v>352414</v>
      </c>
      <c r="ER44" s="231">
        <v>202781</v>
      </c>
      <c r="ES44" s="231">
        <v>543388</v>
      </c>
      <c r="ET44" s="231">
        <v>422796029</v>
      </c>
      <c r="EU44" s="231">
        <v>1098584</v>
      </c>
      <c r="EV44" s="231">
        <v>1081709</v>
      </c>
      <c r="EW44" s="231">
        <v>16875</v>
      </c>
      <c r="EX44" s="229">
        <v>1.5599999999999999E-2</v>
      </c>
      <c r="EY44" s="229">
        <v>0.37630000000000002</v>
      </c>
    </row>
    <row r="45" spans="1:155" ht="17.25" thickBot="1" x14ac:dyDescent="0.3">
      <c r="A45" s="226">
        <v>45860</v>
      </c>
      <c r="B45" s="227" t="s">
        <v>227</v>
      </c>
      <c r="C45" s="227" t="s">
        <v>294</v>
      </c>
      <c r="D45" s="228">
        <v>163.5</v>
      </c>
      <c r="E45" s="228">
        <v>163.53</v>
      </c>
      <c r="F45" s="228">
        <v>-0.03</v>
      </c>
      <c r="G45" s="229">
        <v>-2.0000000000000001E-4</v>
      </c>
      <c r="H45" s="228">
        <v>163.04</v>
      </c>
      <c r="I45" s="228">
        <v>163.02000000000001</v>
      </c>
      <c r="J45" s="228">
        <v>0.02</v>
      </c>
      <c r="K45" s="229">
        <v>1E-4</v>
      </c>
      <c r="L45" s="228">
        <v>163.5</v>
      </c>
      <c r="M45" s="228">
        <v>163.53</v>
      </c>
      <c r="N45" s="228">
        <v>-0.03</v>
      </c>
      <c r="O45" s="229">
        <v>-2.0000000000000001E-4</v>
      </c>
      <c r="P45" s="228">
        <v>164.31</v>
      </c>
      <c r="Q45" s="228">
        <v>164.31</v>
      </c>
      <c r="R45" s="228">
        <v>0</v>
      </c>
      <c r="S45" s="229">
        <v>0</v>
      </c>
      <c r="T45" s="228">
        <v>0</v>
      </c>
      <c r="U45" s="228">
        <v>0</v>
      </c>
      <c r="V45" s="228">
        <v>0</v>
      </c>
      <c r="W45" s="229">
        <v>0</v>
      </c>
      <c r="X45" s="228">
        <v>0.46</v>
      </c>
      <c r="Y45" s="228">
        <v>0.51</v>
      </c>
      <c r="Z45" s="228">
        <v>-0.05</v>
      </c>
      <c r="AA45" s="229">
        <v>2.8E-3</v>
      </c>
      <c r="AB45" s="228">
        <v>0.46</v>
      </c>
      <c r="AC45" s="228">
        <v>0.51</v>
      </c>
      <c r="AD45" s="228">
        <v>-0.05</v>
      </c>
      <c r="AE45" s="229">
        <v>2.8E-3</v>
      </c>
      <c r="AF45" s="228">
        <v>1.27</v>
      </c>
      <c r="AG45" s="228">
        <v>1.29</v>
      </c>
      <c r="AH45" s="228">
        <v>-0.02</v>
      </c>
      <c r="AI45" s="229">
        <v>7.7999999999999996E-3</v>
      </c>
      <c r="AJ45" s="228">
        <v>0</v>
      </c>
      <c r="AK45" s="228">
        <v>0</v>
      </c>
      <c r="AL45" s="228">
        <v>0</v>
      </c>
      <c r="AM45" s="229">
        <v>0</v>
      </c>
      <c r="AN45" s="228">
        <v>164.06</v>
      </c>
      <c r="AO45" s="228">
        <v>164.83</v>
      </c>
      <c r="AP45" s="228">
        <v>0</v>
      </c>
      <c r="AQ45" s="230">
        <v>4128</v>
      </c>
      <c r="AR45" s="230">
        <v>9936</v>
      </c>
      <c r="AS45" s="230">
        <v>-5808</v>
      </c>
      <c r="AT45" s="229">
        <v>-0.58450000000000002</v>
      </c>
      <c r="AU45" s="230">
        <v>3451</v>
      </c>
      <c r="AV45" s="230">
        <v>8166</v>
      </c>
      <c r="AW45" s="230">
        <v>-4715</v>
      </c>
      <c r="AX45" s="229">
        <v>-0.57740000000000002</v>
      </c>
      <c r="AY45" s="228">
        <v>613</v>
      </c>
      <c r="AZ45" s="230">
        <v>1604</v>
      </c>
      <c r="BA45" s="228">
        <v>-991</v>
      </c>
      <c r="BB45" s="229">
        <v>-0.61780000000000002</v>
      </c>
      <c r="BC45" s="228">
        <v>0</v>
      </c>
      <c r="BD45" s="228">
        <v>0</v>
      </c>
      <c r="BE45" s="228">
        <v>0</v>
      </c>
      <c r="BF45" s="229">
        <v>0</v>
      </c>
      <c r="BG45" s="230">
        <v>20527</v>
      </c>
      <c r="BH45" s="230">
        <v>49548</v>
      </c>
      <c r="BI45" s="230">
        <v>-29021</v>
      </c>
      <c r="BJ45" s="229">
        <v>-0.5857</v>
      </c>
      <c r="BK45" s="230">
        <v>12969</v>
      </c>
      <c r="BL45" s="230">
        <v>28699</v>
      </c>
      <c r="BM45" s="230">
        <v>-15730</v>
      </c>
      <c r="BN45" s="229">
        <v>-0.54810000000000003</v>
      </c>
      <c r="BO45" s="230">
        <v>37624</v>
      </c>
      <c r="BP45" s="230">
        <v>88183</v>
      </c>
      <c r="BQ45" s="230">
        <v>-50559</v>
      </c>
      <c r="BR45" s="229">
        <v>-0.57330000000000003</v>
      </c>
      <c r="BS45" s="230">
        <v>14653621</v>
      </c>
      <c r="BT45" s="230">
        <v>32631542</v>
      </c>
      <c r="BU45" s="230">
        <v>-17977921</v>
      </c>
      <c r="BV45" s="229">
        <v>-0.55089999999999995</v>
      </c>
      <c r="BW45" s="230">
        <v>196108000</v>
      </c>
      <c r="BX45" s="230">
        <v>194826500</v>
      </c>
      <c r="BY45" s="230">
        <v>1281500</v>
      </c>
      <c r="BZ45" s="229">
        <v>6.6E-3</v>
      </c>
      <c r="CA45" s="230">
        <v>172271000</v>
      </c>
      <c r="CB45" s="230">
        <v>172012500</v>
      </c>
      <c r="CC45" s="230">
        <v>258500</v>
      </c>
      <c r="CD45" s="229">
        <v>1.5E-3</v>
      </c>
      <c r="CE45" s="230">
        <v>19805500</v>
      </c>
      <c r="CF45" s="230">
        <v>18821000</v>
      </c>
      <c r="CG45" s="230">
        <v>984500</v>
      </c>
      <c r="CH45" s="229">
        <v>5.2299999999999999E-2</v>
      </c>
      <c r="CI45" s="228">
        <v>0</v>
      </c>
      <c r="CJ45" s="228">
        <v>0</v>
      </c>
      <c r="CK45" s="228">
        <v>0</v>
      </c>
      <c r="CL45" s="229">
        <v>0</v>
      </c>
      <c r="CM45" s="230">
        <v>133496000</v>
      </c>
      <c r="CN45" s="230">
        <v>138407500</v>
      </c>
      <c r="CO45" s="230">
        <v>-4911500</v>
      </c>
      <c r="CP45" s="229">
        <v>-3.5499999999999997E-2</v>
      </c>
      <c r="CQ45" s="230">
        <v>99830500</v>
      </c>
      <c r="CR45" s="230">
        <v>99792000</v>
      </c>
      <c r="CS45" s="230">
        <v>38500</v>
      </c>
      <c r="CT45" s="229">
        <v>4.0000000000000002E-4</v>
      </c>
      <c r="CU45" s="230">
        <v>429434500</v>
      </c>
      <c r="CV45" s="230">
        <v>433026000</v>
      </c>
      <c r="CW45" s="230">
        <v>-3591500</v>
      </c>
      <c r="CX45" s="229">
        <v>-8.3000000000000001E-3</v>
      </c>
      <c r="CY45" s="228">
        <v>26.25</v>
      </c>
      <c r="CZ45" s="228">
        <v>26.86</v>
      </c>
      <c r="DA45" s="228">
        <v>-0.61</v>
      </c>
      <c r="DB45" s="228">
        <v>-0.61</v>
      </c>
      <c r="DC45" s="228">
        <v>35.340000000000003</v>
      </c>
      <c r="DD45" s="228">
        <v>35.43</v>
      </c>
      <c r="DE45" s="228">
        <v>-9.09</v>
      </c>
      <c r="DF45" s="228">
        <v>-0.09</v>
      </c>
      <c r="DG45" s="228">
        <v>26.11</v>
      </c>
      <c r="DH45" s="228">
        <v>27.12</v>
      </c>
      <c r="DI45" s="228">
        <v>-1.01</v>
      </c>
      <c r="DJ45" s="228">
        <v>-1.01</v>
      </c>
      <c r="DK45" s="228">
        <v>26.48</v>
      </c>
      <c r="DL45" s="228">
        <v>26.42</v>
      </c>
      <c r="DM45" s="228">
        <v>0.06</v>
      </c>
      <c r="DN45" s="228">
        <v>0.06</v>
      </c>
      <c r="DO45" s="228">
        <v>0.75</v>
      </c>
      <c r="DP45" s="228">
        <v>0.72</v>
      </c>
      <c r="DQ45" s="228">
        <v>0.03</v>
      </c>
      <c r="DR45" s="229">
        <v>4.1700000000000001E-2</v>
      </c>
      <c r="DS45" s="228">
        <v>170</v>
      </c>
      <c r="DT45" s="228">
        <v>160</v>
      </c>
      <c r="DU45" s="228">
        <v>0.63</v>
      </c>
      <c r="DV45" s="228">
        <v>0.57999999999999996</v>
      </c>
      <c r="DW45" s="228">
        <v>0.05</v>
      </c>
      <c r="DX45" s="229">
        <v>8.6199999999999999E-2</v>
      </c>
      <c r="DY45" s="229">
        <v>0.10100000000000001</v>
      </c>
      <c r="DZ45" s="230">
        <v>18821000</v>
      </c>
      <c r="EA45" s="229">
        <v>5.0000000000000001E-3</v>
      </c>
      <c r="EB45" s="229">
        <v>0.10100000000000001</v>
      </c>
      <c r="EC45" s="228">
        <v>0.77</v>
      </c>
      <c r="ED45" s="229">
        <v>4.7000000000000002E-3</v>
      </c>
      <c r="EE45" s="230">
        <v>7431577</v>
      </c>
      <c r="EF45" s="230">
        <v>14354002</v>
      </c>
      <c r="EG45" s="229">
        <v>-0.48230000000000001</v>
      </c>
      <c r="EH45" s="229">
        <v>0.5071</v>
      </c>
      <c r="EI45" s="231">
        <v>191716.94</v>
      </c>
      <c r="EJ45" s="231">
        <v>114014.79</v>
      </c>
      <c r="EK45" s="231">
        <v>37279.15</v>
      </c>
      <c r="EL45" s="228">
        <v>0</v>
      </c>
      <c r="EM45" s="231">
        <v>343010.88</v>
      </c>
      <c r="EN45" s="231">
        <v>808987.99</v>
      </c>
      <c r="EO45" s="231">
        <v>-465977.11</v>
      </c>
      <c r="EP45" s="229">
        <v>-0.57599999999999996</v>
      </c>
      <c r="EQ45" s="231">
        <v>224560</v>
      </c>
      <c r="ER45" s="231">
        <v>153140</v>
      </c>
      <c r="ES45" s="231">
        <v>320866</v>
      </c>
      <c r="ET45" s="231">
        <v>1667987352</v>
      </c>
      <c r="EU45" s="231">
        <v>698565</v>
      </c>
      <c r="EV45" s="231">
        <v>704395</v>
      </c>
      <c r="EW45" s="231">
        <v>-5830</v>
      </c>
      <c r="EX45" s="229">
        <v>-8.3000000000000001E-3</v>
      </c>
      <c r="EY45" s="229">
        <v>0.25750000000000001</v>
      </c>
    </row>
    <row r="46" spans="1:155" ht="17.25" thickBot="1" x14ac:dyDescent="0.3">
      <c r="A46" s="226">
        <v>45860</v>
      </c>
      <c r="B46" s="227" t="s">
        <v>221</v>
      </c>
      <c r="C46" s="227" t="s">
        <v>295</v>
      </c>
      <c r="D46" s="231">
        <v>3166.8</v>
      </c>
      <c r="E46" s="231">
        <v>3168.9</v>
      </c>
      <c r="F46" s="228">
        <v>-2.1</v>
      </c>
      <c r="G46" s="229">
        <v>-6.9999999999999999E-4</v>
      </c>
      <c r="H46" s="231">
        <v>3159.6</v>
      </c>
      <c r="I46" s="231">
        <v>3158.2</v>
      </c>
      <c r="J46" s="228">
        <v>1.4</v>
      </c>
      <c r="K46" s="229">
        <v>4.0000000000000002E-4</v>
      </c>
      <c r="L46" s="231">
        <v>3166.8</v>
      </c>
      <c r="M46" s="231">
        <v>3168.9</v>
      </c>
      <c r="N46" s="228">
        <v>-2.1</v>
      </c>
      <c r="O46" s="229">
        <v>-6.9999999999999999E-4</v>
      </c>
      <c r="P46" s="231">
        <v>3183.2</v>
      </c>
      <c r="Q46" s="231">
        <v>3184.1</v>
      </c>
      <c r="R46" s="228">
        <v>-0.9</v>
      </c>
      <c r="S46" s="229">
        <v>-2.9999999999999997E-4</v>
      </c>
      <c r="T46" s="228">
        <v>0</v>
      </c>
      <c r="U46" s="228">
        <v>0</v>
      </c>
      <c r="V46" s="228">
        <v>0</v>
      </c>
      <c r="W46" s="229">
        <v>0</v>
      </c>
      <c r="X46" s="228">
        <v>7.2</v>
      </c>
      <c r="Y46" s="228">
        <v>10.7</v>
      </c>
      <c r="Z46" s="228">
        <v>-3.5</v>
      </c>
      <c r="AA46" s="229">
        <v>2.3E-3</v>
      </c>
      <c r="AB46" s="228">
        <v>7.2</v>
      </c>
      <c r="AC46" s="228">
        <v>10.7</v>
      </c>
      <c r="AD46" s="228">
        <v>-3.5</v>
      </c>
      <c r="AE46" s="229">
        <v>2.3E-3</v>
      </c>
      <c r="AF46" s="228">
        <v>23.6</v>
      </c>
      <c r="AG46" s="228">
        <v>25.9</v>
      </c>
      <c r="AH46" s="228">
        <v>-2.2999999999999998</v>
      </c>
      <c r="AI46" s="229">
        <v>7.4999999999999997E-3</v>
      </c>
      <c r="AJ46" s="228">
        <v>0</v>
      </c>
      <c r="AK46" s="228">
        <v>0</v>
      </c>
      <c r="AL46" s="228">
        <v>0</v>
      </c>
      <c r="AM46" s="229">
        <v>0</v>
      </c>
      <c r="AN46" s="231">
        <v>3173.61</v>
      </c>
      <c r="AO46" s="231">
        <v>3190.04</v>
      </c>
      <c r="AP46" s="228">
        <v>0</v>
      </c>
      <c r="AQ46" s="230">
        <v>15948</v>
      </c>
      <c r="AR46" s="230">
        <v>19605</v>
      </c>
      <c r="AS46" s="230">
        <v>-3657</v>
      </c>
      <c r="AT46" s="229">
        <v>-0.1865</v>
      </c>
      <c r="AU46" s="230">
        <v>10683</v>
      </c>
      <c r="AV46" s="230">
        <v>12387</v>
      </c>
      <c r="AW46" s="230">
        <v>-1704</v>
      </c>
      <c r="AX46" s="229">
        <v>-0.1376</v>
      </c>
      <c r="AY46" s="230">
        <v>4259</v>
      </c>
      <c r="AZ46" s="230">
        <v>6529</v>
      </c>
      <c r="BA46" s="230">
        <v>-2270</v>
      </c>
      <c r="BB46" s="229">
        <v>-0.34770000000000001</v>
      </c>
      <c r="BC46" s="228">
        <v>0</v>
      </c>
      <c r="BD46" s="228">
        <v>0</v>
      </c>
      <c r="BE46" s="228">
        <v>0</v>
      </c>
      <c r="BF46" s="229">
        <v>0</v>
      </c>
      <c r="BG46" s="230">
        <v>127368</v>
      </c>
      <c r="BH46" s="230">
        <v>161095</v>
      </c>
      <c r="BI46" s="230">
        <v>-33727</v>
      </c>
      <c r="BJ46" s="229">
        <v>-0.2094</v>
      </c>
      <c r="BK46" s="230">
        <v>46215</v>
      </c>
      <c r="BL46" s="230">
        <v>67663</v>
      </c>
      <c r="BM46" s="230">
        <v>-21448</v>
      </c>
      <c r="BN46" s="229">
        <v>-0.317</v>
      </c>
      <c r="BO46" s="230">
        <v>189531</v>
      </c>
      <c r="BP46" s="230">
        <v>248363</v>
      </c>
      <c r="BQ46" s="230">
        <v>-58832</v>
      </c>
      <c r="BR46" s="229">
        <v>-0.2369</v>
      </c>
      <c r="BS46" s="230">
        <v>3325121</v>
      </c>
      <c r="BT46" s="230">
        <v>3911113</v>
      </c>
      <c r="BU46" s="230">
        <v>-585992</v>
      </c>
      <c r="BV46" s="229">
        <v>-0.14979999999999999</v>
      </c>
      <c r="BW46" s="230">
        <v>29216075</v>
      </c>
      <c r="BX46" s="230">
        <v>29039325</v>
      </c>
      <c r="BY46" s="230">
        <v>176750</v>
      </c>
      <c r="BZ46" s="229">
        <v>6.1000000000000004E-3</v>
      </c>
      <c r="CA46" s="230">
        <v>21835800</v>
      </c>
      <c r="CB46" s="230">
        <v>22198925</v>
      </c>
      <c r="CC46" s="230">
        <v>-363125</v>
      </c>
      <c r="CD46" s="229">
        <v>-1.6400000000000001E-2</v>
      </c>
      <c r="CE46" s="230">
        <v>5927075</v>
      </c>
      <c r="CF46" s="230">
        <v>5515125</v>
      </c>
      <c r="CG46" s="230">
        <v>411950</v>
      </c>
      <c r="CH46" s="229">
        <v>7.4700000000000003E-2</v>
      </c>
      <c r="CI46" s="228">
        <v>0</v>
      </c>
      <c r="CJ46" s="228">
        <v>0</v>
      </c>
      <c r="CK46" s="228">
        <v>0</v>
      </c>
      <c r="CL46" s="229">
        <v>0</v>
      </c>
      <c r="CM46" s="230">
        <v>28232400</v>
      </c>
      <c r="CN46" s="230">
        <v>28905975</v>
      </c>
      <c r="CO46" s="230">
        <v>-673575</v>
      </c>
      <c r="CP46" s="229">
        <v>-2.3300000000000001E-2</v>
      </c>
      <c r="CQ46" s="230">
        <v>14160650</v>
      </c>
      <c r="CR46" s="230">
        <v>14317800</v>
      </c>
      <c r="CS46" s="230">
        <v>-157150</v>
      </c>
      <c r="CT46" s="229">
        <v>-1.0999999999999999E-2</v>
      </c>
      <c r="CU46" s="230">
        <v>71609125</v>
      </c>
      <c r="CV46" s="230">
        <v>72263100</v>
      </c>
      <c r="CW46" s="230">
        <v>-653975</v>
      </c>
      <c r="CX46" s="229">
        <v>-8.9999999999999993E-3</v>
      </c>
      <c r="CY46" s="228">
        <v>20.87</v>
      </c>
      <c r="CZ46" s="228">
        <v>21.58</v>
      </c>
      <c r="DA46" s="228">
        <v>-0.71</v>
      </c>
      <c r="DB46" s="228">
        <v>-0.71</v>
      </c>
      <c r="DC46" s="228">
        <v>24.85</v>
      </c>
      <c r="DD46" s="228">
        <v>24.92</v>
      </c>
      <c r="DE46" s="228">
        <v>-3.98</v>
      </c>
      <c r="DF46" s="228">
        <v>-7.0000000000000007E-2</v>
      </c>
      <c r="DG46" s="228">
        <v>21.37</v>
      </c>
      <c r="DH46" s="228">
        <v>22.23</v>
      </c>
      <c r="DI46" s="228">
        <v>-0.86</v>
      </c>
      <c r="DJ46" s="228">
        <v>-0.86</v>
      </c>
      <c r="DK46" s="228">
        <v>19.47</v>
      </c>
      <c r="DL46" s="228">
        <v>20.04</v>
      </c>
      <c r="DM46" s="228">
        <v>-0.56999999999999995</v>
      </c>
      <c r="DN46" s="228">
        <v>-0.56999999999999995</v>
      </c>
      <c r="DO46" s="228">
        <v>0.5</v>
      </c>
      <c r="DP46" s="228">
        <v>0.5</v>
      </c>
      <c r="DQ46" s="228">
        <v>0</v>
      </c>
      <c r="DR46" s="229">
        <v>0</v>
      </c>
      <c r="DS46" s="231">
        <v>3500</v>
      </c>
      <c r="DT46" s="231">
        <v>3200</v>
      </c>
      <c r="DU46" s="228">
        <v>0.36</v>
      </c>
      <c r="DV46" s="228">
        <v>0.42</v>
      </c>
      <c r="DW46" s="228">
        <v>-0.06</v>
      </c>
      <c r="DX46" s="229">
        <v>-0.1429</v>
      </c>
      <c r="DY46" s="229">
        <v>0.2029</v>
      </c>
      <c r="DZ46" s="230">
        <v>5515125</v>
      </c>
      <c r="EA46" s="229">
        <v>5.1999999999999998E-3</v>
      </c>
      <c r="EB46" s="229">
        <v>0.2029</v>
      </c>
      <c r="EC46" s="228">
        <v>16.43</v>
      </c>
      <c r="ED46" s="229">
        <v>5.1999999999999998E-3</v>
      </c>
      <c r="EE46" s="230">
        <v>2457814</v>
      </c>
      <c r="EF46" s="230">
        <v>3054325</v>
      </c>
      <c r="EG46" s="229">
        <v>-0.1953</v>
      </c>
      <c r="EH46" s="229">
        <v>0.73919999999999997</v>
      </c>
      <c r="EI46" s="231">
        <v>740172.75</v>
      </c>
      <c r="EJ46" s="231">
        <v>255734.97</v>
      </c>
      <c r="EK46" s="231">
        <v>88750.78</v>
      </c>
      <c r="EL46" s="228">
        <v>0</v>
      </c>
      <c r="EM46" s="231">
        <v>1084658.5</v>
      </c>
      <c r="EN46" s="231">
        <v>1426773.09</v>
      </c>
      <c r="EO46" s="231">
        <v>-342114.59</v>
      </c>
      <c r="EP46" s="229">
        <v>-0.23980000000000001</v>
      </c>
      <c r="EQ46" s="231">
        <v>964638</v>
      </c>
      <c r="ER46" s="231">
        <v>457642</v>
      </c>
      <c r="ES46" s="231">
        <v>926679</v>
      </c>
      <c r="ET46" s="231">
        <v>204305778</v>
      </c>
      <c r="EU46" s="231">
        <v>2348959</v>
      </c>
      <c r="EV46" s="231">
        <v>2373230</v>
      </c>
      <c r="EW46" s="231">
        <v>-24271</v>
      </c>
      <c r="EX46" s="229">
        <v>-1.0200000000000001E-2</v>
      </c>
      <c r="EY46" s="229">
        <v>0.35049999999999998</v>
      </c>
    </row>
    <row r="47" spans="1:155" ht="17.25" thickBot="1" x14ac:dyDescent="0.3">
      <c r="A47" s="226">
        <v>45860</v>
      </c>
      <c r="B47" s="227" t="s">
        <v>221</v>
      </c>
      <c r="C47" s="227" t="s">
        <v>296</v>
      </c>
      <c r="D47" s="231">
        <v>1548.2</v>
      </c>
      <c r="E47" s="231">
        <v>1545.4</v>
      </c>
      <c r="F47" s="228">
        <v>2.8</v>
      </c>
      <c r="G47" s="229">
        <v>1.8E-3</v>
      </c>
      <c r="H47" s="231">
        <v>1547.2</v>
      </c>
      <c r="I47" s="231">
        <v>1543.8</v>
      </c>
      <c r="J47" s="228">
        <v>3.4</v>
      </c>
      <c r="K47" s="229">
        <v>2.2000000000000001E-3</v>
      </c>
      <c r="L47" s="231">
        <v>1548.2</v>
      </c>
      <c r="M47" s="231">
        <v>1545.4</v>
      </c>
      <c r="N47" s="228">
        <v>2.8</v>
      </c>
      <c r="O47" s="229">
        <v>1.8E-3</v>
      </c>
      <c r="P47" s="231">
        <v>1556.5</v>
      </c>
      <c r="Q47" s="231">
        <v>1553.8</v>
      </c>
      <c r="R47" s="228">
        <v>2.7</v>
      </c>
      <c r="S47" s="229">
        <v>1.6999999999999999E-3</v>
      </c>
      <c r="T47" s="228">
        <v>0</v>
      </c>
      <c r="U47" s="228">
        <v>0</v>
      </c>
      <c r="V47" s="228">
        <v>0</v>
      </c>
      <c r="W47" s="229">
        <v>0</v>
      </c>
      <c r="X47" s="228">
        <v>1</v>
      </c>
      <c r="Y47" s="228">
        <v>1.6</v>
      </c>
      <c r="Z47" s="228">
        <v>-0.6</v>
      </c>
      <c r="AA47" s="229">
        <v>5.9999999999999995E-4</v>
      </c>
      <c r="AB47" s="228">
        <v>1</v>
      </c>
      <c r="AC47" s="228">
        <v>1.6</v>
      </c>
      <c r="AD47" s="228">
        <v>-0.6</v>
      </c>
      <c r="AE47" s="229">
        <v>5.9999999999999995E-4</v>
      </c>
      <c r="AF47" s="228">
        <v>9.3000000000000007</v>
      </c>
      <c r="AG47" s="228">
        <v>10</v>
      </c>
      <c r="AH47" s="228">
        <v>-0.7</v>
      </c>
      <c r="AI47" s="229">
        <v>6.0000000000000001E-3</v>
      </c>
      <c r="AJ47" s="228">
        <v>0</v>
      </c>
      <c r="AK47" s="228">
        <v>0</v>
      </c>
      <c r="AL47" s="228">
        <v>0</v>
      </c>
      <c r="AM47" s="229">
        <v>0</v>
      </c>
      <c r="AN47" s="231">
        <v>1548.81</v>
      </c>
      <c r="AO47" s="231">
        <v>1558.29</v>
      </c>
      <c r="AP47" s="228">
        <v>0</v>
      </c>
      <c r="AQ47" s="230">
        <v>3202</v>
      </c>
      <c r="AR47" s="230">
        <v>4220</v>
      </c>
      <c r="AS47" s="230">
        <v>-1018</v>
      </c>
      <c r="AT47" s="229">
        <v>-0.2412</v>
      </c>
      <c r="AU47" s="230">
        <v>2486</v>
      </c>
      <c r="AV47" s="230">
        <v>3747</v>
      </c>
      <c r="AW47" s="230">
        <v>-1261</v>
      </c>
      <c r="AX47" s="229">
        <v>-0.33650000000000002</v>
      </c>
      <c r="AY47" s="228">
        <v>693</v>
      </c>
      <c r="AZ47" s="228">
        <v>442</v>
      </c>
      <c r="BA47" s="228">
        <v>251</v>
      </c>
      <c r="BB47" s="229">
        <v>0.56789999999999996</v>
      </c>
      <c r="BC47" s="228">
        <v>0</v>
      </c>
      <c r="BD47" s="228">
        <v>0</v>
      </c>
      <c r="BE47" s="228">
        <v>0</v>
      </c>
      <c r="BF47" s="229">
        <v>0</v>
      </c>
      <c r="BG47" s="230">
        <v>13696</v>
      </c>
      <c r="BH47" s="230">
        <v>20573</v>
      </c>
      <c r="BI47" s="230">
        <v>-6877</v>
      </c>
      <c r="BJ47" s="229">
        <v>-0.33429999999999999</v>
      </c>
      <c r="BK47" s="230">
        <v>4504</v>
      </c>
      <c r="BL47" s="230">
        <v>7789</v>
      </c>
      <c r="BM47" s="230">
        <v>-3285</v>
      </c>
      <c r="BN47" s="229">
        <v>-0.42170000000000002</v>
      </c>
      <c r="BO47" s="230">
        <v>21402</v>
      </c>
      <c r="BP47" s="230">
        <v>32582</v>
      </c>
      <c r="BQ47" s="230">
        <v>-11180</v>
      </c>
      <c r="BR47" s="229">
        <v>-0.34310000000000002</v>
      </c>
      <c r="BS47" s="230">
        <v>1415337</v>
      </c>
      <c r="BT47" s="230">
        <v>1007980</v>
      </c>
      <c r="BU47" s="230">
        <v>407357</v>
      </c>
      <c r="BV47" s="229">
        <v>0.40410000000000001</v>
      </c>
      <c r="BW47" s="230">
        <v>18036600</v>
      </c>
      <c r="BX47" s="230">
        <v>18118800</v>
      </c>
      <c r="BY47" s="230">
        <v>-82200</v>
      </c>
      <c r="BZ47" s="229">
        <v>-4.4999999999999997E-3</v>
      </c>
      <c r="CA47" s="230">
        <v>16020000</v>
      </c>
      <c r="CB47" s="230">
        <v>16173000</v>
      </c>
      <c r="CC47" s="230">
        <v>-153000</v>
      </c>
      <c r="CD47" s="229">
        <v>-9.4999999999999998E-3</v>
      </c>
      <c r="CE47" s="230">
        <v>1547400</v>
      </c>
      <c r="CF47" s="230">
        <v>1488000</v>
      </c>
      <c r="CG47" s="230">
        <v>59400</v>
      </c>
      <c r="CH47" s="229">
        <v>3.9899999999999998E-2</v>
      </c>
      <c r="CI47" s="228">
        <v>0</v>
      </c>
      <c r="CJ47" s="228">
        <v>0</v>
      </c>
      <c r="CK47" s="228">
        <v>0</v>
      </c>
      <c r="CL47" s="229">
        <v>0</v>
      </c>
      <c r="CM47" s="230">
        <v>14103600</v>
      </c>
      <c r="CN47" s="230">
        <v>14997000</v>
      </c>
      <c r="CO47" s="230">
        <v>-893400</v>
      </c>
      <c r="CP47" s="229">
        <v>-5.96E-2</v>
      </c>
      <c r="CQ47" s="230">
        <v>6498600</v>
      </c>
      <c r="CR47" s="230">
        <v>6736800</v>
      </c>
      <c r="CS47" s="230">
        <v>-238200</v>
      </c>
      <c r="CT47" s="229">
        <v>-3.5400000000000001E-2</v>
      </c>
      <c r="CU47" s="230">
        <v>38638800</v>
      </c>
      <c r="CV47" s="230">
        <v>39852600</v>
      </c>
      <c r="CW47" s="230">
        <v>-1213800</v>
      </c>
      <c r="CX47" s="229">
        <v>-3.0499999999999999E-2</v>
      </c>
      <c r="CY47" s="228">
        <v>24.75</v>
      </c>
      <c r="CZ47" s="228">
        <v>25.09</v>
      </c>
      <c r="DA47" s="228">
        <v>-0.34</v>
      </c>
      <c r="DB47" s="228">
        <v>-0.34</v>
      </c>
      <c r="DC47" s="228">
        <v>31.24</v>
      </c>
      <c r="DD47" s="228">
        <v>31.32</v>
      </c>
      <c r="DE47" s="228">
        <v>-6.49</v>
      </c>
      <c r="DF47" s="228">
        <v>-0.08</v>
      </c>
      <c r="DG47" s="228">
        <v>25.15</v>
      </c>
      <c r="DH47" s="228">
        <v>25.7</v>
      </c>
      <c r="DI47" s="228">
        <v>-0.55000000000000004</v>
      </c>
      <c r="DJ47" s="228">
        <v>-0.55000000000000004</v>
      </c>
      <c r="DK47" s="228">
        <v>23.52</v>
      </c>
      <c r="DL47" s="228">
        <v>23.5</v>
      </c>
      <c r="DM47" s="228">
        <v>0.02</v>
      </c>
      <c r="DN47" s="228">
        <v>0.02</v>
      </c>
      <c r="DO47" s="228">
        <v>0.46</v>
      </c>
      <c r="DP47" s="228">
        <v>0.45</v>
      </c>
      <c r="DQ47" s="228">
        <v>0.01</v>
      </c>
      <c r="DR47" s="229">
        <v>2.2200000000000001E-2</v>
      </c>
      <c r="DS47" s="231">
        <v>1600</v>
      </c>
      <c r="DT47" s="231">
        <v>1500</v>
      </c>
      <c r="DU47" s="228">
        <v>0.33</v>
      </c>
      <c r="DV47" s="228">
        <v>0.38</v>
      </c>
      <c r="DW47" s="228">
        <v>-0.05</v>
      </c>
      <c r="DX47" s="229">
        <v>-0.13159999999999999</v>
      </c>
      <c r="DY47" s="229">
        <v>8.5800000000000001E-2</v>
      </c>
      <c r="DZ47" s="230">
        <v>1488000</v>
      </c>
      <c r="EA47" s="229">
        <v>5.4000000000000003E-3</v>
      </c>
      <c r="EB47" s="229">
        <v>8.5800000000000001E-2</v>
      </c>
      <c r="EC47" s="228">
        <v>9.48</v>
      </c>
      <c r="ED47" s="229">
        <v>6.1000000000000004E-3</v>
      </c>
      <c r="EE47" s="230">
        <v>922220</v>
      </c>
      <c r="EF47" s="230">
        <v>448307</v>
      </c>
      <c r="EG47" s="229">
        <v>1.0570999999999999</v>
      </c>
      <c r="EH47" s="229">
        <v>0.65159999999999996</v>
      </c>
      <c r="EI47" s="231">
        <v>132518.10999999999</v>
      </c>
      <c r="EJ47" s="231">
        <v>41699.730000000003</v>
      </c>
      <c r="EK47" s="231">
        <v>29797.39</v>
      </c>
      <c r="EL47" s="228">
        <v>0</v>
      </c>
      <c r="EM47" s="231">
        <v>204015.23</v>
      </c>
      <c r="EN47" s="231">
        <v>311326.52</v>
      </c>
      <c r="EO47" s="231">
        <v>-107311.29</v>
      </c>
      <c r="EP47" s="229">
        <v>-0.34470000000000001</v>
      </c>
      <c r="EQ47" s="231">
        <v>233043</v>
      </c>
      <c r="ER47" s="231">
        <v>99431</v>
      </c>
      <c r="ES47" s="231">
        <v>279438</v>
      </c>
      <c r="ET47" s="231">
        <v>127258876</v>
      </c>
      <c r="EU47" s="231">
        <v>611913</v>
      </c>
      <c r="EV47" s="231">
        <v>631019</v>
      </c>
      <c r="EW47" s="231">
        <v>-19106</v>
      </c>
      <c r="EX47" s="229">
        <v>-3.0300000000000001E-2</v>
      </c>
      <c r="EY47" s="229">
        <v>0.30359999999999998</v>
      </c>
    </row>
    <row r="48" spans="1:155" ht="17.25" thickBot="1" x14ac:dyDescent="0.3">
      <c r="A48" s="226">
        <v>45860</v>
      </c>
      <c r="B48" s="227" t="s">
        <v>168</v>
      </c>
      <c r="C48" s="227" t="s">
        <v>297</v>
      </c>
      <c r="D48" s="231">
        <v>3473.5</v>
      </c>
      <c r="E48" s="231">
        <v>3439.3</v>
      </c>
      <c r="F48" s="228">
        <v>34.200000000000003</v>
      </c>
      <c r="G48" s="229">
        <v>9.9000000000000008E-3</v>
      </c>
      <c r="H48" s="231">
        <v>3472.4</v>
      </c>
      <c r="I48" s="231">
        <v>3433</v>
      </c>
      <c r="J48" s="228">
        <v>39.4</v>
      </c>
      <c r="K48" s="229">
        <v>1.15E-2</v>
      </c>
      <c r="L48" s="231">
        <v>3473.5</v>
      </c>
      <c r="M48" s="231">
        <v>3439.3</v>
      </c>
      <c r="N48" s="228">
        <v>34.200000000000003</v>
      </c>
      <c r="O48" s="229">
        <v>9.9000000000000008E-3</v>
      </c>
      <c r="P48" s="231">
        <v>3490.7</v>
      </c>
      <c r="Q48" s="231">
        <v>3456.6</v>
      </c>
      <c r="R48" s="228">
        <v>34.1</v>
      </c>
      <c r="S48" s="229">
        <v>9.9000000000000008E-3</v>
      </c>
      <c r="T48" s="228">
        <v>0</v>
      </c>
      <c r="U48" s="228">
        <v>0</v>
      </c>
      <c r="V48" s="228">
        <v>0</v>
      </c>
      <c r="W48" s="229">
        <v>0</v>
      </c>
      <c r="X48" s="228">
        <v>1.1000000000000001</v>
      </c>
      <c r="Y48" s="228">
        <v>6.3</v>
      </c>
      <c r="Z48" s="228">
        <v>-5.2</v>
      </c>
      <c r="AA48" s="229">
        <v>2.9999999999999997E-4</v>
      </c>
      <c r="AB48" s="228">
        <v>1.1000000000000001</v>
      </c>
      <c r="AC48" s="228">
        <v>6.3</v>
      </c>
      <c r="AD48" s="228">
        <v>-5.2</v>
      </c>
      <c r="AE48" s="229">
        <v>2.9999999999999997E-4</v>
      </c>
      <c r="AF48" s="228">
        <v>18.3</v>
      </c>
      <c r="AG48" s="228">
        <v>23.6</v>
      </c>
      <c r="AH48" s="228">
        <v>-5.3</v>
      </c>
      <c r="AI48" s="229">
        <v>5.3E-3</v>
      </c>
      <c r="AJ48" s="228">
        <v>0</v>
      </c>
      <c r="AK48" s="228">
        <v>0</v>
      </c>
      <c r="AL48" s="228">
        <v>0</v>
      </c>
      <c r="AM48" s="229">
        <v>0</v>
      </c>
      <c r="AN48" s="231">
        <v>3471.47</v>
      </c>
      <c r="AO48" s="231">
        <v>3489.9</v>
      </c>
      <c r="AP48" s="228">
        <v>0</v>
      </c>
      <c r="AQ48" s="230">
        <v>13062</v>
      </c>
      <c r="AR48" s="230">
        <v>7400</v>
      </c>
      <c r="AS48" s="230">
        <v>5662</v>
      </c>
      <c r="AT48" s="229">
        <v>0.7651</v>
      </c>
      <c r="AU48" s="230">
        <v>11337</v>
      </c>
      <c r="AV48" s="230">
        <v>6404</v>
      </c>
      <c r="AW48" s="230">
        <v>4933</v>
      </c>
      <c r="AX48" s="229">
        <v>0.77029999999999998</v>
      </c>
      <c r="AY48" s="230">
        <v>1608</v>
      </c>
      <c r="AZ48" s="228">
        <v>905</v>
      </c>
      <c r="BA48" s="228">
        <v>703</v>
      </c>
      <c r="BB48" s="229">
        <v>0.77680000000000005</v>
      </c>
      <c r="BC48" s="228">
        <v>0</v>
      </c>
      <c r="BD48" s="228">
        <v>0</v>
      </c>
      <c r="BE48" s="228">
        <v>0</v>
      </c>
      <c r="BF48" s="229">
        <v>0</v>
      </c>
      <c r="BG48" s="230">
        <v>93646</v>
      </c>
      <c r="BH48" s="230">
        <v>36418</v>
      </c>
      <c r="BI48" s="230">
        <v>57228</v>
      </c>
      <c r="BJ48" s="229">
        <v>1.5713999999999999</v>
      </c>
      <c r="BK48" s="230">
        <v>32155</v>
      </c>
      <c r="BL48" s="230">
        <v>14672</v>
      </c>
      <c r="BM48" s="230">
        <v>17483</v>
      </c>
      <c r="BN48" s="229">
        <v>1.1916</v>
      </c>
      <c r="BO48" s="230">
        <v>138863</v>
      </c>
      <c r="BP48" s="230">
        <v>58490</v>
      </c>
      <c r="BQ48" s="230">
        <v>80373</v>
      </c>
      <c r="BR48" s="229">
        <v>1.3741000000000001</v>
      </c>
      <c r="BS48" s="230">
        <v>1846024</v>
      </c>
      <c r="BT48" s="230">
        <v>567979</v>
      </c>
      <c r="BU48" s="230">
        <v>1278045</v>
      </c>
      <c r="BV48" s="229">
        <v>2.2502</v>
      </c>
      <c r="BW48" s="230">
        <v>11095350</v>
      </c>
      <c r="BX48" s="230">
        <v>11592525</v>
      </c>
      <c r="BY48" s="230">
        <v>-497175</v>
      </c>
      <c r="BZ48" s="229">
        <v>-4.2900000000000001E-2</v>
      </c>
      <c r="CA48" s="230">
        <v>10235050</v>
      </c>
      <c r="CB48" s="230">
        <v>10767050</v>
      </c>
      <c r="CC48" s="230">
        <v>-532000</v>
      </c>
      <c r="CD48" s="229">
        <v>-4.9399999999999999E-2</v>
      </c>
      <c r="CE48" s="230">
        <v>629125</v>
      </c>
      <c r="CF48" s="230">
        <v>593075</v>
      </c>
      <c r="CG48" s="230">
        <v>36050</v>
      </c>
      <c r="CH48" s="229">
        <v>6.08E-2</v>
      </c>
      <c r="CI48" s="228">
        <v>0</v>
      </c>
      <c r="CJ48" s="228">
        <v>0</v>
      </c>
      <c r="CK48" s="228">
        <v>0</v>
      </c>
      <c r="CL48" s="229">
        <v>0</v>
      </c>
      <c r="CM48" s="230">
        <v>6763575</v>
      </c>
      <c r="CN48" s="230">
        <v>7159425</v>
      </c>
      <c r="CO48" s="230">
        <v>-395850</v>
      </c>
      <c r="CP48" s="229">
        <v>-5.5300000000000002E-2</v>
      </c>
      <c r="CQ48" s="230">
        <v>3467625</v>
      </c>
      <c r="CR48" s="230">
        <v>3559500</v>
      </c>
      <c r="CS48" s="230">
        <v>-91875</v>
      </c>
      <c r="CT48" s="229">
        <v>-2.58E-2</v>
      </c>
      <c r="CU48" s="230">
        <v>21326550</v>
      </c>
      <c r="CV48" s="230">
        <v>22311450</v>
      </c>
      <c r="CW48" s="230">
        <v>-984900</v>
      </c>
      <c r="CX48" s="229">
        <v>-4.41E-2</v>
      </c>
      <c r="CY48" s="228">
        <v>20</v>
      </c>
      <c r="CZ48" s="228">
        <v>20.66</v>
      </c>
      <c r="DA48" s="228">
        <v>-0.66</v>
      </c>
      <c r="DB48" s="228">
        <v>-0.66</v>
      </c>
      <c r="DC48" s="228">
        <v>27.54</v>
      </c>
      <c r="DD48" s="228">
        <v>27.57</v>
      </c>
      <c r="DE48" s="228">
        <v>-7.54</v>
      </c>
      <c r="DF48" s="228">
        <v>-0.03</v>
      </c>
      <c r="DG48" s="228">
        <v>20.010000000000002</v>
      </c>
      <c r="DH48" s="228">
        <v>20.86</v>
      </c>
      <c r="DI48" s="228">
        <v>-0.85</v>
      </c>
      <c r="DJ48" s="228">
        <v>-0.85</v>
      </c>
      <c r="DK48" s="228">
        <v>19.96</v>
      </c>
      <c r="DL48" s="228">
        <v>20.16</v>
      </c>
      <c r="DM48" s="228">
        <v>-0.2</v>
      </c>
      <c r="DN48" s="228">
        <v>-0.2</v>
      </c>
      <c r="DO48" s="228">
        <v>0.51</v>
      </c>
      <c r="DP48" s="228">
        <v>0.5</v>
      </c>
      <c r="DQ48" s="228">
        <v>0.01</v>
      </c>
      <c r="DR48" s="229">
        <v>0.02</v>
      </c>
      <c r="DS48" s="231">
        <v>3500</v>
      </c>
      <c r="DT48" s="231">
        <v>3400</v>
      </c>
      <c r="DU48" s="228">
        <v>0.34</v>
      </c>
      <c r="DV48" s="228">
        <v>0.4</v>
      </c>
      <c r="DW48" s="228">
        <v>-0.06</v>
      </c>
      <c r="DX48" s="229">
        <v>-0.15</v>
      </c>
      <c r="DY48" s="229">
        <v>5.67E-2</v>
      </c>
      <c r="DZ48" s="230">
        <v>593075</v>
      </c>
      <c r="EA48" s="229">
        <v>5.0000000000000001E-3</v>
      </c>
      <c r="EB48" s="229">
        <v>5.67E-2</v>
      </c>
      <c r="EC48" s="228">
        <v>18.43</v>
      </c>
      <c r="ED48" s="229">
        <v>5.3E-3</v>
      </c>
      <c r="EE48" s="230">
        <v>1011501</v>
      </c>
      <c r="EF48" s="230">
        <v>313148</v>
      </c>
      <c r="EG48" s="229">
        <v>2.2301000000000002</v>
      </c>
      <c r="EH48" s="229">
        <v>0.54790000000000005</v>
      </c>
      <c r="EI48" s="231">
        <v>583936.26</v>
      </c>
      <c r="EJ48" s="231">
        <v>192977.29</v>
      </c>
      <c r="EK48" s="231">
        <v>79411.05</v>
      </c>
      <c r="EL48" s="228">
        <v>0</v>
      </c>
      <c r="EM48" s="231">
        <v>856324.6</v>
      </c>
      <c r="EN48" s="231">
        <v>356928.02</v>
      </c>
      <c r="EO48" s="231">
        <v>499396.58</v>
      </c>
      <c r="EP48" s="229">
        <v>1.3992</v>
      </c>
      <c r="EQ48" s="231">
        <v>247611</v>
      </c>
      <c r="ER48" s="231">
        <v>118347</v>
      </c>
      <c r="ES48" s="231">
        <v>385587</v>
      </c>
      <c r="ET48" s="231">
        <v>83488668</v>
      </c>
      <c r="EU48" s="231">
        <v>751545</v>
      </c>
      <c r="EV48" s="231">
        <v>781135</v>
      </c>
      <c r="EW48" s="231">
        <v>-29590</v>
      </c>
      <c r="EX48" s="229">
        <v>-3.7900000000000003E-2</v>
      </c>
      <c r="EY48" s="229">
        <v>0.25540000000000002</v>
      </c>
    </row>
    <row r="49" spans="1:155" ht="17.25" thickBot="1" x14ac:dyDescent="0.3">
      <c r="A49" s="226">
        <v>45860</v>
      </c>
      <c r="B49" s="227" t="s">
        <v>197</v>
      </c>
      <c r="C49" s="227" t="s">
        <v>482</v>
      </c>
      <c r="D49" s="231">
        <v>5372.5</v>
      </c>
      <c r="E49" s="231">
        <v>5394.5</v>
      </c>
      <c r="F49" s="228">
        <v>-22</v>
      </c>
      <c r="G49" s="229">
        <v>-4.1000000000000003E-3</v>
      </c>
      <c r="H49" s="231">
        <v>5360.5</v>
      </c>
      <c r="I49" s="231">
        <v>5376</v>
      </c>
      <c r="J49" s="228">
        <v>-15.5</v>
      </c>
      <c r="K49" s="229">
        <v>-2.8999999999999998E-3</v>
      </c>
      <c r="L49" s="231">
        <v>5372.5</v>
      </c>
      <c r="M49" s="231">
        <v>5394.5</v>
      </c>
      <c r="N49" s="228">
        <v>-22</v>
      </c>
      <c r="O49" s="229">
        <v>-4.1000000000000003E-3</v>
      </c>
      <c r="P49" s="231">
        <v>5398.5</v>
      </c>
      <c r="Q49" s="231">
        <v>5420</v>
      </c>
      <c r="R49" s="228">
        <v>-21.5</v>
      </c>
      <c r="S49" s="229">
        <v>-4.0000000000000001E-3</v>
      </c>
      <c r="T49" s="228">
        <v>0</v>
      </c>
      <c r="U49" s="228">
        <v>0</v>
      </c>
      <c r="V49" s="228">
        <v>0</v>
      </c>
      <c r="W49" s="229">
        <v>0</v>
      </c>
      <c r="X49" s="228">
        <v>12</v>
      </c>
      <c r="Y49" s="228">
        <v>18.5</v>
      </c>
      <c r="Z49" s="228">
        <v>-6.5</v>
      </c>
      <c r="AA49" s="229">
        <v>2.2000000000000001E-3</v>
      </c>
      <c r="AB49" s="228">
        <v>12</v>
      </c>
      <c r="AC49" s="228">
        <v>18.5</v>
      </c>
      <c r="AD49" s="228">
        <v>-6.5</v>
      </c>
      <c r="AE49" s="229">
        <v>2.2000000000000001E-3</v>
      </c>
      <c r="AF49" s="228">
        <v>38</v>
      </c>
      <c r="AG49" s="228">
        <v>44</v>
      </c>
      <c r="AH49" s="228">
        <v>-6</v>
      </c>
      <c r="AI49" s="229">
        <v>7.1000000000000004E-3</v>
      </c>
      <c r="AJ49" s="228">
        <v>0</v>
      </c>
      <c r="AK49" s="228">
        <v>0</v>
      </c>
      <c r="AL49" s="228">
        <v>0</v>
      </c>
      <c r="AM49" s="229">
        <v>0</v>
      </c>
      <c r="AN49" s="231">
        <v>5414.3</v>
      </c>
      <c r="AO49" s="231">
        <v>5435.19</v>
      </c>
      <c r="AP49" s="228">
        <v>0</v>
      </c>
      <c r="AQ49" s="230">
        <v>6768</v>
      </c>
      <c r="AR49" s="230">
        <v>5168</v>
      </c>
      <c r="AS49" s="230">
        <v>1600</v>
      </c>
      <c r="AT49" s="229">
        <v>0.30959999999999999</v>
      </c>
      <c r="AU49" s="230">
        <v>5390</v>
      </c>
      <c r="AV49" s="230">
        <v>4341</v>
      </c>
      <c r="AW49" s="230">
        <v>1049</v>
      </c>
      <c r="AX49" s="229">
        <v>0.24160000000000001</v>
      </c>
      <c r="AY49" s="230">
        <v>1315</v>
      </c>
      <c r="AZ49" s="228">
        <v>751</v>
      </c>
      <c r="BA49" s="228">
        <v>564</v>
      </c>
      <c r="BB49" s="229">
        <v>0.751</v>
      </c>
      <c r="BC49" s="228">
        <v>0</v>
      </c>
      <c r="BD49" s="228">
        <v>0</v>
      </c>
      <c r="BE49" s="228">
        <v>0</v>
      </c>
      <c r="BF49" s="229">
        <v>0</v>
      </c>
      <c r="BG49" s="230">
        <v>62544</v>
      </c>
      <c r="BH49" s="230">
        <v>44339</v>
      </c>
      <c r="BI49" s="230">
        <v>18205</v>
      </c>
      <c r="BJ49" s="229">
        <v>0.41060000000000002</v>
      </c>
      <c r="BK49" s="230">
        <v>17276</v>
      </c>
      <c r="BL49" s="230">
        <v>11326</v>
      </c>
      <c r="BM49" s="230">
        <v>5950</v>
      </c>
      <c r="BN49" s="229">
        <v>0.52529999999999999</v>
      </c>
      <c r="BO49" s="230">
        <v>86588</v>
      </c>
      <c r="BP49" s="230">
        <v>60833</v>
      </c>
      <c r="BQ49" s="230">
        <v>25755</v>
      </c>
      <c r="BR49" s="229">
        <v>0.4234</v>
      </c>
      <c r="BS49" s="230">
        <v>517102</v>
      </c>
      <c r="BT49" s="230">
        <v>418243</v>
      </c>
      <c r="BU49" s="230">
        <v>98859</v>
      </c>
      <c r="BV49" s="229">
        <v>0.2364</v>
      </c>
      <c r="BW49" s="230">
        <v>8260900</v>
      </c>
      <c r="BX49" s="230">
        <v>8278500</v>
      </c>
      <c r="BY49" s="230">
        <v>-17600</v>
      </c>
      <c r="BZ49" s="229">
        <v>-2.0999999999999999E-3</v>
      </c>
      <c r="CA49" s="230">
        <v>7484900</v>
      </c>
      <c r="CB49" s="230">
        <v>7560900</v>
      </c>
      <c r="CC49" s="230">
        <v>-76000</v>
      </c>
      <c r="CD49" s="229">
        <v>-1.01E-2</v>
      </c>
      <c r="CE49" s="230">
        <v>685700</v>
      </c>
      <c r="CF49" s="230">
        <v>628500</v>
      </c>
      <c r="CG49" s="230">
        <v>57200</v>
      </c>
      <c r="CH49" s="229">
        <v>9.0999999999999998E-2</v>
      </c>
      <c r="CI49" s="228">
        <v>0</v>
      </c>
      <c r="CJ49" s="228">
        <v>0</v>
      </c>
      <c r="CK49" s="228">
        <v>0</v>
      </c>
      <c r="CL49" s="229">
        <v>0</v>
      </c>
      <c r="CM49" s="230">
        <v>8139900</v>
      </c>
      <c r="CN49" s="230">
        <v>8289800</v>
      </c>
      <c r="CO49" s="230">
        <v>-149900</v>
      </c>
      <c r="CP49" s="229">
        <v>-1.8100000000000002E-2</v>
      </c>
      <c r="CQ49" s="230">
        <v>3442400</v>
      </c>
      <c r="CR49" s="230">
        <v>3396100</v>
      </c>
      <c r="CS49" s="230">
        <v>46300</v>
      </c>
      <c r="CT49" s="229">
        <v>1.3599999999999999E-2</v>
      </c>
      <c r="CU49" s="230">
        <v>19843200</v>
      </c>
      <c r="CV49" s="230">
        <v>19964400</v>
      </c>
      <c r="CW49" s="230">
        <v>-121200</v>
      </c>
      <c r="CX49" s="229">
        <v>-6.1000000000000004E-3</v>
      </c>
      <c r="CY49" s="228">
        <v>36.64</v>
      </c>
      <c r="CZ49" s="228">
        <v>38.299999999999997</v>
      </c>
      <c r="DA49" s="228">
        <v>-1.66</v>
      </c>
      <c r="DB49" s="228">
        <v>-1.66</v>
      </c>
      <c r="DC49" s="228">
        <v>49.29</v>
      </c>
      <c r="DD49" s="228">
        <v>49.41</v>
      </c>
      <c r="DE49" s="228">
        <v>-12.65</v>
      </c>
      <c r="DF49" s="228">
        <v>-0.12</v>
      </c>
      <c r="DG49" s="228">
        <v>37.409999999999997</v>
      </c>
      <c r="DH49" s="228">
        <v>39.130000000000003</v>
      </c>
      <c r="DI49" s="228">
        <v>-1.72</v>
      </c>
      <c r="DJ49" s="228">
        <v>-1.72</v>
      </c>
      <c r="DK49" s="228">
        <v>33.85</v>
      </c>
      <c r="DL49" s="228">
        <v>35.049999999999997</v>
      </c>
      <c r="DM49" s="228">
        <v>-1.2</v>
      </c>
      <c r="DN49" s="228">
        <v>-1.2</v>
      </c>
      <c r="DO49" s="228">
        <v>0.42</v>
      </c>
      <c r="DP49" s="228">
        <v>0.41</v>
      </c>
      <c r="DQ49" s="228">
        <v>0.01</v>
      </c>
      <c r="DR49" s="229">
        <v>2.4400000000000002E-2</v>
      </c>
      <c r="DS49" s="231">
        <v>6000</v>
      </c>
      <c r="DT49" s="231">
        <v>5500</v>
      </c>
      <c r="DU49" s="228">
        <v>0.28000000000000003</v>
      </c>
      <c r="DV49" s="228">
        <v>0.26</v>
      </c>
      <c r="DW49" s="228">
        <v>0.02</v>
      </c>
      <c r="DX49" s="229">
        <v>7.6899999999999996E-2</v>
      </c>
      <c r="DY49" s="229">
        <v>8.3000000000000004E-2</v>
      </c>
      <c r="DZ49" s="230">
        <v>628500</v>
      </c>
      <c r="EA49" s="229">
        <v>4.7999999999999996E-3</v>
      </c>
      <c r="EB49" s="229">
        <v>8.3000000000000004E-2</v>
      </c>
      <c r="EC49" s="228">
        <v>20.89</v>
      </c>
      <c r="ED49" s="229">
        <v>3.8999999999999998E-3</v>
      </c>
      <c r="EE49" s="230">
        <v>301778</v>
      </c>
      <c r="EF49" s="230">
        <v>251458</v>
      </c>
      <c r="EG49" s="229">
        <v>0.2001</v>
      </c>
      <c r="EH49" s="229">
        <v>0.58360000000000001</v>
      </c>
      <c r="EI49" s="231">
        <v>364974.14</v>
      </c>
      <c r="EJ49" s="231">
        <v>91144.8</v>
      </c>
      <c r="EK49" s="231">
        <v>36674.980000000003</v>
      </c>
      <c r="EL49" s="228">
        <v>0</v>
      </c>
      <c r="EM49" s="231">
        <v>492793.92</v>
      </c>
      <c r="EN49" s="231">
        <v>349832.21</v>
      </c>
      <c r="EO49" s="231">
        <v>142961.71</v>
      </c>
      <c r="EP49" s="229">
        <v>0.40870000000000001</v>
      </c>
      <c r="EQ49" s="231">
        <v>484121</v>
      </c>
      <c r="ER49" s="231">
        <v>188444</v>
      </c>
      <c r="ES49" s="231">
        <v>444048</v>
      </c>
      <c r="ET49" s="231">
        <v>44787316</v>
      </c>
      <c r="EU49" s="231">
        <v>1116614</v>
      </c>
      <c r="EV49" s="231">
        <v>1127522</v>
      </c>
      <c r="EW49" s="231">
        <v>-10908</v>
      </c>
      <c r="EX49" s="229">
        <v>-9.7000000000000003E-3</v>
      </c>
      <c r="EY49" s="229">
        <v>0.44309999999999999</v>
      </c>
    </row>
    <row r="50" spans="1:155" ht="17.25" thickBot="1" x14ac:dyDescent="0.3">
      <c r="A50" s="226">
        <v>45860</v>
      </c>
      <c r="B50" s="227" t="s">
        <v>157</v>
      </c>
      <c r="C50" s="227" t="s">
        <v>302</v>
      </c>
      <c r="D50" s="231">
        <v>12400</v>
      </c>
      <c r="E50" s="231">
        <v>12581</v>
      </c>
      <c r="F50" s="228">
        <v>-181</v>
      </c>
      <c r="G50" s="229">
        <v>-1.44E-2</v>
      </c>
      <c r="H50" s="231">
        <v>12452</v>
      </c>
      <c r="I50" s="231">
        <v>12577</v>
      </c>
      <c r="J50" s="228">
        <v>-125</v>
      </c>
      <c r="K50" s="229">
        <v>-9.9000000000000008E-3</v>
      </c>
      <c r="L50" s="231">
        <v>12400</v>
      </c>
      <c r="M50" s="231">
        <v>12581</v>
      </c>
      <c r="N50" s="228">
        <v>-181</v>
      </c>
      <c r="O50" s="229">
        <v>-1.44E-2</v>
      </c>
      <c r="P50" s="231">
        <v>12456</v>
      </c>
      <c r="Q50" s="231">
        <v>12601</v>
      </c>
      <c r="R50" s="228">
        <v>-145</v>
      </c>
      <c r="S50" s="229">
        <v>-1.15E-2</v>
      </c>
      <c r="T50" s="228">
        <v>0</v>
      </c>
      <c r="U50" s="228">
        <v>0</v>
      </c>
      <c r="V50" s="228">
        <v>0</v>
      </c>
      <c r="W50" s="229">
        <v>0</v>
      </c>
      <c r="X50" s="228">
        <v>-52</v>
      </c>
      <c r="Y50" s="228">
        <v>4</v>
      </c>
      <c r="Z50" s="228">
        <v>-56</v>
      </c>
      <c r="AA50" s="229">
        <v>-4.1999999999999997E-3</v>
      </c>
      <c r="AB50" s="228">
        <v>-52</v>
      </c>
      <c r="AC50" s="228">
        <v>4</v>
      </c>
      <c r="AD50" s="228">
        <v>-56</v>
      </c>
      <c r="AE50" s="229">
        <v>-4.1999999999999997E-3</v>
      </c>
      <c r="AF50" s="228">
        <v>4</v>
      </c>
      <c r="AG50" s="228">
        <v>24</v>
      </c>
      <c r="AH50" s="228">
        <v>-20</v>
      </c>
      <c r="AI50" s="229">
        <v>2.9999999999999997E-4</v>
      </c>
      <c r="AJ50" s="228">
        <v>0</v>
      </c>
      <c r="AK50" s="228">
        <v>0</v>
      </c>
      <c r="AL50" s="228">
        <v>0</v>
      </c>
      <c r="AM50" s="229">
        <v>0</v>
      </c>
      <c r="AN50" s="231">
        <v>12412.7</v>
      </c>
      <c r="AO50" s="231">
        <v>12471.31</v>
      </c>
      <c r="AP50" s="228">
        <v>0</v>
      </c>
      <c r="AQ50" s="230">
        <v>17144</v>
      </c>
      <c r="AR50" s="230">
        <v>19736</v>
      </c>
      <c r="AS50" s="230">
        <v>-2592</v>
      </c>
      <c r="AT50" s="229">
        <v>-0.1313</v>
      </c>
      <c r="AU50" s="230">
        <v>14638</v>
      </c>
      <c r="AV50" s="230">
        <v>17484</v>
      </c>
      <c r="AW50" s="230">
        <v>-2846</v>
      </c>
      <c r="AX50" s="229">
        <v>-0.1628</v>
      </c>
      <c r="AY50" s="230">
        <v>2393</v>
      </c>
      <c r="AZ50" s="230">
        <v>2172</v>
      </c>
      <c r="BA50" s="228">
        <v>221</v>
      </c>
      <c r="BB50" s="229">
        <v>0.1017</v>
      </c>
      <c r="BC50" s="228">
        <v>0</v>
      </c>
      <c r="BD50" s="228">
        <v>0</v>
      </c>
      <c r="BE50" s="228">
        <v>0</v>
      </c>
      <c r="BF50" s="229">
        <v>0</v>
      </c>
      <c r="BG50" s="230">
        <v>142464</v>
      </c>
      <c r="BH50" s="230">
        <v>161608</v>
      </c>
      <c r="BI50" s="230">
        <v>-19144</v>
      </c>
      <c r="BJ50" s="229">
        <v>-0.11849999999999999</v>
      </c>
      <c r="BK50" s="230">
        <v>52788</v>
      </c>
      <c r="BL50" s="230">
        <v>61592</v>
      </c>
      <c r="BM50" s="230">
        <v>-8804</v>
      </c>
      <c r="BN50" s="229">
        <v>-0.1429</v>
      </c>
      <c r="BO50" s="230">
        <v>212396</v>
      </c>
      <c r="BP50" s="230">
        <v>242936</v>
      </c>
      <c r="BQ50" s="230">
        <v>-30540</v>
      </c>
      <c r="BR50" s="229">
        <v>-0.12570000000000001</v>
      </c>
      <c r="BS50" s="230">
        <v>543768</v>
      </c>
      <c r="BT50" s="230">
        <v>530218</v>
      </c>
      <c r="BU50" s="230">
        <v>13550</v>
      </c>
      <c r="BV50" s="229">
        <v>2.5600000000000001E-2</v>
      </c>
      <c r="BW50" s="230">
        <v>2665600</v>
      </c>
      <c r="BX50" s="230">
        <v>2740850</v>
      </c>
      <c r="BY50" s="230">
        <v>-75250</v>
      </c>
      <c r="BZ50" s="229">
        <v>-2.75E-2</v>
      </c>
      <c r="CA50" s="230">
        <v>1138400</v>
      </c>
      <c r="CB50" s="230">
        <v>1219000</v>
      </c>
      <c r="CC50" s="230">
        <v>-80600</v>
      </c>
      <c r="CD50" s="229">
        <v>-6.6100000000000006E-2</v>
      </c>
      <c r="CE50" s="230">
        <v>1520900</v>
      </c>
      <c r="CF50" s="230">
        <v>1516350</v>
      </c>
      <c r="CG50" s="230">
        <v>4550</v>
      </c>
      <c r="CH50" s="229">
        <v>3.0000000000000001E-3</v>
      </c>
      <c r="CI50" s="228">
        <v>0</v>
      </c>
      <c r="CJ50" s="228">
        <v>0</v>
      </c>
      <c r="CK50" s="228">
        <v>0</v>
      </c>
      <c r="CL50" s="229">
        <v>0</v>
      </c>
      <c r="CM50" s="230">
        <v>1913550</v>
      </c>
      <c r="CN50" s="230">
        <v>1481750</v>
      </c>
      <c r="CO50" s="230">
        <v>431800</v>
      </c>
      <c r="CP50" s="229">
        <v>0.29139999999999999</v>
      </c>
      <c r="CQ50" s="230">
        <v>811650</v>
      </c>
      <c r="CR50" s="230">
        <v>872150</v>
      </c>
      <c r="CS50" s="230">
        <v>-60500</v>
      </c>
      <c r="CT50" s="229">
        <v>-6.9400000000000003E-2</v>
      </c>
      <c r="CU50" s="230">
        <v>5390800</v>
      </c>
      <c r="CV50" s="230">
        <v>5094750</v>
      </c>
      <c r="CW50" s="230">
        <v>296050</v>
      </c>
      <c r="CX50" s="229">
        <v>5.8099999999999999E-2</v>
      </c>
      <c r="CY50" s="228">
        <v>22.43</v>
      </c>
      <c r="CZ50" s="228">
        <v>23.88</v>
      </c>
      <c r="DA50" s="228">
        <v>-1.45</v>
      </c>
      <c r="DB50" s="228">
        <v>-1.45</v>
      </c>
      <c r="DC50" s="228">
        <v>27.06</v>
      </c>
      <c r="DD50" s="228">
        <v>27.09</v>
      </c>
      <c r="DE50" s="228">
        <v>-4.63</v>
      </c>
      <c r="DF50" s="228">
        <v>-0.03</v>
      </c>
      <c r="DG50" s="228">
        <v>22.69</v>
      </c>
      <c r="DH50" s="228">
        <v>23.78</v>
      </c>
      <c r="DI50" s="228">
        <v>-1.0900000000000001</v>
      </c>
      <c r="DJ50" s="228">
        <v>-1.0900000000000001</v>
      </c>
      <c r="DK50" s="228">
        <v>21.72</v>
      </c>
      <c r="DL50" s="228">
        <v>24.16</v>
      </c>
      <c r="DM50" s="228">
        <v>-2.44</v>
      </c>
      <c r="DN50" s="228">
        <v>-2.44</v>
      </c>
      <c r="DO50" s="228">
        <v>0.42</v>
      </c>
      <c r="DP50" s="228">
        <v>0.59</v>
      </c>
      <c r="DQ50" s="228">
        <v>-0.17</v>
      </c>
      <c r="DR50" s="229">
        <v>-0.28810000000000002</v>
      </c>
      <c r="DS50" s="231">
        <v>13000</v>
      </c>
      <c r="DT50" s="231">
        <v>12000</v>
      </c>
      <c r="DU50" s="228">
        <v>0.37</v>
      </c>
      <c r="DV50" s="228">
        <v>0.38</v>
      </c>
      <c r="DW50" s="228">
        <v>-0.01</v>
      </c>
      <c r="DX50" s="229">
        <v>-2.63E-2</v>
      </c>
      <c r="DY50" s="229">
        <v>0.5706</v>
      </c>
      <c r="DZ50" s="230">
        <v>1516350</v>
      </c>
      <c r="EA50" s="229">
        <v>4.4999999999999997E-3</v>
      </c>
      <c r="EB50" s="229">
        <v>0.5706</v>
      </c>
      <c r="EC50" s="228">
        <v>58.61</v>
      </c>
      <c r="ED50" s="229">
        <v>4.7000000000000002E-3</v>
      </c>
      <c r="EE50" s="230">
        <v>234683</v>
      </c>
      <c r="EF50" s="230">
        <v>218724</v>
      </c>
      <c r="EG50" s="229">
        <v>7.2999999999999995E-2</v>
      </c>
      <c r="EH50" s="229">
        <v>0.43159999999999998</v>
      </c>
      <c r="EI50" s="231">
        <v>917581.28</v>
      </c>
      <c r="EJ50" s="231">
        <v>324308.53000000003</v>
      </c>
      <c r="EK50" s="231">
        <v>106477.24</v>
      </c>
      <c r="EL50" s="228">
        <v>0</v>
      </c>
      <c r="EM50" s="231">
        <v>1348367.05</v>
      </c>
      <c r="EN50" s="231">
        <v>1555109.7</v>
      </c>
      <c r="EO50" s="231">
        <v>-206742.65</v>
      </c>
      <c r="EP50" s="229">
        <v>-0.13289999999999999</v>
      </c>
      <c r="EQ50" s="231">
        <v>246984</v>
      </c>
      <c r="ER50" s="231">
        <v>94492</v>
      </c>
      <c r="ES50" s="231">
        <v>331394</v>
      </c>
      <c r="ET50" s="231">
        <v>23922935</v>
      </c>
      <c r="EU50" s="231">
        <v>672871</v>
      </c>
      <c r="EV50" s="231">
        <v>638878</v>
      </c>
      <c r="EW50" s="231">
        <v>33993</v>
      </c>
      <c r="EX50" s="229">
        <v>5.3199999999999997E-2</v>
      </c>
      <c r="EY50" s="229">
        <v>0.2253</v>
      </c>
    </row>
    <row r="51" spans="1:155" ht="17.25" thickBot="1" x14ac:dyDescent="0.3">
      <c r="A51" s="226">
        <v>45860</v>
      </c>
      <c r="B51" s="227" t="s">
        <v>221</v>
      </c>
      <c r="C51" s="227" t="s">
        <v>306</v>
      </c>
      <c r="D51" s="228">
        <v>254.55</v>
      </c>
      <c r="E51" s="228">
        <v>255.55</v>
      </c>
      <c r="F51" s="228">
        <v>-1</v>
      </c>
      <c r="G51" s="229">
        <v>-3.8999999999999998E-3</v>
      </c>
      <c r="H51" s="228">
        <v>259.7</v>
      </c>
      <c r="I51" s="228">
        <v>260.35000000000002</v>
      </c>
      <c r="J51" s="228">
        <v>-0.65</v>
      </c>
      <c r="K51" s="229">
        <v>-2.5000000000000001E-3</v>
      </c>
      <c r="L51" s="228">
        <v>254.55</v>
      </c>
      <c r="M51" s="228">
        <v>255.55</v>
      </c>
      <c r="N51" s="228">
        <v>-1</v>
      </c>
      <c r="O51" s="229">
        <v>-3.8999999999999998E-3</v>
      </c>
      <c r="P51" s="228">
        <v>255.35</v>
      </c>
      <c r="Q51" s="228">
        <v>256.60000000000002</v>
      </c>
      <c r="R51" s="228">
        <v>-1.25</v>
      </c>
      <c r="S51" s="229">
        <v>-4.8999999999999998E-3</v>
      </c>
      <c r="T51" s="228">
        <v>0</v>
      </c>
      <c r="U51" s="228">
        <v>0</v>
      </c>
      <c r="V51" s="228">
        <v>0</v>
      </c>
      <c r="W51" s="229">
        <v>0</v>
      </c>
      <c r="X51" s="228">
        <v>-5.15</v>
      </c>
      <c r="Y51" s="228">
        <v>-4.8</v>
      </c>
      <c r="Z51" s="228">
        <v>-0.35</v>
      </c>
      <c r="AA51" s="229">
        <v>-1.9800000000000002E-2</v>
      </c>
      <c r="AB51" s="228">
        <v>-5.15</v>
      </c>
      <c r="AC51" s="228">
        <v>-4.8</v>
      </c>
      <c r="AD51" s="228">
        <v>-0.35</v>
      </c>
      <c r="AE51" s="229">
        <v>-1.9800000000000002E-2</v>
      </c>
      <c r="AF51" s="228">
        <v>-4.3499999999999996</v>
      </c>
      <c r="AG51" s="228">
        <v>-3.75</v>
      </c>
      <c r="AH51" s="228">
        <v>-0.6</v>
      </c>
      <c r="AI51" s="229">
        <v>-1.6799999999999999E-2</v>
      </c>
      <c r="AJ51" s="228">
        <v>0</v>
      </c>
      <c r="AK51" s="228">
        <v>0</v>
      </c>
      <c r="AL51" s="228">
        <v>0</v>
      </c>
      <c r="AM51" s="229">
        <v>0</v>
      </c>
      <c r="AN51" s="228">
        <v>255.21</v>
      </c>
      <c r="AO51" s="228">
        <v>256</v>
      </c>
      <c r="AP51" s="228">
        <v>0</v>
      </c>
      <c r="AQ51" s="230">
        <v>4834</v>
      </c>
      <c r="AR51" s="230">
        <v>11261</v>
      </c>
      <c r="AS51" s="230">
        <v>-6427</v>
      </c>
      <c r="AT51" s="229">
        <v>-0.57069999999999999</v>
      </c>
      <c r="AU51" s="230">
        <v>3715</v>
      </c>
      <c r="AV51" s="230">
        <v>8674</v>
      </c>
      <c r="AW51" s="230">
        <v>-4959</v>
      </c>
      <c r="AX51" s="229">
        <v>-0.57169999999999999</v>
      </c>
      <c r="AY51" s="230">
        <v>1058</v>
      </c>
      <c r="AZ51" s="230">
        <v>2465</v>
      </c>
      <c r="BA51" s="230">
        <v>-1407</v>
      </c>
      <c r="BB51" s="229">
        <v>-0.57079999999999997</v>
      </c>
      <c r="BC51" s="228">
        <v>0</v>
      </c>
      <c r="BD51" s="228">
        <v>0</v>
      </c>
      <c r="BE51" s="228">
        <v>0</v>
      </c>
      <c r="BF51" s="229">
        <v>0</v>
      </c>
      <c r="BG51" s="230">
        <v>29226</v>
      </c>
      <c r="BH51" s="230">
        <v>58380</v>
      </c>
      <c r="BI51" s="230">
        <v>-29154</v>
      </c>
      <c r="BJ51" s="229">
        <v>-0.49940000000000001</v>
      </c>
      <c r="BK51" s="230">
        <v>8892</v>
      </c>
      <c r="BL51" s="230">
        <v>24345</v>
      </c>
      <c r="BM51" s="230">
        <v>-15453</v>
      </c>
      <c r="BN51" s="229">
        <v>-0.63480000000000003</v>
      </c>
      <c r="BO51" s="230">
        <v>42952</v>
      </c>
      <c r="BP51" s="230">
        <v>93986</v>
      </c>
      <c r="BQ51" s="230">
        <v>-51034</v>
      </c>
      <c r="BR51" s="229">
        <v>-0.54300000000000004</v>
      </c>
      <c r="BS51" s="230">
        <v>7052543</v>
      </c>
      <c r="BT51" s="230">
        <v>12642126</v>
      </c>
      <c r="BU51" s="230">
        <v>-5589583</v>
      </c>
      <c r="BV51" s="229">
        <v>-0.44209999999999999</v>
      </c>
      <c r="BW51" s="230">
        <v>108153000</v>
      </c>
      <c r="BX51" s="230">
        <v>108387000</v>
      </c>
      <c r="BY51" s="230">
        <v>-234000</v>
      </c>
      <c r="BZ51" s="229">
        <v>-2.2000000000000001E-3</v>
      </c>
      <c r="CA51" s="230">
        <v>94608000</v>
      </c>
      <c r="CB51" s="230">
        <v>95316000</v>
      </c>
      <c r="CC51" s="230">
        <v>-708000</v>
      </c>
      <c r="CD51" s="229">
        <v>-7.4000000000000003E-3</v>
      </c>
      <c r="CE51" s="230">
        <v>12243000</v>
      </c>
      <c r="CF51" s="230">
        <v>11835000</v>
      </c>
      <c r="CG51" s="230">
        <v>408000</v>
      </c>
      <c r="CH51" s="229">
        <v>3.4500000000000003E-2</v>
      </c>
      <c r="CI51" s="228">
        <v>0</v>
      </c>
      <c r="CJ51" s="228">
        <v>0</v>
      </c>
      <c r="CK51" s="228">
        <v>0</v>
      </c>
      <c r="CL51" s="229">
        <v>0</v>
      </c>
      <c r="CM51" s="230">
        <v>83124000</v>
      </c>
      <c r="CN51" s="230">
        <v>87435000</v>
      </c>
      <c r="CO51" s="230">
        <v>-4311000</v>
      </c>
      <c r="CP51" s="229">
        <v>-4.9299999999999997E-2</v>
      </c>
      <c r="CQ51" s="230">
        <v>43176000</v>
      </c>
      <c r="CR51" s="230">
        <v>43944000</v>
      </c>
      <c r="CS51" s="230">
        <v>-768000</v>
      </c>
      <c r="CT51" s="229">
        <v>-1.7500000000000002E-2</v>
      </c>
      <c r="CU51" s="230">
        <v>234453000</v>
      </c>
      <c r="CV51" s="230">
        <v>239766000</v>
      </c>
      <c r="CW51" s="230">
        <v>-5313000</v>
      </c>
      <c r="CX51" s="229">
        <v>-2.2200000000000001E-2</v>
      </c>
      <c r="CY51" s="228">
        <v>28.34</v>
      </c>
      <c r="CZ51" s="228">
        <v>29.03</v>
      </c>
      <c r="DA51" s="228">
        <v>-0.69</v>
      </c>
      <c r="DB51" s="228">
        <v>-0.69</v>
      </c>
      <c r="DC51" s="228">
        <v>32.630000000000003</v>
      </c>
      <c r="DD51" s="228">
        <v>32.71</v>
      </c>
      <c r="DE51" s="228">
        <v>-4.29</v>
      </c>
      <c r="DF51" s="228">
        <v>-0.08</v>
      </c>
      <c r="DG51" s="228">
        <v>29.07</v>
      </c>
      <c r="DH51" s="228">
        <v>29.98</v>
      </c>
      <c r="DI51" s="228">
        <v>-0.91</v>
      </c>
      <c r="DJ51" s="228">
        <v>-0.91</v>
      </c>
      <c r="DK51" s="228">
        <v>25.93</v>
      </c>
      <c r="DL51" s="228">
        <v>26.76</v>
      </c>
      <c r="DM51" s="228">
        <v>-0.83</v>
      </c>
      <c r="DN51" s="228">
        <v>-0.83</v>
      </c>
      <c r="DO51" s="228">
        <v>0.52</v>
      </c>
      <c r="DP51" s="228">
        <v>0.5</v>
      </c>
      <c r="DQ51" s="228">
        <v>0.02</v>
      </c>
      <c r="DR51" s="229">
        <v>0.04</v>
      </c>
      <c r="DS51" s="228">
        <v>270</v>
      </c>
      <c r="DT51" s="228">
        <v>250</v>
      </c>
      <c r="DU51" s="228">
        <v>0.3</v>
      </c>
      <c r="DV51" s="228">
        <v>0.42</v>
      </c>
      <c r="DW51" s="228">
        <v>-0.12</v>
      </c>
      <c r="DX51" s="229">
        <v>-0.28570000000000001</v>
      </c>
      <c r="DY51" s="229">
        <v>0.1132</v>
      </c>
      <c r="DZ51" s="230">
        <v>11835000</v>
      </c>
      <c r="EA51" s="229">
        <v>3.0999999999999999E-3</v>
      </c>
      <c r="EB51" s="229">
        <v>0.1132</v>
      </c>
      <c r="EC51" s="228">
        <v>0.79</v>
      </c>
      <c r="ED51" s="229">
        <v>3.0999999999999999E-3</v>
      </c>
      <c r="EE51" s="230">
        <v>3387022</v>
      </c>
      <c r="EF51" s="230">
        <v>4707861</v>
      </c>
      <c r="EG51" s="229">
        <v>-0.28060000000000002</v>
      </c>
      <c r="EH51" s="229">
        <v>0.4803</v>
      </c>
      <c r="EI51" s="231">
        <v>235292.95</v>
      </c>
      <c r="EJ51" s="231">
        <v>68881.87</v>
      </c>
      <c r="EK51" s="231">
        <v>37038.43</v>
      </c>
      <c r="EL51" s="228">
        <v>0</v>
      </c>
      <c r="EM51" s="231">
        <v>341213.25</v>
      </c>
      <c r="EN51" s="231">
        <v>749383.77</v>
      </c>
      <c r="EO51" s="231">
        <v>-408170.52</v>
      </c>
      <c r="EP51" s="229">
        <v>-0.54469999999999996</v>
      </c>
      <c r="EQ51" s="231">
        <v>227759</v>
      </c>
      <c r="ER51" s="231">
        <v>107990</v>
      </c>
      <c r="ES51" s="231">
        <v>275425</v>
      </c>
      <c r="ET51" s="231">
        <v>570590784</v>
      </c>
      <c r="EU51" s="231">
        <v>611174</v>
      </c>
      <c r="EV51" s="231">
        <v>626843</v>
      </c>
      <c r="EW51" s="231">
        <v>-15669</v>
      </c>
      <c r="EX51" s="229">
        <v>-2.5000000000000001E-2</v>
      </c>
      <c r="EY51" s="229">
        <v>0.41089999999999999</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J13" sqref="J13"/>
    </sheetView>
  </sheetViews>
  <sheetFormatPr defaultColWidth="13.7109375" defaultRowHeight="15" x14ac:dyDescent="0.25"/>
  <cols>
    <col min="1" max="1" width="23.85546875" customWidth="1"/>
    <col min="2" max="2" width="11" customWidth="1"/>
    <col min="3" max="6" width="11.140625" customWidth="1"/>
    <col min="7" max="7" width="9.28515625" customWidth="1"/>
    <col min="8" max="8" width="9.5703125" customWidth="1"/>
    <col min="9" max="9" width="12"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617</v>
      </c>
      <c r="B2" s="226">
        <v>45860</v>
      </c>
      <c r="C2" s="230">
        <v>7591709</v>
      </c>
      <c r="D2" s="230">
        <v>1361268</v>
      </c>
      <c r="E2" s="230">
        <v>7613923</v>
      </c>
      <c r="F2" s="230">
        <v>1361350</v>
      </c>
      <c r="G2" s="230">
        <v>-22214</v>
      </c>
      <c r="H2" s="228">
        <v>-82</v>
      </c>
      <c r="I2" s="230">
        <v>9773968</v>
      </c>
      <c r="J2" s="230">
        <v>1093578</v>
      </c>
      <c r="K2" s="230">
        <v>442084</v>
      </c>
      <c r="L2" s="230">
        <v>77869</v>
      </c>
      <c r="M2" s="230">
        <v>10216052</v>
      </c>
      <c r="N2" s="230">
        <v>1171447</v>
      </c>
      <c r="O2" s="61"/>
      <c r="P2" s="61"/>
      <c r="Q2" s="61"/>
      <c r="R2" s="61"/>
      <c r="S2" s="61"/>
      <c r="U2" t="s">
        <v>453</v>
      </c>
      <c r="V2">
        <f>SUM('Data Vlaue (Cr)'!CD:CD)</f>
        <v>463131</v>
      </c>
      <c r="W2" t="s">
        <v>454</v>
      </c>
    </row>
    <row r="3" spans="1:23" ht="17.25" thickBot="1" x14ac:dyDescent="0.3">
      <c r="A3" s="227" t="s">
        <v>618</v>
      </c>
      <c r="B3" s="226">
        <v>45860</v>
      </c>
      <c r="C3" s="230">
        <v>2650</v>
      </c>
      <c r="D3" s="228">
        <v>529</v>
      </c>
      <c r="E3" s="230">
        <v>3029</v>
      </c>
      <c r="F3" s="228">
        <v>604</v>
      </c>
      <c r="G3" s="228">
        <v>-379</v>
      </c>
      <c r="H3" s="228">
        <v>-75</v>
      </c>
      <c r="I3" s="230">
        <v>34103</v>
      </c>
      <c r="J3" s="230">
        <v>6804</v>
      </c>
      <c r="K3" s="228">
        <v>115</v>
      </c>
      <c r="L3" s="228">
        <v>2</v>
      </c>
      <c r="M3" s="230">
        <v>34218</v>
      </c>
      <c r="N3" s="230">
        <v>6806</v>
      </c>
      <c r="O3" s="61"/>
      <c r="P3" s="61"/>
      <c r="Q3" s="61"/>
      <c r="R3" s="61"/>
      <c r="S3" s="61"/>
      <c r="U3" t="s">
        <v>453</v>
      </c>
      <c r="V3">
        <f>SUM('Data shares'!CC:CC)</f>
        <v>11892777392</v>
      </c>
      <c r="W3" t="s">
        <v>455</v>
      </c>
    </row>
    <row r="4" spans="1:23" ht="17.25" thickBot="1" x14ac:dyDescent="0.3">
      <c r="A4" s="227" t="s">
        <v>619</v>
      </c>
      <c r="B4" s="226">
        <v>45860</v>
      </c>
      <c r="C4" s="230">
        <v>179412</v>
      </c>
      <c r="D4" s="230">
        <v>35824</v>
      </c>
      <c r="E4" s="230">
        <v>183709</v>
      </c>
      <c r="F4" s="230">
        <v>36630</v>
      </c>
      <c r="G4" s="230">
        <v>-4297</v>
      </c>
      <c r="H4" s="228">
        <v>-806</v>
      </c>
      <c r="I4" s="230">
        <v>226291</v>
      </c>
      <c r="J4" s="230">
        <v>45108</v>
      </c>
      <c r="K4" s="230">
        <v>15171</v>
      </c>
      <c r="L4" s="230">
        <v>2858</v>
      </c>
      <c r="M4" s="230">
        <v>241462</v>
      </c>
      <c r="N4" s="230">
        <v>47965</v>
      </c>
      <c r="O4" s="61"/>
      <c r="P4" s="61"/>
      <c r="Q4" s="61"/>
      <c r="R4" s="61"/>
      <c r="S4" s="61"/>
    </row>
    <row r="5" spans="1:23" ht="17.25" thickBot="1" x14ac:dyDescent="0.3">
      <c r="A5" s="227" t="s">
        <v>620</v>
      </c>
      <c r="B5" s="226">
        <v>45860</v>
      </c>
      <c r="C5" s="228">
        <v>43</v>
      </c>
      <c r="D5" s="228">
        <v>8</v>
      </c>
      <c r="E5" s="228">
        <v>47</v>
      </c>
      <c r="F5" s="228">
        <v>8</v>
      </c>
      <c r="G5" s="228">
        <v>-4</v>
      </c>
      <c r="H5" s="228">
        <v>-1</v>
      </c>
      <c r="I5" s="228">
        <v>605</v>
      </c>
      <c r="J5" s="228">
        <v>106</v>
      </c>
      <c r="K5" s="228">
        <v>6</v>
      </c>
      <c r="L5" s="228">
        <v>1</v>
      </c>
      <c r="M5" s="228">
        <v>611</v>
      </c>
      <c r="N5" s="228">
        <v>107</v>
      </c>
      <c r="O5" s="61"/>
      <c r="P5" s="61"/>
      <c r="Q5" s="61"/>
      <c r="R5" s="61"/>
      <c r="S5" s="61"/>
    </row>
    <row r="6" spans="1:23" ht="17.25" thickBot="1" x14ac:dyDescent="0.3">
      <c r="A6" s="227" t="s">
        <v>621</v>
      </c>
      <c r="B6" s="226">
        <v>45860</v>
      </c>
      <c r="C6" s="230">
        <v>17017</v>
      </c>
      <c r="D6" s="230">
        <v>2986</v>
      </c>
      <c r="E6" s="230">
        <v>15918</v>
      </c>
      <c r="F6" s="230">
        <v>2803</v>
      </c>
      <c r="G6" s="230">
        <v>1099</v>
      </c>
      <c r="H6" s="228">
        <v>183</v>
      </c>
      <c r="I6" s="230">
        <v>12467</v>
      </c>
      <c r="J6" s="230">
        <v>2187</v>
      </c>
      <c r="K6" s="228">
        <v>-867</v>
      </c>
      <c r="L6" s="228">
        <v>-152</v>
      </c>
      <c r="M6" s="230">
        <v>11600</v>
      </c>
      <c r="N6" s="230">
        <v>2035</v>
      </c>
      <c r="O6" s="61"/>
      <c r="P6" s="61"/>
      <c r="Q6" s="61"/>
      <c r="R6" s="61"/>
      <c r="S6" s="61"/>
    </row>
    <row r="7" spans="1:23" ht="17.25" thickBot="1" x14ac:dyDescent="0.3">
      <c r="A7" s="227" t="s">
        <v>622</v>
      </c>
      <c r="B7" s="226">
        <v>45860</v>
      </c>
      <c r="C7" s="230">
        <v>8437</v>
      </c>
      <c r="D7" s="230">
        <v>1616</v>
      </c>
      <c r="E7" s="230">
        <v>12647</v>
      </c>
      <c r="F7" s="230">
        <v>2413</v>
      </c>
      <c r="G7" s="230">
        <v>-4210</v>
      </c>
      <c r="H7" s="228">
        <v>-798</v>
      </c>
      <c r="I7" s="230">
        <v>208320</v>
      </c>
      <c r="J7" s="230">
        <v>39618</v>
      </c>
      <c r="K7" s="230">
        <v>1642</v>
      </c>
      <c r="L7" s="228">
        <v>223</v>
      </c>
      <c r="M7" s="230">
        <v>209962</v>
      </c>
      <c r="N7" s="230">
        <v>39841</v>
      </c>
    </row>
    <row r="8" spans="1:23" ht="17.25" thickBot="1" x14ac:dyDescent="0.3">
      <c r="A8" s="227" t="s">
        <v>623</v>
      </c>
      <c r="B8" s="226">
        <v>45860</v>
      </c>
      <c r="C8" s="230">
        <v>3469880</v>
      </c>
      <c r="D8" s="230">
        <v>655768</v>
      </c>
      <c r="E8" s="230">
        <v>3462403</v>
      </c>
      <c r="F8" s="230">
        <v>654271</v>
      </c>
      <c r="G8" s="230">
        <v>7477</v>
      </c>
      <c r="H8" s="230">
        <v>1497</v>
      </c>
      <c r="I8" s="230">
        <v>1499534</v>
      </c>
      <c r="J8" s="230">
        <v>284461</v>
      </c>
      <c r="K8" s="230">
        <v>207381</v>
      </c>
      <c r="L8" s="230">
        <v>38667</v>
      </c>
      <c r="M8" s="230">
        <v>1706915</v>
      </c>
      <c r="N8" s="230">
        <v>323128</v>
      </c>
    </row>
    <row r="9" spans="1:23" ht="17.25" thickBot="1" x14ac:dyDescent="0.3">
      <c r="A9" s="227" t="s">
        <v>624</v>
      </c>
      <c r="B9" s="226">
        <v>45860</v>
      </c>
      <c r="C9" s="228">
        <v>565</v>
      </c>
      <c r="D9" s="228">
        <v>105</v>
      </c>
      <c r="E9" s="228">
        <v>558</v>
      </c>
      <c r="F9" s="228">
        <v>104</v>
      </c>
      <c r="G9" s="228">
        <v>7</v>
      </c>
      <c r="H9" s="228">
        <v>1</v>
      </c>
      <c r="I9" s="230">
        <v>19682</v>
      </c>
      <c r="J9" s="230">
        <v>3675</v>
      </c>
      <c r="K9" s="228">
        <v>-485</v>
      </c>
      <c r="L9" s="228">
        <v>-122</v>
      </c>
      <c r="M9" s="230">
        <v>19197</v>
      </c>
      <c r="N9" s="230">
        <v>3553</v>
      </c>
    </row>
    <row r="10" spans="1:23" ht="17.25" thickBot="1" x14ac:dyDescent="0.3">
      <c r="A10" s="227" t="s">
        <v>625</v>
      </c>
      <c r="B10" s="226">
        <v>45860</v>
      </c>
      <c r="C10" s="230">
        <v>42360</v>
      </c>
      <c r="D10" s="230">
        <v>7932</v>
      </c>
      <c r="E10" s="230">
        <v>43005</v>
      </c>
      <c r="F10" s="230">
        <v>8058</v>
      </c>
      <c r="G10" s="228">
        <v>-645</v>
      </c>
      <c r="H10" s="228">
        <v>-126</v>
      </c>
      <c r="I10" s="230">
        <v>42165</v>
      </c>
      <c r="J10" s="230">
        <v>7852</v>
      </c>
      <c r="K10" s="228">
        <v>567</v>
      </c>
      <c r="L10" s="228">
        <v>49</v>
      </c>
      <c r="M10" s="230">
        <v>42732</v>
      </c>
      <c r="N10" s="230">
        <v>7901</v>
      </c>
    </row>
    <row r="11" spans="1:23" ht="17.25" thickBot="1" x14ac:dyDescent="0.3">
      <c r="A11" s="227" t="s">
        <v>626</v>
      </c>
      <c r="B11" s="226">
        <v>45860</v>
      </c>
      <c r="C11" s="230">
        <v>5060</v>
      </c>
      <c r="D11" s="228">
        <v>954</v>
      </c>
      <c r="E11" s="230">
        <v>8905</v>
      </c>
      <c r="F11" s="230">
        <v>1679</v>
      </c>
      <c r="G11" s="230">
        <v>-3845</v>
      </c>
      <c r="H11" s="228">
        <v>-725</v>
      </c>
      <c r="I11" s="230">
        <v>153358</v>
      </c>
      <c r="J11" s="230">
        <v>28934</v>
      </c>
      <c r="K11" s="230">
        <v>2017</v>
      </c>
      <c r="L11" s="228">
        <v>344</v>
      </c>
      <c r="M11" s="230">
        <v>155375</v>
      </c>
      <c r="N11" s="230">
        <v>29278</v>
      </c>
    </row>
    <row r="12" spans="1:23" ht="17.25" thickBot="1" x14ac:dyDescent="0.3">
      <c r="A12" s="227" t="s">
        <v>627</v>
      </c>
      <c r="B12" s="226">
        <v>45860</v>
      </c>
      <c r="C12" s="230">
        <v>3230994</v>
      </c>
      <c r="D12" s="230">
        <v>609010</v>
      </c>
      <c r="E12" s="230">
        <v>3219702</v>
      </c>
      <c r="F12" s="230">
        <v>606769</v>
      </c>
      <c r="G12" s="230">
        <v>11292</v>
      </c>
      <c r="H12" s="230">
        <v>2241</v>
      </c>
      <c r="I12" s="230">
        <v>1218393</v>
      </c>
      <c r="J12" s="230">
        <v>229278</v>
      </c>
      <c r="K12" s="230">
        <v>192542</v>
      </c>
      <c r="L12" s="230">
        <v>35917</v>
      </c>
      <c r="M12" s="230">
        <v>1410935</v>
      </c>
      <c r="N12" s="230">
        <v>265195</v>
      </c>
    </row>
    <row r="13" spans="1:23" ht="17.25" thickBot="1" x14ac:dyDescent="0.3">
      <c r="A13" s="227" t="s">
        <v>628</v>
      </c>
      <c r="B13" s="226">
        <v>45860</v>
      </c>
      <c r="C13" s="228">
        <v>119</v>
      </c>
      <c r="D13" s="228">
        <v>20</v>
      </c>
      <c r="E13" s="228">
        <v>108</v>
      </c>
      <c r="F13" s="228">
        <v>18</v>
      </c>
      <c r="G13" s="228">
        <v>11</v>
      </c>
      <c r="H13" s="228">
        <v>2</v>
      </c>
      <c r="I13" s="228">
        <v>572</v>
      </c>
      <c r="J13" s="228">
        <v>98</v>
      </c>
      <c r="K13" s="228">
        <v>-11</v>
      </c>
      <c r="L13" s="228">
        <v>-2</v>
      </c>
      <c r="M13" s="228">
        <v>561</v>
      </c>
      <c r="N13" s="228">
        <v>96</v>
      </c>
    </row>
    <row r="14" spans="1:23" ht="17.25" thickBot="1" x14ac:dyDescent="0.3">
      <c r="A14" s="227" t="s">
        <v>629</v>
      </c>
      <c r="B14" s="226">
        <v>45860</v>
      </c>
      <c r="C14" s="228">
        <v>97</v>
      </c>
      <c r="D14" s="228">
        <v>17</v>
      </c>
      <c r="E14" s="228">
        <v>69</v>
      </c>
      <c r="F14" s="228">
        <v>12</v>
      </c>
      <c r="G14" s="228">
        <v>28</v>
      </c>
      <c r="H14" s="228">
        <v>5</v>
      </c>
      <c r="I14" s="228">
        <v>218</v>
      </c>
      <c r="J14" s="228">
        <v>37</v>
      </c>
      <c r="K14" s="228">
        <v>-32</v>
      </c>
      <c r="L14" s="228">
        <v>-6</v>
      </c>
      <c r="M14" s="228">
        <v>186</v>
      </c>
      <c r="N14" s="228">
        <v>32</v>
      </c>
    </row>
    <row r="15" spans="1:23" ht="17.25" thickBot="1" x14ac:dyDescent="0.3">
      <c r="A15" s="227" t="s">
        <v>630</v>
      </c>
      <c r="B15" s="226">
        <v>45860</v>
      </c>
      <c r="C15" s="230">
        <v>265741</v>
      </c>
      <c r="D15" s="230">
        <v>18831</v>
      </c>
      <c r="E15" s="230">
        <v>294200</v>
      </c>
      <c r="F15" s="230">
        <v>20346</v>
      </c>
      <c r="G15" s="230">
        <v>-28459</v>
      </c>
      <c r="H15" s="230">
        <v>-1515</v>
      </c>
      <c r="I15" s="230">
        <v>5540556</v>
      </c>
      <c r="J15" s="230">
        <v>388350</v>
      </c>
      <c r="K15" s="230">
        <v>3677</v>
      </c>
      <c r="L15" s="230">
        <v>-1127</v>
      </c>
      <c r="M15" s="230">
        <v>5544233</v>
      </c>
      <c r="N15" s="230">
        <v>387224</v>
      </c>
    </row>
    <row r="16" spans="1:23" ht="17.25" thickBot="1" x14ac:dyDescent="0.3">
      <c r="A16" s="227" t="s">
        <v>631</v>
      </c>
      <c r="B16" s="226">
        <v>45860</v>
      </c>
      <c r="C16" s="230">
        <v>369334</v>
      </c>
      <c r="D16" s="230">
        <v>27669</v>
      </c>
      <c r="E16" s="230">
        <v>369623</v>
      </c>
      <c r="F16" s="230">
        <v>27634</v>
      </c>
      <c r="G16" s="228">
        <v>-289</v>
      </c>
      <c r="H16" s="228">
        <v>34</v>
      </c>
      <c r="I16" s="230">
        <v>817704</v>
      </c>
      <c r="J16" s="230">
        <v>57069</v>
      </c>
      <c r="K16" s="230">
        <v>20361</v>
      </c>
      <c r="L16" s="230">
        <v>1217</v>
      </c>
      <c r="M16" s="230">
        <v>838065</v>
      </c>
      <c r="N16" s="230">
        <v>58287</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7" activePane="bottomLeft" state="frozen"/>
      <selection activeCell="A6" sqref="A6:S6"/>
      <selection pane="bottomLeft" activeCell="Q14" sqref="Q14"/>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57" t="s">
        <v>325</v>
      </c>
      <c r="B3" s="258"/>
      <c r="C3" s="258"/>
      <c r="D3" s="258"/>
      <c r="E3" s="258"/>
      <c r="F3" s="258"/>
      <c r="G3" s="258"/>
      <c r="H3" s="258"/>
      <c r="I3" s="258"/>
      <c r="J3" s="258"/>
      <c r="K3" s="258"/>
      <c r="L3" s="258"/>
      <c r="M3" s="258"/>
      <c r="N3" s="258"/>
      <c r="O3" s="258"/>
      <c r="P3" s="258"/>
      <c r="Q3" s="259"/>
    </row>
    <row r="4" spans="1:17" s="64" customFormat="1" x14ac:dyDescent="0.25">
      <c r="A4" s="260"/>
      <c r="B4" s="260" t="s">
        <v>308</v>
      </c>
      <c r="C4" s="260"/>
      <c r="D4" s="262"/>
      <c r="E4" s="262"/>
      <c r="F4" s="260" t="s">
        <v>326</v>
      </c>
      <c r="G4" s="260"/>
      <c r="H4" s="260"/>
      <c r="I4" s="260" t="s">
        <v>327</v>
      </c>
      <c r="J4" s="260"/>
      <c r="K4" s="260"/>
      <c r="L4" s="260" t="s">
        <v>311</v>
      </c>
      <c r="M4" s="260"/>
      <c r="N4" s="260"/>
      <c r="O4" s="260"/>
      <c r="P4" s="260"/>
      <c r="Q4" s="260"/>
    </row>
    <row r="5" spans="1:17" s="64" customFormat="1" x14ac:dyDescent="0.25">
      <c r="A5" s="261"/>
      <c r="B5" s="73" t="s">
        <v>312</v>
      </c>
      <c r="C5" s="261" t="s">
        <v>313</v>
      </c>
      <c r="D5" s="264"/>
      <c r="E5" s="264"/>
      <c r="F5" s="261" t="s">
        <v>314</v>
      </c>
      <c r="G5" s="261"/>
      <c r="H5" s="261"/>
      <c r="I5" s="261" t="s">
        <v>315</v>
      </c>
      <c r="J5" s="261"/>
      <c r="K5" s="261"/>
      <c r="L5" s="261" t="s">
        <v>316</v>
      </c>
      <c r="M5" s="261"/>
      <c r="N5" s="261"/>
      <c r="O5" s="261" t="s">
        <v>317</v>
      </c>
      <c r="P5" s="261"/>
      <c r="Q5" s="261"/>
    </row>
    <row r="6" spans="1:17" s="72" customFormat="1" ht="33.75" x14ac:dyDescent="0.25">
      <c r="A6" s="71" t="s">
        <v>558</v>
      </c>
      <c r="B6" s="66">
        <f>'Snapshot (Value)'!C10</f>
        <v>45860</v>
      </c>
      <c r="C6" s="66">
        <f>'Snapshot (Value)'!D10</f>
        <v>45860</v>
      </c>
      <c r="D6" s="71" t="s">
        <v>322</v>
      </c>
      <c r="E6" s="71" t="s">
        <v>328</v>
      </c>
      <c r="F6" s="66">
        <f>C6</f>
        <v>45860</v>
      </c>
      <c r="G6" s="71" t="s">
        <v>322</v>
      </c>
      <c r="H6" s="71" t="s">
        <v>328</v>
      </c>
      <c r="I6" s="66">
        <f>C6</f>
        <v>45860</v>
      </c>
      <c r="J6" s="71" t="s">
        <v>322</v>
      </c>
      <c r="K6" s="71" t="s">
        <v>328</v>
      </c>
      <c r="L6" s="66">
        <f>C6</f>
        <v>45860</v>
      </c>
      <c r="M6" s="71" t="s">
        <v>322</v>
      </c>
      <c r="N6" s="71" t="s">
        <v>328</v>
      </c>
      <c r="O6" s="66">
        <f>C6</f>
        <v>45860</v>
      </c>
      <c r="P6" s="71" t="s">
        <v>322</v>
      </c>
      <c r="Q6" s="71" t="s">
        <v>328</v>
      </c>
    </row>
    <row r="7" spans="1:17" x14ac:dyDescent="0.25">
      <c r="A7" s="97" t="str">
        <f>'Data Vlaue (Cr)'!C2</f>
        <v>360ONE</v>
      </c>
      <c r="B7" s="140">
        <f>VLOOKUP($A7,'Data shares'!$C:$FB,7)</f>
        <v>1144.0999999999999</v>
      </c>
      <c r="C7" s="140">
        <f>VLOOKUP($A7,'Data shares'!$C:$FB,3)</f>
        <v>1143.2</v>
      </c>
      <c r="D7" s="140">
        <f>VLOOKUP($A7,'Data shares'!$C:$FB,4)</f>
        <v>1223.4000000000001</v>
      </c>
      <c r="E7" s="50">
        <f>(C7-D7)/D7*100</f>
        <v>-6.5555010626123957</v>
      </c>
      <c r="F7" s="49">
        <f>VLOOKUP($A7,'Data shares'!$C:$FB,98)</f>
        <v>7964500</v>
      </c>
      <c r="G7" s="49">
        <f>VLOOKUP($A7,'Data shares'!$C:$FB,99)</f>
        <v>3379500</v>
      </c>
      <c r="H7" s="50">
        <f>(F7-G7)/G7*100</f>
        <v>135.67095724219561</v>
      </c>
      <c r="I7" s="49">
        <f>VLOOKUP($A7,'Data shares'!$C:$FB,66)</f>
        <v>22201000</v>
      </c>
      <c r="J7" s="49">
        <f>VLOOKUP($A7,'Data shares'!$C:$FB,67)</f>
        <v>3594000</v>
      </c>
      <c r="K7" s="50">
        <f>(I7-J7)/I7*100</f>
        <v>83.811540020719789</v>
      </c>
      <c r="L7" s="50">
        <f>VLOOKUP($A7,'Data shares'!$C:$FB,118)</f>
        <v>0.59</v>
      </c>
      <c r="M7" s="50">
        <f>VLOOKUP($A7,'Data shares'!$C:$FB,119)</f>
        <v>0.55000000000000004</v>
      </c>
      <c r="N7" s="50">
        <f>VLOOKUP($A7,'Data shares'!$C:$FB,121)*100</f>
        <v>7.2700000000000005</v>
      </c>
      <c r="O7" s="50">
        <f>VLOOKUP($A7,'Data shares'!$C:$FB,124)</f>
        <v>0.77</v>
      </c>
      <c r="P7" s="50">
        <f>VLOOKUP($A7,'Data shares'!$C:$FB,125)</f>
        <v>0.27</v>
      </c>
      <c r="Q7" s="50">
        <f>VLOOKUP($A7,'Data shares'!$C:$FB,127)*100</f>
        <v>185.19</v>
      </c>
    </row>
    <row r="8" spans="1:17" x14ac:dyDescent="0.25">
      <c r="A8" s="97" t="str">
        <f>'Data Vlaue (Cr)'!C3</f>
        <v>AARTIIND</v>
      </c>
      <c r="B8" s="140">
        <f>VLOOKUP($A8,'Data shares'!$C:$FB,7)</f>
        <v>422.95</v>
      </c>
      <c r="C8" s="140">
        <f>VLOOKUP($A8,'Data shares'!$C:$FB,3)</f>
        <v>423.7</v>
      </c>
      <c r="D8" s="140">
        <f>VLOOKUP($A8,'Data shares'!$C:$FB,4)</f>
        <v>442.85</v>
      </c>
      <c r="E8" s="50">
        <f t="shared" ref="E8:E71" si="0">(C8-D8)/D8*100</f>
        <v>-4.3242632945692749</v>
      </c>
      <c r="F8" s="49">
        <f>VLOOKUP($A8,'Data shares'!$C:$FB,98)</f>
        <v>35618650</v>
      </c>
      <c r="G8" s="49">
        <f>VLOOKUP($A8,'Data shares'!$C:$FB,99)</f>
        <v>28237075</v>
      </c>
      <c r="H8" s="50">
        <f t="shared" ref="H8:H71" si="1">(F8-G8)/G8*100</f>
        <v>26.141429308807655</v>
      </c>
      <c r="I8" s="49">
        <f>VLOOKUP($A8,'Data shares'!$C:$FB,66)</f>
        <v>44213925</v>
      </c>
      <c r="J8" s="49">
        <f>VLOOKUP($A8,'Data shares'!$C:$FB,67)</f>
        <v>12156875</v>
      </c>
      <c r="K8" s="50">
        <f t="shared" ref="K8:K71" si="2">(I8-J8)/I8*100</f>
        <v>72.50442027031076</v>
      </c>
      <c r="L8" s="50">
        <f>VLOOKUP($A8,'Data shares'!$C:$FB,118)</f>
        <v>0.25</v>
      </c>
      <c r="M8" s="50">
        <f>VLOOKUP($A8,'Data shares'!$C:$FB,119)</f>
        <v>0.34</v>
      </c>
      <c r="N8" s="50">
        <f>VLOOKUP($A8,'Data shares'!$C:$FB,121)*100</f>
        <v>-26.47</v>
      </c>
      <c r="O8" s="50">
        <f>VLOOKUP($A8,'Data shares'!$C:$FB,124)</f>
        <v>0.51</v>
      </c>
      <c r="P8" s="50">
        <f>VLOOKUP($A8,'Data shares'!$C:$FB,125)</f>
        <v>0.21</v>
      </c>
      <c r="Q8" s="50">
        <f>VLOOKUP($A8,'Data shares'!$C:$FB,127)*100</f>
        <v>142.86000000000001</v>
      </c>
    </row>
    <row r="9" spans="1:17" x14ac:dyDescent="0.25">
      <c r="A9" s="97" t="str">
        <f>'Data Vlaue (Cr)'!C4</f>
        <v>ABB</v>
      </c>
      <c r="B9" s="140">
        <f>VLOOKUP($A9,'Data shares'!$C:$FB,7)</f>
        <v>5755</v>
      </c>
      <c r="C9" s="140">
        <f>VLOOKUP($A9,'Data shares'!$C:$FB,3)</f>
        <v>5766</v>
      </c>
      <c r="D9" s="140">
        <f>VLOOKUP($A9,'Data shares'!$C:$FB,4)</f>
        <v>5852</v>
      </c>
      <c r="E9" s="50">
        <f t="shared" si="0"/>
        <v>-1.4695830485304171</v>
      </c>
      <c r="F9" s="49">
        <f>VLOOKUP($A9,'Data shares'!$C:$FB,98)</f>
        <v>5803000</v>
      </c>
      <c r="G9" s="49">
        <f>VLOOKUP($A9,'Data shares'!$C:$FB,99)</f>
        <v>5781750</v>
      </c>
      <c r="H9" s="50">
        <f t="shared" si="1"/>
        <v>0.3675357806892377</v>
      </c>
      <c r="I9" s="49">
        <f>VLOOKUP($A9,'Data shares'!$C:$FB,66)</f>
        <v>3811750</v>
      </c>
      <c r="J9" s="49">
        <f>VLOOKUP($A9,'Data shares'!$C:$FB,67)</f>
        <v>8792000</v>
      </c>
      <c r="K9" s="50">
        <f t="shared" si="2"/>
        <v>-130.65521086115302</v>
      </c>
      <c r="L9" s="50">
        <f>VLOOKUP($A9,'Data shares'!$C:$FB,118)</f>
        <v>0.56000000000000005</v>
      </c>
      <c r="M9" s="50">
        <f>VLOOKUP($A9,'Data shares'!$C:$FB,119)</f>
        <v>0.62</v>
      </c>
      <c r="N9" s="50">
        <f>VLOOKUP($A9,'Data shares'!$C:$FB,121)*100</f>
        <v>-9.68</v>
      </c>
      <c r="O9" s="50">
        <f>VLOOKUP($A9,'Data shares'!$C:$FB,124)</f>
        <v>0.61</v>
      </c>
      <c r="P9" s="50">
        <f>VLOOKUP($A9,'Data shares'!$C:$FB,125)</f>
        <v>0.4</v>
      </c>
      <c r="Q9" s="50">
        <f>VLOOKUP($A9,'Data shares'!$C:$FB,127)*100</f>
        <v>52.5</v>
      </c>
    </row>
    <row r="10" spans="1:17" x14ac:dyDescent="0.25">
      <c r="A10" s="97" t="str">
        <f>'Data Vlaue (Cr)'!C5</f>
        <v>ABCAPITAL</v>
      </c>
      <c r="B10" s="140">
        <f>VLOOKUP($A10,'Data shares'!$C:$FB,7)</f>
        <v>268.55</v>
      </c>
      <c r="C10" s="140">
        <f>VLOOKUP($A10,'Data shares'!$C:$FB,3)</f>
        <v>269.39999999999998</v>
      </c>
      <c r="D10" s="140">
        <f>VLOOKUP($A10,'Data shares'!$C:$FB,4)</f>
        <v>272.25</v>
      </c>
      <c r="E10" s="50">
        <f t="shared" si="0"/>
        <v>-1.0468319559228734</v>
      </c>
      <c r="F10" s="49">
        <f>VLOOKUP($A10,'Data shares'!$C:$FB,98)</f>
        <v>91639100</v>
      </c>
      <c r="G10" s="49">
        <f>VLOOKUP($A10,'Data shares'!$C:$FB,99)</f>
        <v>92342800</v>
      </c>
      <c r="H10" s="50">
        <f t="shared" si="1"/>
        <v>-0.76205183295286694</v>
      </c>
      <c r="I10" s="49">
        <f>VLOOKUP($A10,'Data shares'!$C:$FB,66)</f>
        <v>29422100</v>
      </c>
      <c r="J10" s="49">
        <f>VLOOKUP($A10,'Data shares'!$C:$FB,67)</f>
        <v>47222300</v>
      </c>
      <c r="K10" s="50">
        <f t="shared" si="2"/>
        <v>-60.499420503635029</v>
      </c>
      <c r="L10" s="50">
        <f>VLOOKUP($A10,'Data shares'!$C:$FB,118)</f>
        <v>0.6</v>
      </c>
      <c r="M10" s="50">
        <f>VLOOKUP($A10,'Data shares'!$C:$FB,119)</f>
        <v>0.6</v>
      </c>
      <c r="N10" s="50">
        <f>VLOOKUP($A10,'Data shares'!$C:$FB,121)*100</f>
        <v>0</v>
      </c>
      <c r="O10" s="50">
        <f>VLOOKUP($A10,'Data shares'!$C:$FB,124)</f>
        <v>0.56000000000000005</v>
      </c>
      <c r="P10" s="50">
        <f>VLOOKUP($A10,'Data shares'!$C:$FB,125)</f>
        <v>0.64</v>
      </c>
      <c r="Q10" s="50">
        <f>VLOOKUP($A10,'Data shares'!$C:$FB,127)*100</f>
        <v>-12.5</v>
      </c>
    </row>
    <row r="11" spans="1:17" x14ac:dyDescent="0.25">
      <c r="A11" s="97" t="str">
        <f>'Data Vlaue (Cr)'!C6</f>
        <v>ABFRL</v>
      </c>
      <c r="B11" s="140">
        <f>VLOOKUP($A11,'Data shares'!$C:$FB,7)</f>
        <v>75.64</v>
      </c>
      <c r="C11" s="140">
        <f>VLOOKUP($A11,'Data shares'!$C:$FB,3)</f>
        <v>75.64</v>
      </c>
      <c r="D11" s="140">
        <f>VLOOKUP($A11,'Data shares'!$C:$FB,4)</f>
        <v>75.209999999999994</v>
      </c>
      <c r="E11" s="50">
        <f t="shared" si="0"/>
        <v>0.57173248238267105</v>
      </c>
      <c r="F11" s="49">
        <f>VLOOKUP($A11,'Data shares'!$C:$FB,98)</f>
        <v>110715800</v>
      </c>
      <c r="G11" s="49">
        <f>VLOOKUP($A11,'Data shares'!$C:$FB,99)</f>
        <v>111514000</v>
      </c>
      <c r="H11" s="50">
        <f t="shared" si="1"/>
        <v>-0.71578456516670552</v>
      </c>
      <c r="I11" s="49">
        <f>VLOOKUP($A11,'Data shares'!$C:$FB,66)</f>
        <v>21424000</v>
      </c>
      <c r="J11" s="49">
        <f>VLOOKUP($A11,'Data shares'!$C:$FB,67)</f>
        <v>17654000</v>
      </c>
      <c r="K11" s="50">
        <f t="shared" si="2"/>
        <v>17.597087378640776</v>
      </c>
      <c r="L11" s="50">
        <f>VLOOKUP($A11,'Data shares'!$C:$FB,118)</f>
        <v>0.7</v>
      </c>
      <c r="M11" s="50">
        <f>VLOOKUP($A11,'Data shares'!$C:$FB,119)</f>
        <v>0.68</v>
      </c>
      <c r="N11" s="50">
        <f>VLOOKUP($A11,'Data shares'!$C:$FB,121)*100</f>
        <v>2.94</v>
      </c>
      <c r="O11" s="50">
        <f>VLOOKUP($A11,'Data shares'!$C:$FB,124)</f>
        <v>0.26</v>
      </c>
      <c r="P11" s="50">
        <f>VLOOKUP($A11,'Data shares'!$C:$FB,125)</f>
        <v>0.31</v>
      </c>
      <c r="Q11" s="50">
        <f>VLOOKUP($A11,'Data shares'!$C:$FB,127)*100</f>
        <v>-16.13</v>
      </c>
    </row>
    <row r="12" spans="1:17" x14ac:dyDescent="0.25">
      <c r="A12" s="97" t="str">
        <f>'Data Vlaue (Cr)'!C7</f>
        <v>ACC</v>
      </c>
      <c r="B12" s="140">
        <f>VLOOKUP($A12,'Data shares'!$C:$FB,7)</f>
        <v>1958.9</v>
      </c>
      <c r="C12" s="140">
        <f>VLOOKUP($A12,'Data shares'!$C:$FB,3)</f>
        <v>1959.7</v>
      </c>
      <c r="D12" s="140">
        <f>VLOOKUP($A12,'Data shares'!$C:$FB,4)</f>
        <v>1980.6</v>
      </c>
      <c r="E12" s="50">
        <f t="shared" si="0"/>
        <v>-1.0552357871352047</v>
      </c>
      <c r="F12" s="49">
        <f>VLOOKUP($A12,'Data shares'!$C:$FB,98)</f>
        <v>6754800</v>
      </c>
      <c r="G12" s="49">
        <f>VLOOKUP($A12,'Data shares'!$C:$FB,99)</f>
        <v>6691800</v>
      </c>
      <c r="H12" s="50">
        <f t="shared" si="1"/>
        <v>0.94145073074509089</v>
      </c>
      <c r="I12" s="49">
        <f>VLOOKUP($A12,'Data shares'!$C:$FB,66)</f>
        <v>2491800</v>
      </c>
      <c r="J12" s="49">
        <f>VLOOKUP($A12,'Data shares'!$C:$FB,67)</f>
        <v>2193600</v>
      </c>
      <c r="K12" s="50">
        <f t="shared" si="2"/>
        <v>11.967252588490249</v>
      </c>
      <c r="L12" s="50">
        <f>VLOOKUP($A12,'Data shares'!$C:$FB,118)</f>
        <v>0.63</v>
      </c>
      <c r="M12" s="50">
        <f>VLOOKUP($A12,'Data shares'!$C:$FB,119)</f>
        <v>0.62</v>
      </c>
      <c r="N12" s="50">
        <f>VLOOKUP($A12,'Data shares'!$C:$FB,121)*100</f>
        <v>1.6099999999999999</v>
      </c>
      <c r="O12" s="50">
        <f>VLOOKUP($A12,'Data shares'!$C:$FB,124)</f>
        <v>0.23</v>
      </c>
      <c r="P12" s="50">
        <f>VLOOKUP($A12,'Data shares'!$C:$FB,125)</f>
        <v>0.27</v>
      </c>
      <c r="Q12" s="50">
        <f>VLOOKUP($A12,'Data shares'!$C:$FB,127)*100</f>
        <v>-14.81</v>
      </c>
    </row>
    <row r="13" spans="1:17" x14ac:dyDescent="0.25">
      <c r="A13" s="97" t="str">
        <f>'Data Vlaue (Cr)'!C8</f>
        <v>ADANIENSOL</v>
      </c>
      <c r="B13" s="140">
        <f>VLOOKUP($A13,'Data shares'!$C:$FB,7)</f>
        <v>867.2</v>
      </c>
      <c r="C13" s="140">
        <f>VLOOKUP($A13,'Data shares'!$C:$FB,3)</f>
        <v>867.45</v>
      </c>
      <c r="D13" s="140">
        <f>VLOOKUP($A13,'Data shares'!$C:$FB,4)</f>
        <v>873.85</v>
      </c>
      <c r="E13" s="50">
        <f t="shared" si="0"/>
        <v>-0.73239114264461602</v>
      </c>
      <c r="F13" s="49">
        <f>VLOOKUP($A13,'Data shares'!$C:$FB,98)</f>
        <v>25981425</v>
      </c>
      <c r="G13" s="49">
        <f>VLOOKUP($A13,'Data shares'!$C:$FB,99)</f>
        <v>26239275</v>
      </c>
      <c r="H13" s="50">
        <f t="shared" si="1"/>
        <v>-0.98268721220384336</v>
      </c>
      <c r="I13" s="49">
        <f>VLOOKUP($A13,'Data shares'!$C:$FB,66)</f>
        <v>3111750</v>
      </c>
      <c r="J13" s="49">
        <f>VLOOKUP($A13,'Data shares'!$C:$FB,67)</f>
        <v>4739850</v>
      </c>
      <c r="K13" s="50">
        <f t="shared" si="2"/>
        <v>-52.321041214750544</v>
      </c>
      <c r="L13" s="50">
        <f>VLOOKUP($A13,'Data shares'!$C:$FB,118)</f>
        <v>0.68</v>
      </c>
      <c r="M13" s="50">
        <f>VLOOKUP($A13,'Data shares'!$C:$FB,119)</f>
        <v>0.67</v>
      </c>
      <c r="N13" s="50">
        <f>VLOOKUP($A13,'Data shares'!$C:$FB,121)*100</f>
        <v>1.49</v>
      </c>
      <c r="O13" s="50">
        <f>VLOOKUP($A13,'Data shares'!$C:$FB,124)</f>
        <v>0.26</v>
      </c>
      <c r="P13" s="50">
        <f>VLOOKUP($A13,'Data shares'!$C:$FB,125)</f>
        <v>0.46</v>
      </c>
      <c r="Q13" s="50">
        <f>VLOOKUP($A13,'Data shares'!$C:$FB,127)*100</f>
        <v>-43.480000000000004</v>
      </c>
    </row>
    <row r="14" spans="1:17" x14ac:dyDescent="0.25">
      <c r="A14" s="97" t="str">
        <f>'Data Vlaue (Cr)'!C9</f>
        <v>ADANIENT</v>
      </c>
      <c r="B14" s="140">
        <f>VLOOKUP($A14,'Data shares'!$C:$FB,7)</f>
        <v>2587.8000000000002</v>
      </c>
      <c r="C14" s="140">
        <f>VLOOKUP($A14,'Data shares'!$C:$FB,3)</f>
        <v>2594.5</v>
      </c>
      <c r="D14" s="140">
        <f>VLOOKUP($A14,'Data shares'!$C:$FB,4)</f>
        <v>2625.8</v>
      </c>
      <c r="E14" s="50">
        <f>(C14-D14)/D14*100</f>
        <v>-1.1920176708050949</v>
      </c>
      <c r="F14" s="49">
        <f>VLOOKUP($A14,'Data shares'!$C:$FB,98)</f>
        <v>33225000</v>
      </c>
      <c r="G14" s="49">
        <f>VLOOKUP($A14,'Data shares'!$C:$FB,99)</f>
        <v>33064800</v>
      </c>
      <c r="H14" s="50">
        <f t="shared" si="1"/>
        <v>0.4845031574363069</v>
      </c>
      <c r="I14" s="49">
        <f>VLOOKUP($A14,'Data shares'!$C:$FB,66)</f>
        <v>7468500</v>
      </c>
      <c r="J14" s="49">
        <f>VLOOKUP($A14,'Data shares'!$C:$FB,67)</f>
        <v>7882800</v>
      </c>
      <c r="K14" s="50">
        <f t="shared" si="2"/>
        <v>-5.5472986543482632</v>
      </c>
      <c r="L14" s="50">
        <f>VLOOKUP($A14,'Data shares'!$C:$FB,118)</f>
        <v>0.82</v>
      </c>
      <c r="M14" s="50">
        <f>VLOOKUP($A14,'Data shares'!$C:$FB,119)</f>
        <v>0.84</v>
      </c>
      <c r="N14" s="50">
        <f>VLOOKUP($A14,'Data shares'!$C:$FB,121)*100</f>
        <v>-2.3800000000000003</v>
      </c>
      <c r="O14" s="50">
        <f>VLOOKUP($A14,'Data shares'!$C:$FB,124)</f>
        <v>0.46</v>
      </c>
      <c r="P14" s="50">
        <f>VLOOKUP($A14,'Data shares'!$C:$FB,125)</f>
        <v>0.55000000000000004</v>
      </c>
      <c r="Q14" s="50">
        <f>VLOOKUP($A14,'Data shares'!$C:$FB,127)*100</f>
        <v>-16.36</v>
      </c>
    </row>
    <row r="15" spans="1:17" x14ac:dyDescent="0.25">
      <c r="A15" s="97" t="str">
        <f>'Data Vlaue (Cr)'!C10</f>
        <v>ADANIGREEN</v>
      </c>
      <c r="B15" s="140">
        <f>VLOOKUP($A15,'Data shares'!$C:$FB,7)</f>
        <v>1013.7</v>
      </c>
      <c r="C15" s="140">
        <f>VLOOKUP($A15,'Data shares'!$C:$FB,3)</f>
        <v>1016.2</v>
      </c>
      <c r="D15" s="140">
        <f>VLOOKUP($A15,'Data shares'!$C:$FB,4)</f>
        <v>1038.7</v>
      </c>
      <c r="E15" s="50">
        <f t="shared" si="0"/>
        <v>-2.1661692500240686</v>
      </c>
      <c r="F15" s="49">
        <f>VLOOKUP($A15,'Data shares'!$C:$FB,98)</f>
        <v>32196000</v>
      </c>
      <c r="G15" s="49">
        <f>VLOOKUP($A15,'Data shares'!$C:$FB,99)</f>
        <v>32635800</v>
      </c>
      <c r="H15" s="50">
        <f t="shared" si="1"/>
        <v>-1.3475998749839133</v>
      </c>
      <c r="I15" s="49">
        <f>VLOOKUP($A15,'Data shares'!$C:$FB,66)</f>
        <v>15100200</v>
      </c>
      <c r="J15" s="49">
        <f>VLOOKUP($A15,'Data shares'!$C:$FB,67)</f>
        <v>8604600</v>
      </c>
      <c r="K15" s="50">
        <f t="shared" si="2"/>
        <v>43.016648786108789</v>
      </c>
      <c r="L15" s="50">
        <f>VLOOKUP($A15,'Data shares'!$C:$FB,118)</f>
        <v>0.61</v>
      </c>
      <c r="M15" s="50">
        <f>VLOOKUP($A15,'Data shares'!$C:$FB,119)</f>
        <v>0.55000000000000004</v>
      </c>
      <c r="N15" s="50">
        <f>VLOOKUP($A15,'Data shares'!$C:$FB,121)*100</f>
        <v>10.91</v>
      </c>
      <c r="O15" s="50">
        <f>VLOOKUP($A15,'Data shares'!$C:$FB,124)</f>
        <v>0.39</v>
      </c>
      <c r="P15" s="50">
        <f>VLOOKUP($A15,'Data shares'!$C:$FB,125)</f>
        <v>0.2</v>
      </c>
      <c r="Q15" s="50">
        <f>VLOOKUP($A15,'Data shares'!$C:$FB,127)*100</f>
        <v>95</v>
      </c>
    </row>
    <row r="16" spans="1:17" x14ac:dyDescent="0.25">
      <c r="A16" s="97" t="str">
        <f>'Data Vlaue (Cr)'!C11</f>
        <v>ADANIPORTS</v>
      </c>
      <c r="B16" s="140">
        <f>VLOOKUP($A16,'Data shares'!$C:$FB,7)</f>
        <v>1420.7</v>
      </c>
      <c r="C16" s="140">
        <f>VLOOKUP($A16,'Data shares'!$C:$FB,3)</f>
        <v>1425.7</v>
      </c>
      <c r="D16" s="140">
        <f>VLOOKUP($A16,'Data shares'!$C:$FB,4)</f>
        <v>1452.9</v>
      </c>
      <c r="E16" s="50">
        <f t="shared" si="0"/>
        <v>-1.8721178332989226</v>
      </c>
      <c r="F16" s="49">
        <f>VLOOKUP($A16,'Data shares'!$C:$FB,98)</f>
        <v>36632475</v>
      </c>
      <c r="G16" s="49">
        <f>VLOOKUP($A16,'Data shares'!$C:$FB,99)</f>
        <v>36229200</v>
      </c>
      <c r="H16" s="50">
        <f t="shared" si="1"/>
        <v>1.1131214600377595</v>
      </c>
      <c r="I16" s="49">
        <f>VLOOKUP($A16,'Data shares'!$C:$FB,66)</f>
        <v>13706600</v>
      </c>
      <c r="J16" s="49">
        <f>VLOOKUP($A16,'Data shares'!$C:$FB,67)</f>
        <v>10416275</v>
      </c>
      <c r="K16" s="50">
        <f t="shared" si="2"/>
        <v>24.005406154699198</v>
      </c>
      <c r="L16" s="50">
        <f>VLOOKUP($A16,'Data shares'!$C:$FB,118)</f>
        <v>0.74</v>
      </c>
      <c r="M16" s="50">
        <f>VLOOKUP($A16,'Data shares'!$C:$FB,119)</f>
        <v>0.74</v>
      </c>
      <c r="N16" s="50">
        <f>VLOOKUP($A16,'Data shares'!$C:$FB,121)*100</f>
        <v>0</v>
      </c>
      <c r="O16" s="50">
        <f>VLOOKUP($A16,'Data shares'!$C:$FB,124)</f>
        <v>0.56999999999999995</v>
      </c>
      <c r="P16" s="50">
        <f>VLOOKUP($A16,'Data shares'!$C:$FB,125)</f>
        <v>0.39</v>
      </c>
      <c r="Q16" s="50">
        <f>VLOOKUP($A16,'Data shares'!$C:$FB,127)*100</f>
        <v>46.150000000000006</v>
      </c>
    </row>
    <row r="17" spans="1:17" x14ac:dyDescent="0.25">
      <c r="A17" s="97" t="str">
        <f>'Data Vlaue (Cr)'!C12</f>
        <v>ALKEM</v>
      </c>
      <c r="B17" s="140">
        <f>VLOOKUP($A17,'Data shares'!$C:$FB,7)</f>
        <v>4971.8</v>
      </c>
      <c r="C17" s="140">
        <f>VLOOKUP($A17,'Data shares'!$C:$FB,3)</f>
        <v>4973.6000000000004</v>
      </c>
      <c r="D17" s="140">
        <f>VLOOKUP($A17,'Data shares'!$C:$FB,4)</f>
        <v>5006.8999999999996</v>
      </c>
      <c r="E17" s="50">
        <f t="shared" si="0"/>
        <v>-0.66508218658250162</v>
      </c>
      <c r="F17" s="49">
        <f>VLOOKUP($A17,'Data shares'!$C:$FB,98)</f>
        <v>1763250</v>
      </c>
      <c r="G17" s="49">
        <f>VLOOKUP($A17,'Data shares'!$C:$FB,99)</f>
        <v>1745000</v>
      </c>
      <c r="H17" s="50">
        <f t="shared" si="1"/>
        <v>1.0458452722063039</v>
      </c>
      <c r="I17" s="49">
        <f>VLOOKUP($A17,'Data shares'!$C:$FB,66)</f>
        <v>466625</v>
      </c>
      <c r="J17" s="49">
        <f>VLOOKUP($A17,'Data shares'!$C:$FB,67)</f>
        <v>302625</v>
      </c>
      <c r="K17" s="50">
        <f t="shared" si="2"/>
        <v>35.145995178140907</v>
      </c>
      <c r="L17" s="50">
        <f>VLOOKUP($A17,'Data shares'!$C:$FB,118)</f>
        <v>0.56999999999999995</v>
      </c>
      <c r="M17" s="50">
        <f>VLOOKUP($A17,'Data shares'!$C:$FB,119)</f>
        <v>0.6</v>
      </c>
      <c r="N17" s="50">
        <f>VLOOKUP($A17,'Data shares'!$C:$FB,121)*100</f>
        <v>-5</v>
      </c>
      <c r="O17" s="50">
        <f>VLOOKUP($A17,'Data shares'!$C:$FB,124)</f>
        <v>0.33</v>
      </c>
      <c r="P17" s="50">
        <f>VLOOKUP($A17,'Data shares'!$C:$FB,125)</f>
        <v>0.67</v>
      </c>
      <c r="Q17" s="50">
        <f>VLOOKUP($A17,'Data shares'!$C:$FB,127)*100</f>
        <v>-50.749999999999993</v>
      </c>
    </row>
    <row r="18" spans="1:17" x14ac:dyDescent="0.25">
      <c r="A18" s="97" t="str">
        <f>'Data Vlaue (Cr)'!C13</f>
        <v>AMBER</v>
      </c>
      <c r="B18" s="140">
        <f>VLOOKUP($A18,'Data shares'!$C:$FB,7)</f>
        <v>7369</v>
      </c>
      <c r="C18" s="140">
        <f>VLOOKUP($A18,'Data shares'!$C:$FB,3)</f>
        <v>7388.5</v>
      </c>
      <c r="D18" s="140">
        <f>VLOOKUP($A18,'Data shares'!$C:$FB,4)</f>
        <v>7500.5</v>
      </c>
      <c r="E18" s="50">
        <f t="shared" si="0"/>
        <v>-1.4932337844143724</v>
      </c>
      <c r="F18" s="49">
        <f>VLOOKUP($A18,'Data shares'!$C:$FB,98)</f>
        <v>806700</v>
      </c>
      <c r="G18" s="49">
        <f>VLOOKUP($A18,'Data shares'!$C:$FB,99)</f>
        <v>815300</v>
      </c>
      <c r="H18" s="50">
        <f t="shared" si="1"/>
        <v>-1.054826444253649</v>
      </c>
      <c r="I18" s="49">
        <f>VLOOKUP($A18,'Data shares'!$C:$FB,66)</f>
        <v>596300</v>
      </c>
      <c r="J18" s="49">
        <f>VLOOKUP($A18,'Data shares'!$C:$FB,67)</f>
        <v>663000</v>
      </c>
      <c r="K18" s="50">
        <f t="shared" si="2"/>
        <v>-11.185644809659568</v>
      </c>
      <c r="L18" s="50">
        <f>VLOOKUP($A18,'Data shares'!$C:$FB,118)</f>
        <v>0.57999999999999996</v>
      </c>
      <c r="M18" s="50">
        <f>VLOOKUP($A18,'Data shares'!$C:$FB,119)</f>
        <v>0.56999999999999995</v>
      </c>
      <c r="N18" s="50">
        <f>VLOOKUP($A18,'Data shares'!$C:$FB,121)*100</f>
        <v>1.7500000000000002</v>
      </c>
      <c r="O18" s="50">
        <f>VLOOKUP($A18,'Data shares'!$C:$FB,124)</f>
        <v>0.2</v>
      </c>
      <c r="P18" s="50">
        <f>VLOOKUP($A18,'Data shares'!$C:$FB,125)</f>
        <v>0.37</v>
      </c>
      <c r="Q18" s="50">
        <f>VLOOKUP($A18,'Data shares'!$C:$FB,127)*100</f>
        <v>-45.95</v>
      </c>
    </row>
    <row r="19" spans="1:17" x14ac:dyDescent="0.25">
      <c r="A19" s="97" t="str">
        <f>'Data Vlaue (Cr)'!C14</f>
        <v>AMBUJACEM</v>
      </c>
      <c r="B19" s="140">
        <f>VLOOKUP($A19,'Data shares'!$C:$FB,7)</f>
        <v>620.54999999999995</v>
      </c>
      <c r="C19" s="140">
        <f>VLOOKUP($A19,'Data shares'!$C:$FB,3)</f>
        <v>620.75</v>
      </c>
      <c r="D19" s="140">
        <f>VLOOKUP($A19,'Data shares'!$C:$FB,4)</f>
        <v>614.9</v>
      </c>
      <c r="E19" s="50">
        <f t="shared" si="0"/>
        <v>0.95137420718816434</v>
      </c>
      <c r="F19" s="49">
        <f>VLOOKUP($A19,'Data shares'!$C:$FB,98)</f>
        <v>45256050</v>
      </c>
      <c r="G19" s="49">
        <f>VLOOKUP($A19,'Data shares'!$C:$FB,99)</f>
        <v>45141600</v>
      </c>
      <c r="H19" s="50">
        <f t="shared" si="1"/>
        <v>0.25353554149609225</v>
      </c>
      <c r="I19" s="49">
        <f>VLOOKUP($A19,'Data shares'!$C:$FB,66)</f>
        <v>51956100</v>
      </c>
      <c r="J19" s="49">
        <f>VLOOKUP($A19,'Data shares'!$C:$FB,67)</f>
        <v>51826950</v>
      </c>
      <c r="K19" s="50">
        <f t="shared" si="2"/>
        <v>0.24857523948102339</v>
      </c>
      <c r="L19" s="50">
        <f>VLOOKUP($A19,'Data shares'!$C:$FB,118)</f>
        <v>0.86</v>
      </c>
      <c r="M19" s="50">
        <f>VLOOKUP($A19,'Data shares'!$C:$FB,119)</f>
        <v>0.74</v>
      </c>
      <c r="N19" s="50">
        <f>VLOOKUP($A19,'Data shares'!$C:$FB,121)*100</f>
        <v>16.220000000000002</v>
      </c>
      <c r="O19" s="50">
        <f>VLOOKUP($A19,'Data shares'!$C:$FB,124)</f>
        <v>0.39</v>
      </c>
      <c r="P19" s="50">
        <f>VLOOKUP($A19,'Data shares'!$C:$FB,125)</f>
        <v>0.27</v>
      </c>
      <c r="Q19" s="50">
        <f>VLOOKUP($A19,'Data shares'!$C:$FB,127)*100</f>
        <v>44.440000000000005</v>
      </c>
    </row>
    <row r="20" spans="1:17" x14ac:dyDescent="0.25">
      <c r="A20" s="97" t="str">
        <f>'Data Vlaue (Cr)'!C15</f>
        <v>ANGELONE</v>
      </c>
      <c r="B20" s="140">
        <f>VLOOKUP($A20,'Data shares'!$C:$FB,7)</f>
        <v>2805.4</v>
      </c>
      <c r="C20" s="140">
        <f>VLOOKUP($A20,'Data shares'!$C:$FB,3)</f>
        <v>2816.6</v>
      </c>
      <c r="D20" s="140">
        <f>VLOOKUP($A20,'Data shares'!$C:$FB,4)</f>
        <v>2710.9</v>
      </c>
      <c r="E20" s="50">
        <f t="shared" si="0"/>
        <v>3.8990741082297324</v>
      </c>
      <c r="F20" s="49">
        <f>VLOOKUP($A20,'Data shares'!$C:$FB,98)</f>
        <v>8938750</v>
      </c>
      <c r="G20" s="49">
        <f>VLOOKUP($A20,'Data shares'!$C:$FB,99)</f>
        <v>9070250</v>
      </c>
      <c r="H20" s="50">
        <f t="shared" si="1"/>
        <v>-1.4497946583611256</v>
      </c>
      <c r="I20" s="49">
        <f>VLOOKUP($A20,'Data shares'!$C:$FB,66)</f>
        <v>36755250</v>
      </c>
      <c r="J20" s="49">
        <f>VLOOKUP($A20,'Data shares'!$C:$FB,67)</f>
        <v>547750</v>
      </c>
      <c r="K20" s="50">
        <f t="shared" si="2"/>
        <v>98.509736704280343</v>
      </c>
      <c r="L20" s="50">
        <f>VLOOKUP($A20,'Data shares'!$C:$FB,118)</f>
        <v>0.57999999999999996</v>
      </c>
      <c r="M20" s="50">
        <f>VLOOKUP($A20,'Data shares'!$C:$FB,119)</f>
        <v>0.67</v>
      </c>
      <c r="N20" s="50">
        <f>VLOOKUP($A20,'Data shares'!$C:$FB,121)*100</f>
        <v>-13.43</v>
      </c>
      <c r="O20" s="50">
        <f>VLOOKUP($A20,'Data shares'!$C:$FB,124)</f>
        <v>0.34</v>
      </c>
      <c r="P20" s="50">
        <f>VLOOKUP($A20,'Data shares'!$C:$FB,125)</f>
        <v>1.35</v>
      </c>
      <c r="Q20" s="50">
        <f>VLOOKUP($A20,'Data shares'!$C:$FB,127)*100</f>
        <v>-74.81</v>
      </c>
    </row>
    <row r="21" spans="1:17" x14ac:dyDescent="0.25">
      <c r="A21" s="97" t="str">
        <f>'Data Vlaue (Cr)'!C16</f>
        <v>APLAPOLLO</v>
      </c>
      <c r="B21" s="140">
        <f>VLOOKUP($A21,'Data shares'!$C:$FB,7)</f>
        <v>1660.4</v>
      </c>
      <c r="C21" s="140">
        <f>VLOOKUP($A21,'Data shares'!$C:$FB,3)</f>
        <v>1661.9</v>
      </c>
      <c r="D21" s="140">
        <f>VLOOKUP($A21,'Data shares'!$C:$FB,4)</f>
        <v>1696.6</v>
      </c>
      <c r="E21" s="50">
        <f t="shared" si="0"/>
        <v>-2.0452670045974197</v>
      </c>
      <c r="F21" s="49">
        <f>VLOOKUP($A21,'Data shares'!$C:$FB,98)</f>
        <v>8721300</v>
      </c>
      <c r="G21" s="49">
        <f>VLOOKUP($A21,'Data shares'!$C:$FB,99)</f>
        <v>8545950</v>
      </c>
      <c r="H21" s="50">
        <f t="shared" si="1"/>
        <v>2.0518491215136994</v>
      </c>
      <c r="I21" s="49">
        <f>VLOOKUP($A21,'Data shares'!$C:$FB,66)</f>
        <v>3097850</v>
      </c>
      <c r="J21" s="49">
        <f>VLOOKUP($A21,'Data shares'!$C:$FB,67)</f>
        <v>3129700</v>
      </c>
      <c r="K21" s="50">
        <f t="shared" si="2"/>
        <v>-1.0281324144164501</v>
      </c>
      <c r="L21" s="50">
        <f>VLOOKUP($A21,'Data shares'!$C:$FB,118)</f>
        <v>0.67</v>
      </c>
      <c r="M21" s="50">
        <f>VLOOKUP($A21,'Data shares'!$C:$FB,119)</f>
        <v>0.7</v>
      </c>
      <c r="N21" s="50">
        <f>VLOOKUP($A21,'Data shares'!$C:$FB,121)*100</f>
        <v>-4.29</v>
      </c>
      <c r="O21" s="50">
        <f>VLOOKUP($A21,'Data shares'!$C:$FB,124)</f>
        <v>0.54</v>
      </c>
      <c r="P21" s="50">
        <f>VLOOKUP($A21,'Data shares'!$C:$FB,125)</f>
        <v>0.54</v>
      </c>
      <c r="Q21" s="50">
        <f>VLOOKUP($A21,'Data shares'!$C:$FB,127)*100</f>
        <v>0</v>
      </c>
    </row>
    <row r="22" spans="1:17" x14ac:dyDescent="0.25">
      <c r="A22" s="97" t="str">
        <f>'Data Vlaue (Cr)'!C17</f>
        <v>APOLLOHOSP</v>
      </c>
      <c r="B22" s="140">
        <f>VLOOKUP($A22,'Data shares'!$C:$FB,7)</f>
        <v>7246.5</v>
      </c>
      <c r="C22" s="140">
        <f>VLOOKUP($A22,'Data shares'!$C:$FB,3)</f>
        <v>7258</v>
      </c>
      <c r="D22" s="140">
        <f>VLOOKUP($A22,'Data shares'!$C:$FB,4)</f>
        <v>7271</v>
      </c>
      <c r="E22" s="50">
        <f t="shared" si="0"/>
        <v>-0.17879246321001238</v>
      </c>
      <c r="F22" s="49">
        <f>VLOOKUP($A22,'Data shares'!$C:$FB,98)</f>
        <v>5705500</v>
      </c>
      <c r="G22" s="49">
        <f>VLOOKUP($A22,'Data shares'!$C:$FB,99)</f>
        <v>5707750</v>
      </c>
      <c r="H22" s="50">
        <f t="shared" si="1"/>
        <v>-3.9420086724190791E-2</v>
      </c>
      <c r="I22" s="49">
        <f>VLOOKUP($A22,'Data shares'!$C:$FB,66)</f>
        <v>1809875</v>
      </c>
      <c r="J22" s="49">
        <f>VLOOKUP($A22,'Data shares'!$C:$FB,67)</f>
        <v>2130000</v>
      </c>
      <c r="K22" s="50">
        <f t="shared" si="2"/>
        <v>-17.687685613647353</v>
      </c>
      <c r="L22" s="50">
        <f>VLOOKUP($A22,'Data shares'!$C:$FB,118)</f>
        <v>0.48</v>
      </c>
      <c r="M22" s="50">
        <f>VLOOKUP($A22,'Data shares'!$C:$FB,119)</f>
        <v>0.49</v>
      </c>
      <c r="N22" s="50">
        <f>VLOOKUP($A22,'Data shares'!$C:$FB,121)*100</f>
        <v>-2.04</v>
      </c>
      <c r="O22" s="50">
        <f>VLOOKUP($A22,'Data shares'!$C:$FB,124)</f>
        <v>0.46</v>
      </c>
      <c r="P22" s="50">
        <f>VLOOKUP($A22,'Data shares'!$C:$FB,125)</f>
        <v>0.61</v>
      </c>
      <c r="Q22" s="50">
        <f>VLOOKUP($A22,'Data shares'!$C:$FB,127)*100</f>
        <v>-24.59</v>
      </c>
    </row>
    <row r="23" spans="1:17" x14ac:dyDescent="0.25">
      <c r="A23" s="97" t="str">
        <f>'Data Vlaue (Cr)'!C18</f>
        <v>ASHOKLEY</v>
      </c>
      <c r="B23" s="140">
        <f>VLOOKUP($A23,'Data shares'!$C:$FB,7)</f>
        <v>124</v>
      </c>
      <c r="C23" s="140">
        <f>VLOOKUP($A23,'Data shares'!$C:$FB,3)</f>
        <v>124.05</v>
      </c>
      <c r="D23" s="140">
        <f>VLOOKUP($A23,'Data shares'!$C:$FB,4)</f>
        <v>124.9</v>
      </c>
      <c r="E23" s="50">
        <f t="shared" si="0"/>
        <v>-0.68054443554844557</v>
      </c>
      <c r="F23" s="49">
        <f>VLOOKUP($A23,'Data shares'!$C:$FB,98)</f>
        <v>143395000</v>
      </c>
      <c r="G23" s="49">
        <f>VLOOKUP($A23,'Data shares'!$C:$FB,99)</f>
        <v>143115000</v>
      </c>
      <c r="H23" s="50">
        <f t="shared" si="1"/>
        <v>0.19564685742235266</v>
      </c>
      <c r="I23" s="49">
        <f>VLOOKUP($A23,'Data shares'!$C:$FB,66)</f>
        <v>34515000</v>
      </c>
      <c r="J23" s="49">
        <f>VLOOKUP($A23,'Data shares'!$C:$FB,67)</f>
        <v>60515000</v>
      </c>
      <c r="K23" s="50">
        <f t="shared" si="2"/>
        <v>-75.329566854990588</v>
      </c>
      <c r="L23" s="50">
        <f>VLOOKUP($A23,'Data shares'!$C:$FB,118)</f>
        <v>0.69</v>
      </c>
      <c r="M23" s="50">
        <f>VLOOKUP($A23,'Data shares'!$C:$FB,119)</f>
        <v>0.69</v>
      </c>
      <c r="N23" s="50">
        <f>VLOOKUP($A23,'Data shares'!$C:$FB,121)*100</f>
        <v>0</v>
      </c>
      <c r="O23" s="50">
        <f>VLOOKUP($A23,'Data shares'!$C:$FB,124)</f>
        <v>0.67</v>
      </c>
      <c r="P23" s="50">
        <f>VLOOKUP($A23,'Data shares'!$C:$FB,125)</f>
        <v>0.59</v>
      </c>
      <c r="Q23" s="50">
        <f>VLOOKUP($A23,'Data shares'!$C:$FB,127)*100</f>
        <v>13.56</v>
      </c>
    </row>
    <row r="24" spans="1:17" x14ac:dyDescent="0.25">
      <c r="A24" s="97" t="str">
        <f>'Data Vlaue (Cr)'!C19</f>
        <v>ASIANPAINT</v>
      </c>
      <c r="B24" s="140">
        <f>VLOOKUP($A24,'Data shares'!$C:$FB,7)</f>
        <v>2365.1999999999998</v>
      </c>
      <c r="C24" s="140">
        <f>VLOOKUP($A24,'Data shares'!$C:$FB,3)</f>
        <v>2365.8000000000002</v>
      </c>
      <c r="D24" s="140">
        <f>VLOOKUP($A24,'Data shares'!$C:$FB,4)</f>
        <v>2377</v>
      </c>
      <c r="E24" s="50">
        <f t="shared" si="0"/>
        <v>-0.47118216238955901</v>
      </c>
      <c r="F24" s="49">
        <f>VLOOKUP($A24,'Data shares'!$C:$FB,98)</f>
        <v>29058000</v>
      </c>
      <c r="G24" s="49">
        <f>VLOOKUP($A24,'Data shares'!$C:$FB,99)</f>
        <v>29103500</v>
      </c>
      <c r="H24" s="50">
        <f t="shared" si="1"/>
        <v>-0.15633858470630679</v>
      </c>
      <c r="I24" s="49">
        <f>VLOOKUP($A24,'Data shares'!$C:$FB,66)</f>
        <v>6550500</v>
      </c>
      <c r="J24" s="49">
        <f>VLOOKUP($A24,'Data shares'!$C:$FB,67)</f>
        <v>8379750</v>
      </c>
      <c r="K24" s="50">
        <f t="shared" si="2"/>
        <v>-27.925349209983967</v>
      </c>
      <c r="L24" s="50">
        <f>VLOOKUP($A24,'Data shares'!$C:$FB,118)</f>
        <v>0.49</v>
      </c>
      <c r="M24" s="50">
        <f>VLOOKUP($A24,'Data shares'!$C:$FB,119)</f>
        <v>0.48</v>
      </c>
      <c r="N24" s="50">
        <f>VLOOKUP($A24,'Data shares'!$C:$FB,121)*100</f>
        <v>2.08</v>
      </c>
      <c r="O24" s="50">
        <f>VLOOKUP($A24,'Data shares'!$C:$FB,124)</f>
        <v>0.39</v>
      </c>
      <c r="P24" s="50">
        <f>VLOOKUP($A24,'Data shares'!$C:$FB,125)</f>
        <v>0.42</v>
      </c>
      <c r="Q24" s="50">
        <f>VLOOKUP($A24,'Data shares'!$C:$FB,127)*100</f>
        <v>-7.1400000000000006</v>
      </c>
    </row>
    <row r="25" spans="1:17" x14ac:dyDescent="0.25">
      <c r="A25" s="97" t="str">
        <f>'Data Vlaue (Cr)'!C20</f>
        <v>ASTRAL</v>
      </c>
      <c r="B25" s="140">
        <f>VLOOKUP($A25,'Data shares'!$C:$FB,7)</f>
        <v>1475</v>
      </c>
      <c r="C25" s="140">
        <f>VLOOKUP($A25,'Data shares'!$C:$FB,3)</f>
        <v>1473.6</v>
      </c>
      <c r="D25" s="140">
        <f>VLOOKUP($A25,'Data shares'!$C:$FB,4)</f>
        <v>1504.4</v>
      </c>
      <c r="E25" s="50">
        <f t="shared" si="0"/>
        <v>-2.0473278383408786</v>
      </c>
      <c r="F25" s="49">
        <f>VLOOKUP($A25,'Data shares'!$C:$FB,98)</f>
        <v>11089950</v>
      </c>
      <c r="G25" s="49">
        <f>VLOOKUP($A25,'Data shares'!$C:$FB,99)</f>
        <v>10814125</v>
      </c>
      <c r="H25" s="50">
        <f t="shared" si="1"/>
        <v>2.5505993318923168</v>
      </c>
      <c r="I25" s="49">
        <f>VLOOKUP($A25,'Data shares'!$C:$FB,66)</f>
        <v>6954275</v>
      </c>
      <c r="J25" s="49">
        <f>VLOOKUP($A25,'Data shares'!$C:$FB,67)</f>
        <v>4084250</v>
      </c>
      <c r="K25" s="50">
        <f t="shared" si="2"/>
        <v>41.269938275377378</v>
      </c>
      <c r="L25" s="50">
        <f>VLOOKUP($A25,'Data shares'!$C:$FB,118)</f>
        <v>0.41</v>
      </c>
      <c r="M25" s="50">
        <f>VLOOKUP($A25,'Data shares'!$C:$FB,119)</f>
        <v>0.38</v>
      </c>
      <c r="N25" s="50">
        <f>VLOOKUP($A25,'Data shares'!$C:$FB,121)*100</f>
        <v>7.89</v>
      </c>
      <c r="O25" s="50">
        <f>VLOOKUP($A25,'Data shares'!$C:$FB,124)</f>
        <v>0.34</v>
      </c>
      <c r="P25" s="50">
        <f>VLOOKUP($A25,'Data shares'!$C:$FB,125)</f>
        <v>0.39</v>
      </c>
      <c r="Q25" s="50">
        <f>VLOOKUP($A25,'Data shares'!$C:$FB,127)*100</f>
        <v>-12.82</v>
      </c>
    </row>
    <row r="26" spans="1:17" x14ac:dyDescent="0.25">
      <c r="A26" s="97" t="str">
        <f>'Data Vlaue (Cr)'!C21</f>
        <v>ATGL</v>
      </c>
      <c r="B26" s="140">
        <f>VLOOKUP($A26,'Data shares'!$C:$FB,7)</f>
        <v>646.95000000000005</v>
      </c>
      <c r="C26" s="140">
        <f>VLOOKUP($A26,'Data shares'!$C:$FB,3)</f>
        <v>647.54999999999995</v>
      </c>
      <c r="D26" s="140">
        <f>VLOOKUP($A26,'Data shares'!$C:$FB,4)</f>
        <v>660.3</v>
      </c>
      <c r="E26" s="50">
        <f t="shared" si="0"/>
        <v>-1.930940481599273</v>
      </c>
      <c r="F26" s="49">
        <f>VLOOKUP($A26,'Data shares'!$C:$FB,98)</f>
        <v>11618250</v>
      </c>
      <c r="G26" s="49">
        <f>VLOOKUP($A26,'Data shares'!$C:$FB,99)</f>
        <v>11545625</v>
      </c>
      <c r="H26" s="50">
        <f t="shared" si="1"/>
        <v>0.62902614626752562</v>
      </c>
      <c r="I26" s="49">
        <f>VLOOKUP($A26,'Data shares'!$C:$FB,66)</f>
        <v>3122875</v>
      </c>
      <c r="J26" s="49">
        <f>VLOOKUP($A26,'Data shares'!$C:$FB,67)</f>
        <v>2574250</v>
      </c>
      <c r="K26" s="50">
        <f t="shared" si="2"/>
        <v>17.567946203418323</v>
      </c>
      <c r="L26" s="50">
        <f>VLOOKUP($A26,'Data shares'!$C:$FB,118)</f>
        <v>0.45</v>
      </c>
      <c r="M26" s="50">
        <f>VLOOKUP($A26,'Data shares'!$C:$FB,119)</f>
        <v>0.46</v>
      </c>
      <c r="N26" s="50">
        <f>VLOOKUP($A26,'Data shares'!$C:$FB,121)*100</f>
        <v>-2.17</v>
      </c>
      <c r="O26" s="50">
        <f>VLOOKUP($A26,'Data shares'!$C:$FB,124)</f>
        <v>0.26</v>
      </c>
      <c r="P26" s="50">
        <f>VLOOKUP($A26,'Data shares'!$C:$FB,125)</f>
        <v>0.35</v>
      </c>
      <c r="Q26" s="50">
        <f>VLOOKUP($A26,'Data shares'!$C:$FB,127)*100</f>
        <v>-25.71</v>
      </c>
    </row>
    <row r="27" spans="1:17" x14ac:dyDescent="0.25">
      <c r="A27" s="97" t="str">
        <f>'Data Vlaue (Cr)'!C22</f>
        <v>AUBANK</v>
      </c>
      <c r="B27" s="140">
        <f>VLOOKUP($A27,'Data shares'!$C:$FB,7)</f>
        <v>725.8</v>
      </c>
      <c r="C27" s="140">
        <f>VLOOKUP($A27,'Data shares'!$C:$FB,3)</f>
        <v>728.2</v>
      </c>
      <c r="D27" s="140">
        <f>VLOOKUP($A27,'Data shares'!$C:$FB,4)</f>
        <v>753.2</v>
      </c>
      <c r="E27" s="50">
        <f t="shared" si="0"/>
        <v>-3.3191715347849176</v>
      </c>
      <c r="F27" s="49">
        <f>VLOOKUP($A27,'Data shares'!$C:$FB,98)</f>
        <v>38028000</v>
      </c>
      <c r="G27" s="49">
        <f>VLOOKUP($A27,'Data shares'!$C:$FB,99)</f>
        <v>33676000</v>
      </c>
      <c r="H27" s="50">
        <f t="shared" si="1"/>
        <v>12.923150017816843</v>
      </c>
      <c r="I27" s="49">
        <f>VLOOKUP($A27,'Data shares'!$C:$FB,66)</f>
        <v>47564000</v>
      </c>
      <c r="J27" s="49">
        <f>VLOOKUP($A27,'Data shares'!$C:$FB,67)</f>
        <v>101689000</v>
      </c>
      <c r="K27" s="50">
        <f t="shared" si="2"/>
        <v>-113.79404591708015</v>
      </c>
      <c r="L27" s="50">
        <f>VLOOKUP($A27,'Data shares'!$C:$FB,118)</f>
        <v>0.45</v>
      </c>
      <c r="M27" s="50">
        <f>VLOOKUP($A27,'Data shares'!$C:$FB,119)</f>
        <v>0.6</v>
      </c>
      <c r="N27" s="50">
        <f>VLOOKUP($A27,'Data shares'!$C:$FB,121)*100</f>
        <v>-25</v>
      </c>
      <c r="O27" s="50">
        <f>VLOOKUP($A27,'Data shares'!$C:$FB,124)</f>
        <v>0.61</v>
      </c>
      <c r="P27" s="50">
        <f>VLOOKUP($A27,'Data shares'!$C:$FB,125)</f>
        <v>0.63</v>
      </c>
      <c r="Q27" s="50">
        <f>VLOOKUP($A27,'Data shares'!$C:$FB,127)*100</f>
        <v>-3.17</v>
      </c>
    </row>
    <row r="28" spans="1:17" x14ac:dyDescent="0.25">
      <c r="A28" s="97" t="str">
        <f>'Data Vlaue (Cr)'!C23</f>
        <v>AUROPHARMA</v>
      </c>
      <c r="B28" s="140">
        <f>VLOOKUP($A28,'Data shares'!$C:$FB,7)</f>
        <v>1101.4000000000001</v>
      </c>
      <c r="C28" s="140">
        <f>VLOOKUP($A28,'Data shares'!$C:$FB,3)</f>
        <v>1104.9000000000001</v>
      </c>
      <c r="D28" s="140">
        <f>VLOOKUP($A28,'Data shares'!$C:$FB,4)</f>
        <v>1140.8</v>
      </c>
      <c r="E28" s="50">
        <f t="shared" si="0"/>
        <v>-3.1469144460027931</v>
      </c>
      <c r="F28" s="49">
        <f>VLOOKUP($A28,'Data shares'!$C:$FB,98)</f>
        <v>28631350</v>
      </c>
      <c r="G28" s="49">
        <f>VLOOKUP($A28,'Data shares'!$C:$FB,99)</f>
        <v>27027000</v>
      </c>
      <c r="H28" s="50">
        <f t="shared" si="1"/>
        <v>5.936100936100936</v>
      </c>
      <c r="I28" s="49">
        <f>VLOOKUP($A28,'Data shares'!$C:$FB,66)</f>
        <v>14593700</v>
      </c>
      <c r="J28" s="49">
        <f>VLOOKUP($A28,'Data shares'!$C:$FB,67)</f>
        <v>7131300</v>
      </c>
      <c r="K28" s="50">
        <f t="shared" si="2"/>
        <v>51.134393608200803</v>
      </c>
      <c r="L28" s="50">
        <f>VLOOKUP($A28,'Data shares'!$C:$FB,118)</f>
        <v>0.66</v>
      </c>
      <c r="M28" s="50">
        <f>VLOOKUP($A28,'Data shares'!$C:$FB,119)</f>
        <v>0.68</v>
      </c>
      <c r="N28" s="50">
        <f>VLOOKUP($A28,'Data shares'!$C:$FB,121)*100</f>
        <v>-2.94</v>
      </c>
      <c r="O28" s="50">
        <f>VLOOKUP($A28,'Data shares'!$C:$FB,124)</f>
        <v>0.66</v>
      </c>
      <c r="P28" s="50">
        <f>VLOOKUP($A28,'Data shares'!$C:$FB,125)</f>
        <v>0.36</v>
      </c>
      <c r="Q28" s="50">
        <f>VLOOKUP($A28,'Data shares'!$C:$FB,127)*100</f>
        <v>83.33</v>
      </c>
    </row>
    <row r="29" spans="1:17" x14ac:dyDescent="0.25">
      <c r="A29" s="97" t="str">
        <f>'Data Vlaue (Cr)'!C24</f>
        <v>AXISBANK</v>
      </c>
      <c r="B29" s="140">
        <f>VLOOKUP($A29,'Data shares'!$C:$FB,7)</f>
        <v>1098</v>
      </c>
      <c r="C29" s="140">
        <f>VLOOKUP($A29,'Data shares'!$C:$FB,3)</f>
        <v>1101.5</v>
      </c>
      <c r="D29" s="140">
        <f>VLOOKUP($A29,'Data shares'!$C:$FB,4)</f>
        <v>1103.0999999999999</v>
      </c>
      <c r="E29" s="50">
        <f t="shared" si="0"/>
        <v>-0.14504578007432772</v>
      </c>
      <c r="F29" s="49">
        <f>VLOOKUP($A29,'Data shares'!$C:$FB,98)</f>
        <v>158917500</v>
      </c>
      <c r="G29" s="49">
        <f>VLOOKUP($A29,'Data shares'!$C:$FB,99)</f>
        <v>156816250</v>
      </c>
      <c r="H29" s="50">
        <f t="shared" si="1"/>
        <v>1.3399440427889329</v>
      </c>
      <c r="I29" s="49">
        <f>VLOOKUP($A29,'Data shares'!$C:$FB,66)</f>
        <v>105355000</v>
      </c>
      <c r="J29" s="49">
        <f>VLOOKUP($A29,'Data shares'!$C:$FB,67)</f>
        <v>216156250</v>
      </c>
      <c r="K29" s="50">
        <f t="shared" si="2"/>
        <v>-105.16942717478999</v>
      </c>
      <c r="L29" s="50">
        <f>VLOOKUP($A29,'Data shares'!$C:$FB,118)</f>
        <v>0.37</v>
      </c>
      <c r="M29" s="50">
        <f>VLOOKUP($A29,'Data shares'!$C:$FB,119)</f>
        <v>0.38</v>
      </c>
      <c r="N29" s="50">
        <f>VLOOKUP($A29,'Data shares'!$C:$FB,121)*100</f>
        <v>-2.63</v>
      </c>
      <c r="O29" s="50">
        <f>VLOOKUP($A29,'Data shares'!$C:$FB,124)</f>
        <v>0.45</v>
      </c>
      <c r="P29" s="50">
        <f>VLOOKUP($A29,'Data shares'!$C:$FB,125)</f>
        <v>0.6</v>
      </c>
      <c r="Q29" s="50">
        <f>VLOOKUP($A29,'Data shares'!$C:$FB,127)*100</f>
        <v>-25</v>
      </c>
    </row>
    <row r="30" spans="1:17" x14ac:dyDescent="0.25">
      <c r="A30" s="97" t="str">
        <f>'Data Vlaue (Cr)'!C25</f>
        <v>BAJAJ-AUTO</v>
      </c>
      <c r="B30" s="176">
        <f>VLOOKUP($A30,'Data shares'!$C:$FB,7)</f>
        <v>8295</v>
      </c>
      <c r="C30" s="176">
        <f>VLOOKUP($A30,'Data shares'!$C:$FB,3)</f>
        <v>8300.5</v>
      </c>
      <c r="D30" s="176">
        <f>VLOOKUP($A30,'Data shares'!$C:$FB,4)</f>
        <v>8446</v>
      </c>
      <c r="E30" s="50">
        <f t="shared" si="0"/>
        <v>-1.7227089746625619</v>
      </c>
      <c r="F30" s="49">
        <f>VLOOKUP($A30,'Data shares'!$C:$FB,98)</f>
        <v>5131575</v>
      </c>
      <c r="G30" s="49">
        <f>VLOOKUP($A30,'Data shares'!$C:$FB,99)</f>
        <v>4905750</v>
      </c>
      <c r="H30" s="50">
        <f t="shared" si="1"/>
        <v>4.6032716709983186</v>
      </c>
      <c r="I30" s="49">
        <f>VLOOKUP($A30,'Data shares'!$C:$FB,66)</f>
        <v>3816675</v>
      </c>
      <c r="J30" s="49">
        <f>VLOOKUP($A30,'Data shares'!$C:$FB,67)</f>
        <v>3506625</v>
      </c>
      <c r="K30" s="50">
        <f t="shared" si="2"/>
        <v>8.1235630489889754</v>
      </c>
      <c r="L30" s="50">
        <f>VLOOKUP($A30,'Data shares'!$C:$FB,118)</f>
        <v>0.63</v>
      </c>
      <c r="M30" s="50">
        <f>VLOOKUP($A30,'Data shares'!$C:$FB,119)</f>
        <v>0.69</v>
      </c>
      <c r="N30" s="50">
        <f>VLOOKUP($A30,'Data shares'!$C:$FB,121)*100</f>
        <v>-8.6999999999999993</v>
      </c>
      <c r="O30" s="50">
        <f>VLOOKUP($A30,'Data shares'!$C:$FB,124)</f>
        <v>0.66</v>
      </c>
      <c r="P30" s="50">
        <f>VLOOKUP($A30,'Data shares'!$C:$FB,125)</f>
        <v>0.52</v>
      </c>
      <c r="Q30" s="50">
        <f>VLOOKUP($A30,'Data shares'!$C:$FB,127)*100</f>
        <v>26.919999999999998</v>
      </c>
    </row>
    <row r="31" spans="1:17" x14ac:dyDescent="0.25">
      <c r="A31" s="97" t="str">
        <f>'Data Vlaue (Cr)'!C26</f>
        <v>BAJAJFINSV</v>
      </c>
      <c r="B31" s="140">
        <f>VLOOKUP($A31,'Data shares'!$C:$FB,7)</f>
        <v>2039.6</v>
      </c>
      <c r="C31" s="140">
        <f>VLOOKUP($A31,'Data shares'!$C:$FB,3)</f>
        <v>2043</v>
      </c>
      <c r="D31" s="140">
        <f>VLOOKUP($A31,'Data shares'!$C:$FB,4)</f>
        <v>2060.5</v>
      </c>
      <c r="E31" s="50">
        <f t="shared" si="0"/>
        <v>-0.84930842028633824</v>
      </c>
      <c r="F31" s="49">
        <f>VLOOKUP($A31,'Data shares'!$C:$FB,98)</f>
        <v>28728000</v>
      </c>
      <c r="G31" s="49">
        <f>VLOOKUP($A31,'Data shares'!$C:$FB,99)</f>
        <v>28704000</v>
      </c>
      <c r="H31" s="50">
        <f t="shared" si="1"/>
        <v>8.3612040133779264E-2</v>
      </c>
      <c r="I31" s="49">
        <f>VLOOKUP($A31,'Data shares'!$C:$FB,66)</f>
        <v>19624000</v>
      </c>
      <c r="J31" s="49">
        <f>VLOOKUP($A31,'Data shares'!$C:$FB,67)</f>
        <v>17493500</v>
      </c>
      <c r="K31" s="50">
        <f t="shared" si="2"/>
        <v>10.856604158173665</v>
      </c>
      <c r="L31" s="50">
        <f>VLOOKUP($A31,'Data shares'!$C:$FB,118)</f>
        <v>0.55000000000000004</v>
      </c>
      <c r="M31" s="50">
        <f>VLOOKUP($A31,'Data shares'!$C:$FB,119)</f>
        <v>0.56000000000000005</v>
      </c>
      <c r="N31" s="50">
        <f>VLOOKUP($A31,'Data shares'!$C:$FB,121)*100</f>
        <v>-1.79</v>
      </c>
      <c r="O31" s="50">
        <f>VLOOKUP($A31,'Data shares'!$C:$FB,124)</f>
        <v>0.59</v>
      </c>
      <c r="P31" s="50">
        <f>VLOOKUP($A31,'Data shares'!$C:$FB,125)</f>
        <v>0.56000000000000005</v>
      </c>
      <c r="Q31" s="50">
        <f>VLOOKUP($A31,'Data shares'!$C:$FB,127)*100</f>
        <v>5.36</v>
      </c>
    </row>
    <row r="32" spans="1:17" x14ac:dyDescent="0.25">
      <c r="A32" s="97" t="str">
        <f>'Data Vlaue (Cr)'!C27</f>
        <v>BAJFINANCE</v>
      </c>
      <c r="B32" s="140">
        <f>VLOOKUP($A32,'Data shares'!$C:$FB,7)</f>
        <v>952.55</v>
      </c>
      <c r="C32" s="140">
        <f>VLOOKUP($A32,'Data shares'!$C:$FB,3)</f>
        <v>955.95</v>
      </c>
      <c r="D32" s="140">
        <f>VLOOKUP($A32,'Data shares'!$C:$FB,4)</f>
        <v>951.15</v>
      </c>
      <c r="E32" s="50">
        <f t="shared" si="0"/>
        <v>0.50465226304999933</v>
      </c>
      <c r="F32" s="49">
        <f>VLOOKUP($A32,'Data shares'!$C:$FB,98)</f>
        <v>126426750</v>
      </c>
      <c r="G32" s="49">
        <f>VLOOKUP($A32,'Data shares'!$C:$FB,99)</f>
        <v>126344250</v>
      </c>
      <c r="H32" s="50">
        <f t="shared" si="1"/>
        <v>6.529778759223312E-2</v>
      </c>
      <c r="I32" s="49">
        <f>VLOOKUP($A32,'Data shares'!$C:$FB,66)</f>
        <v>68457000</v>
      </c>
      <c r="J32" s="49">
        <f>VLOOKUP($A32,'Data shares'!$C:$FB,67)</f>
        <v>47754750</v>
      </c>
      <c r="K32" s="50">
        <f t="shared" si="2"/>
        <v>30.241246329812878</v>
      </c>
      <c r="L32" s="50">
        <f>VLOOKUP($A32,'Data shares'!$C:$FB,118)</f>
        <v>0.88</v>
      </c>
      <c r="M32" s="50">
        <f>VLOOKUP($A32,'Data shares'!$C:$FB,119)</f>
        <v>0.85</v>
      </c>
      <c r="N32" s="50">
        <f>VLOOKUP($A32,'Data shares'!$C:$FB,121)*100</f>
        <v>3.53</v>
      </c>
      <c r="O32" s="50">
        <f>VLOOKUP($A32,'Data shares'!$C:$FB,124)</f>
        <v>0.6</v>
      </c>
      <c r="P32" s="50">
        <f>VLOOKUP($A32,'Data shares'!$C:$FB,125)</f>
        <v>0.6</v>
      </c>
      <c r="Q32" s="50">
        <f>VLOOKUP($A32,'Data shares'!$C:$FB,127)*100</f>
        <v>0</v>
      </c>
    </row>
    <row r="33" spans="1:17" x14ac:dyDescent="0.25">
      <c r="A33" s="97" t="str">
        <f>'Data Vlaue (Cr)'!C28</f>
        <v>BALKRISIND</v>
      </c>
      <c r="B33" s="140">
        <f>VLOOKUP($A33,'Data shares'!$C:$FB,7)</f>
        <v>2756.9</v>
      </c>
      <c r="C33" s="140">
        <f>VLOOKUP($A33,'Data shares'!$C:$FB,3)</f>
        <v>2763.9</v>
      </c>
      <c r="D33" s="140">
        <f>VLOOKUP($A33,'Data shares'!$C:$FB,4)</f>
        <v>2777.9</v>
      </c>
      <c r="E33" s="50">
        <f t="shared" si="0"/>
        <v>-0.50397782497570098</v>
      </c>
      <c r="F33" s="49">
        <f>VLOOKUP($A33,'Data shares'!$C:$FB,98)</f>
        <v>3704400</v>
      </c>
      <c r="G33" s="49">
        <f>VLOOKUP($A33,'Data shares'!$C:$FB,99)</f>
        <v>3819300</v>
      </c>
      <c r="H33" s="50">
        <f t="shared" si="1"/>
        <v>-3.008404681486136</v>
      </c>
      <c r="I33" s="49">
        <f>VLOOKUP($A33,'Data shares'!$C:$FB,66)</f>
        <v>1669500</v>
      </c>
      <c r="J33" s="49">
        <f>VLOOKUP($A33,'Data shares'!$C:$FB,67)</f>
        <v>2885400</v>
      </c>
      <c r="K33" s="50">
        <f t="shared" si="2"/>
        <v>-72.830188679245282</v>
      </c>
      <c r="L33" s="50">
        <f>VLOOKUP($A33,'Data shares'!$C:$FB,118)</f>
        <v>0.65</v>
      </c>
      <c r="M33" s="50">
        <f>VLOOKUP($A33,'Data shares'!$C:$FB,119)</f>
        <v>0.63</v>
      </c>
      <c r="N33" s="50">
        <f>VLOOKUP($A33,'Data shares'!$C:$FB,121)*100</f>
        <v>3.17</v>
      </c>
      <c r="O33" s="50">
        <f>VLOOKUP($A33,'Data shares'!$C:$FB,124)</f>
        <v>0.49</v>
      </c>
      <c r="P33" s="50">
        <f>VLOOKUP($A33,'Data shares'!$C:$FB,125)</f>
        <v>0.54</v>
      </c>
      <c r="Q33" s="50">
        <f>VLOOKUP($A33,'Data shares'!$C:$FB,127)*100</f>
        <v>-9.26</v>
      </c>
    </row>
    <row r="34" spans="1:17" x14ac:dyDescent="0.25">
      <c r="A34" s="97" t="str">
        <f>'Data Vlaue (Cr)'!C29</f>
        <v>BANDHANBNK</v>
      </c>
      <c r="B34" s="140">
        <f>VLOOKUP($A34,'Data shares'!$C:$FB,7)</f>
        <v>180.94</v>
      </c>
      <c r="C34" s="140">
        <f>VLOOKUP($A34,'Data shares'!$C:$FB,3)</f>
        <v>181.38</v>
      </c>
      <c r="D34" s="140">
        <f>VLOOKUP($A34,'Data shares'!$C:$FB,4)</f>
        <v>182.52</v>
      </c>
      <c r="E34" s="50">
        <f t="shared" si="0"/>
        <v>-0.6245890861275557</v>
      </c>
      <c r="F34" s="49">
        <f>VLOOKUP($A34,'Data shares'!$C:$FB,98)</f>
        <v>166744800</v>
      </c>
      <c r="G34" s="49">
        <f>VLOOKUP($A34,'Data shares'!$C:$FB,99)</f>
        <v>173818800</v>
      </c>
      <c r="H34" s="50">
        <f t="shared" si="1"/>
        <v>-4.0697554004515046</v>
      </c>
      <c r="I34" s="49">
        <f>VLOOKUP($A34,'Data shares'!$C:$FB,66)</f>
        <v>7110000</v>
      </c>
      <c r="J34" s="49">
        <f>VLOOKUP($A34,'Data shares'!$C:$FB,67)</f>
        <v>26438400</v>
      </c>
      <c r="K34" s="50">
        <f t="shared" si="2"/>
        <v>-271.84810126582278</v>
      </c>
      <c r="L34" s="50">
        <f>VLOOKUP($A34,'Data shares'!$C:$FB,118)</f>
        <v>0.56000000000000005</v>
      </c>
      <c r="M34" s="50">
        <f>VLOOKUP($A34,'Data shares'!$C:$FB,119)</f>
        <v>0.55000000000000004</v>
      </c>
      <c r="N34" s="50">
        <f>VLOOKUP($A34,'Data shares'!$C:$FB,121)*100</f>
        <v>1.82</v>
      </c>
      <c r="O34" s="50">
        <f>VLOOKUP($A34,'Data shares'!$C:$FB,124)</f>
        <v>0.34</v>
      </c>
      <c r="P34" s="50">
        <f>VLOOKUP($A34,'Data shares'!$C:$FB,125)</f>
        <v>0.54</v>
      </c>
      <c r="Q34" s="50">
        <f>VLOOKUP($A34,'Data shares'!$C:$FB,127)*100</f>
        <v>-37.04</v>
      </c>
    </row>
    <row r="35" spans="1:17" x14ac:dyDescent="0.25">
      <c r="A35" s="97" t="str">
        <f>'Data Vlaue (Cr)'!C30</f>
        <v>BANKBARODA</v>
      </c>
      <c r="B35" s="140">
        <f>VLOOKUP($A35,'Data shares'!$C:$FB,7)</f>
        <v>239.48</v>
      </c>
      <c r="C35" s="140">
        <f>VLOOKUP($A35,'Data shares'!$C:$FB,3)</f>
        <v>239.72</v>
      </c>
      <c r="D35" s="140">
        <f>VLOOKUP($A35,'Data shares'!$C:$FB,4)</f>
        <v>244.08</v>
      </c>
      <c r="E35" s="50">
        <f t="shared" si="0"/>
        <v>-1.7862995739101988</v>
      </c>
      <c r="F35" s="49">
        <f>VLOOKUP($A35,'Data shares'!$C:$FB,98)</f>
        <v>197949375</v>
      </c>
      <c r="G35" s="49">
        <f>VLOOKUP($A35,'Data shares'!$C:$FB,99)</f>
        <v>193921650</v>
      </c>
      <c r="H35" s="50">
        <f t="shared" si="1"/>
        <v>2.076985731092944</v>
      </c>
      <c r="I35" s="49">
        <f>VLOOKUP($A35,'Data shares'!$C:$FB,66)</f>
        <v>132414750</v>
      </c>
      <c r="J35" s="49">
        <f>VLOOKUP($A35,'Data shares'!$C:$FB,67)</f>
        <v>100190025</v>
      </c>
      <c r="K35" s="50">
        <f t="shared" si="2"/>
        <v>24.336204992268613</v>
      </c>
      <c r="L35" s="50">
        <f>VLOOKUP($A35,'Data shares'!$C:$FB,118)</f>
        <v>0.87</v>
      </c>
      <c r="M35" s="50">
        <f>VLOOKUP($A35,'Data shares'!$C:$FB,119)</f>
        <v>0.87</v>
      </c>
      <c r="N35" s="50">
        <f>VLOOKUP($A35,'Data shares'!$C:$FB,121)*100</f>
        <v>0</v>
      </c>
      <c r="O35" s="50">
        <f>VLOOKUP($A35,'Data shares'!$C:$FB,124)</f>
        <v>0.94</v>
      </c>
      <c r="P35" s="50">
        <f>VLOOKUP($A35,'Data shares'!$C:$FB,125)</f>
        <v>0.72</v>
      </c>
      <c r="Q35" s="50">
        <f>VLOOKUP($A35,'Data shares'!$C:$FB,127)*100</f>
        <v>30.56</v>
      </c>
    </row>
    <row r="36" spans="1:17" x14ac:dyDescent="0.25">
      <c r="A36" s="97" t="str">
        <f>'Data Vlaue (Cr)'!C31</f>
        <v>BANKINDIA</v>
      </c>
      <c r="B36" s="140">
        <f>VLOOKUP($A36,'Data shares'!$C:$FB,7)</f>
        <v>113.13</v>
      </c>
      <c r="C36" s="140">
        <f>VLOOKUP($A36,'Data shares'!$C:$FB,3)</f>
        <v>113.16</v>
      </c>
      <c r="D36" s="140">
        <f>VLOOKUP($A36,'Data shares'!$C:$FB,4)</f>
        <v>114.79</v>
      </c>
      <c r="E36" s="50">
        <f t="shared" si="0"/>
        <v>-1.4199843191915755</v>
      </c>
      <c r="F36" s="49">
        <f>VLOOKUP($A36,'Data shares'!$C:$FB,98)</f>
        <v>132329600</v>
      </c>
      <c r="G36" s="49">
        <f>VLOOKUP($A36,'Data shares'!$C:$FB,99)</f>
        <v>132090400</v>
      </c>
      <c r="H36" s="50">
        <f t="shared" si="1"/>
        <v>0.18108810329895283</v>
      </c>
      <c r="I36" s="49">
        <f>VLOOKUP($A36,'Data shares'!$C:$FB,66)</f>
        <v>30368000</v>
      </c>
      <c r="J36" s="49">
        <f>VLOOKUP($A36,'Data shares'!$C:$FB,67)</f>
        <v>45453200</v>
      </c>
      <c r="K36" s="50">
        <f t="shared" si="2"/>
        <v>-49.674657534246577</v>
      </c>
      <c r="L36" s="50">
        <f>VLOOKUP($A36,'Data shares'!$C:$FB,118)</f>
        <v>0.61</v>
      </c>
      <c r="M36" s="50">
        <f>VLOOKUP($A36,'Data shares'!$C:$FB,119)</f>
        <v>0.57999999999999996</v>
      </c>
      <c r="N36" s="50">
        <f>VLOOKUP($A36,'Data shares'!$C:$FB,121)*100</f>
        <v>5.17</v>
      </c>
      <c r="O36" s="50">
        <f>VLOOKUP($A36,'Data shares'!$C:$FB,124)</f>
        <v>0.46</v>
      </c>
      <c r="P36" s="50">
        <f>VLOOKUP($A36,'Data shares'!$C:$FB,125)</f>
        <v>0.46</v>
      </c>
      <c r="Q36" s="50">
        <f>VLOOKUP($A36,'Data shares'!$C:$FB,127)*100</f>
        <v>0</v>
      </c>
    </row>
    <row r="37" spans="1:17" x14ac:dyDescent="0.25">
      <c r="A37" s="97" t="str">
        <f>'Data Vlaue (Cr)'!C32</f>
        <v>BANKNIFTY</v>
      </c>
      <c r="B37" s="140">
        <f>VLOOKUP($A37,'Data shares'!$C:$FB,7)</f>
        <v>56756</v>
      </c>
      <c r="C37" s="140">
        <f>VLOOKUP($A37,'Data shares'!$C:$FB,3)</f>
        <v>56804.6</v>
      </c>
      <c r="D37" s="140">
        <f>VLOOKUP($A37,'Data shares'!$C:$FB,4)</f>
        <v>56981.8</v>
      </c>
      <c r="E37" s="50">
        <f t="shared" si="0"/>
        <v>-0.3109764872292633</v>
      </c>
      <c r="F37" s="49">
        <f>VLOOKUP($A37,'Data shares'!$C:$FB,98)</f>
        <v>47760695</v>
      </c>
      <c r="G37" s="49">
        <f>VLOOKUP($A37,'Data shares'!$C:$FB,99)</f>
        <v>44278250</v>
      </c>
      <c r="H37" s="50">
        <f t="shared" si="1"/>
        <v>7.8649111019518614</v>
      </c>
      <c r="I37" s="49">
        <f>VLOOKUP($A37,'Data shares'!$C:$FB,66)</f>
        <v>137479055</v>
      </c>
      <c r="J37" s="49">
        <f>VLOOKUP($A37,'Data shares'!$C:$FB,67)</f>
        <v>186630325</v>
      </c>
      <c r="K37" s="50">
        <f t="shared" si="2"/>
        <v>-35.751824159687452</v>
      </c>
      <c r="L37" s="50">
        <f>VLOOKUP($A37,'Data shares'!$C:$FB,118)</f>
        <v>0.81</v>
      </c>
      <c r="M37" s="50">
        <f>VLOOKUP($A37,'Data shares'!$C:$FB,119)</f>
        <v>0.88</v>
      </c>
      <c r="N37" s="50">
        <f>VLOOKUP($A37,'Data shares'!$C:$FB,121)*100</f>
        <v>-7.95</v>
      </c>
      <c r="O37" s="50">
        <f>VLOOKUP($A37,'Data shares'!$C:$FB,124)</f>
        <v>0.9</v>
      </c>
      <c r="P37" s="50">
        <f>VLOOKUP($A37,'Data shares'!$C:$FB,125)</f>
        <v>0.79</v>
      </c>
      <c r="Q37" s="50">
        <f>VLOOKUP($A37,'Data shares'!$C:$FB,127)*100</f>
        <v>13.919999999999998</v>
      </c>
    </row>
    <row r="38" spans="1:17" x14ac:dyDescent="0.25">
      <c r="A38" s="97" t="str">
        <f>'Data Vlaue (Cr)'!C33</f>
        <v>BDL</v>
      </c>
      <c r="B38" s="140">
        <f>VLOOKUP($A38,'Data shares'!$C:$FB,7)</f>
        <v>1717.4</v>
      </c>
      <c r="C38" s="140">
        <f>VLOOKUP($A38,'Data shares'!$C:$FB,3)</f>
        <v>1717.6</v>
      </c>
      <c r="D38" s="140">
        <f>VLOOKUP($A38,'Data shares'!$C:$FB,4)</f>
        <v>1721.9</v>
      </c>
      <c r="E38" s="50">
        <f t="shared" si="0"/>
        <v>-0.24972414193624379</v>
      </c>
      <c r="F38" s="49">
        <f>VLOOKUP($A38,'Data shares'!$C:$FB,98)</f>
        <v>12083500</v>
      </c>
      <c r="G38" s="49">
        <f>VLOOKUP($A38,'Data shares'!$C:$FB,99)</f>
        <v>12292150</v>
      </c>
      <c r="H38" s="50">
        <f t="shared" si="1"/>
        <v>-1.69742477922902</v>
      </c>
      <c r="I38" s="49">
        <f>VLOOKUP($A38,'Data shares'!$C:$FB,66)</f>
        <v>5955300</v>
      </c>
      <c r="J38" s="49">
        <f>VLOOKUP($A38,'Data shares'!$C:$FB,67)</f>
        <v>15917525</v>
      </c>
      <c r="K38" s="50">
        <f t="shared" si="2"/>
        <v>-167.28334424798078</v>
      </c>
      <c r="L38" s="50">
        <f>VLOOKUP($A38,'Data shares'!$C:$FB,118)</f>
        <v>0.35</v>
      </c>
      <c r="M38" s="50">
        <f>VLOOKUP($A38,'Data shares'!$C:$FB,119)</f>
        <v>0.36</v>
      </c>
      <c r="N38" s="50">
        <f>VLOOKUP($A38,'Data shares'!$C:$FB,121)*100</f>
        <v>-2.78</v>
      </c>
      <c r="O38" s="50">
        <f>VLOOKUP($A38,'Data shares'!$C:$FB,124)</f>
        <v>0.33</v>
      </c>
      <c r="P38" s="50">
        <f>VLOOKUP($A38,'Data shares'!$C:$FB,125)</f>
        <v>0.42</v>
      </c>
      <c r="Q38" s="50">
        <f>VLOOKUP($A38,'Data shares'!$C:$FB,127)*100</f>
        <v>-21.43</v>
      </c>
    </row>
    <row r="39" spans="1:17" x14ac:dyDescent="0.25">
      <c r="A39" s="97" t="str">
        <f>'Data Vlaue (Cr)'!C34</f>
        <v>BEL</v>
      </c>
      <c r="B39" s="140">
        <f>VLOOKUP($A39,'Data shares'!$C:$FB,7)</f>
        <v>403.1</v>
      </c>
      <c r="C39" s="140">
        <f>VLOOKUP($A39,'Data shares'!$C:$FB,3)</f>
        <v>403.65</v>
      </c>
      <c r="D39" s="140">
        <f>VLOOKUP($A39,'Data shares'!$C:$FB,4)</f>
        <v>401.1</v>
      </c>
      <c r="E39" s="50">
        <f t="shared" si="0"/>
        <v>0.63575168287209027</v>
      </c>
      <c r="F39" s="49">
        <f>VLOOKUP($A39,'Data shares'!$C:$FB,98)</f>
        <v>275099100</v>
      </c>
      <c r="G39" s="49">
        <f>VLOOKUP($A39,'Data shares'!$C:$FB,99)</f>
        <v>275908500</v>
      </c>
      <c r="H39" s="50">
        <f t="shared" si="1"/>
        <v>-0.29335812416072721</v>
      </c>
      <c r="I39" s="49">
        <f>VLOOKUP($A39,'Data shares'!$C:$FB,66)</f>
        <v>147484650</v>
      </c>
      <c r="J39" s="49">
        <f>VLOOKUP($A39,'Data shares'!$C:$FB,67)</f>
        <v>222240150</v>
      </c>
      <c r="K39" s="50">
        <f t="shared" si="2"/>
        <v>-50.686969796517815</v>
      </c>
      <c r="L39" s="50">
        <f>VLOOKUP($A39,'Data shares'!$C:$FB,118)</f>
        <v>0.56999999999999995</v>
      </c>
      <c r="M39" s="50">
        <f>VLOOKUP($A39,'Data shares'!$C:$FB,119)</f>
        <v>0.55000000000000004</v>
      </c>
      <c r="N39" s="50">
        <f>VLOOKUP($A39,'Data shares'!$C:$FB,121)*100</f>
        <v>3.64</v>
      </c>
      <c r="O39" s="50">
        <f>VLOOKUP($A39,'Data shares'!$C:$FB,124)</f>
        <v>0.47</v>
      </c>
      <c r="P39" s="50">
        <f>VLOOKUP($A39,'Data shares'!$C:$FB,125)</f>
        <v>0.55000000000000004</v>
      </c>
      <c r="Q39" s="50">
        <f>VLOOKUP($A39,'Data shares'!$C:$FB,127)*100</f>
        <v>-14.549999999999999</v>
      </c>
    </row>
    <row r="40" spans="1:17" x14ac:dyDescent="0.25">
      <c r="A40" s="97" t="str">
        <f>'Data Vlaue (Cr)'!C35</f>
        <v>BHARATFORG</v>
      </c>
      <c r="B40" s="140">
        <f>VLOOKUP($A40,'Data shares'!$C:$FB,7)</f>
        <v>1204.7</v>
      </c>
      <c r="C40" s="140">
        <f>VLOOKUP($A40,'Data shares'!$C:$FB,3)</f>
        <v>1206.5999999999999</v>
      </c>
      <c r="D40" s="140">
        <f>VLOOKUP($A40,'Data shares'!$C:$FB,4)</f>
        <v>1224.4000000000001</v>
      </c>
      <c r="E40" s="50">
        <f t="shared" si="0"/>
        <v>-1.4537732767069731</v>
      </c>
      <c r="F40" s="49">
        <f>VLOOKUP($A40,'Data shares'!$C:$FB,98)</f>
        <v>19941500</v>
      </c>
      <c r="G40" s="49">
        <f>VLOOKUP($A40,'Data shares'!$C:$FB,99)</f>
        <v>19669500</v>
      </c>
      <c r="H40" s="50">
        <f t="shared" si="1"/>
        <v>1.3828516230712524</v>
      </c>
      <c r="I40" s="49">
        <f>VLOOKUP($A40,'Data shares'!$C:$FB,66)</f>
        <v>4883000</v>
      </c>
      <c r="J40" s="49">
        <f>VLOOKUP($A40,'Data shares'!$C:$FB,67)</f>
        <v>3574500</v>
      </c>
      <c r="K40" s="50">
        <f t="shared" si="2"/>
        <v>26.797050993241861</v>
      </c>
      <c r="L40" s="50">
        <f>VLOOKUP($A40,'Data shares'!$C:$FB,118)</f>
        <v>0.65</v>
      </c>
      <c r="M40" s="50">
        <f>VLOOKUP($A40,'Data shares'!$C:$FB,119)</f>
        <v>0.63</v>
      </c>
      <c r="N40" s="50">
        <f>VLOOKUP($A40,'Data shares'!$C:$FB,121)*100</f>
        <v>3.17</v>
      </c>
      <c r="O40" s="50">
        <f>VLOOKUP($A40,'Data shares'!$C:$FB,124)</f>
        <v>0.55000000000000004</v>
      </c>
      <c r="P40" s="50">
        <f>VLOOKUP($A40,'Data shares'!$C:$FB,125)</f>
        <v>0.41</v>
      </c>
      <c r="Q40" s="50">
        <f>VLOOKUP($A40,'Data shares'!$C:$FB,127)*100</f>
        <v>34.150000000000006</v>
      </c>
    </row>
    <row r="41" spans="1:17" x14ac:dyDescent="0.25">
      <c r="A41" s="97" t="str">
        <f>'Data Vlaue (Cr)'!C36</f>
        <v>BHARTIARTL</v>
      </c>
      <c r="B41" s="140">
        <f>VLOOKUP($A41,'Data shares'!$C:$FB,7)</f>
        <v>1906.8</v>
      </c>
      <c r="C41" s="140">
        <f>VLOOKUP($A41,'Data shares'!$C:$FB,3)</f>
        <v>1908.2</v>
      </c>
      <c r="D41" s="140">
        <f>VLOOKUP($A41,'Data shares'!$C:$FB,4)</f>
        <v>1912.6</v>
      </c>
      <c r="E41" s="50">
        <f t="shared" si="0"/>
        <v>-0.23005333054480098</v>
      </c>
      <c r="F41" s="49">
        <f>VLOOKUP($A41,'Data shares'!$C:$FB,98)</f>
        <v>80465475</v>
      </c>
      <c r="G41" s="49">
        <f>VLOOKUP($A41,'Data shares'!$C:$FB,99)</f>
        <v>80772800</v>
      </c>
      <c r="H41" s="50">
        <f t="shared" si="1"/>
        <v>-0.38048080541964624</v>
      </c>
      <c r="I41" s="49">
        <f>VLOOKUP($A41,'Data shares'!$C:$FB,66)</f>
        <v>25201125</v>
      </c>
      <c r="J41" s="49">
        <f>VLOOKUP($A41,'Data shares'!$C:$FB,67)</f>
        <v>24735150</v>
      </c>
      <c r="K41" s="50">
        <f t="shared" si="2"/>
        <v>1.8490245971162</v>
      </c>
      <c r="L41" s="50">
        <f>VLOOKUP($A41,'Data shares'!$C:$FB,118)</f>
        <v>0.42</v>
      </c>
      <c r="M41" s="50">
        <f>VLOOKUP($A41,'Data shares'!$C:$FB,119)</f>
        <v>0.41</v>
      </c>
      <c r="N41" s="50">
        <f>VLOOKUP($A41,'Data shares'!$C:$FB,121)*100</f>
        <v>2.44</v>
      </c>
      <c r="O41" s="50">
        <f>VLOOKUP($A41,'Data shares'!$C:$FB,124)</f>
        <v>0.39</v>
      </c>
      <c r="P41" s="50">
        <f>VLOOKUP($A41,'Data shares'!$C:$FB,125)</f>
        <v>0.3</v>
      </c>
      <c r="Q41" s="50">
        <f>VLOOKUP($A41,'Data shares'!$C:$FB,127)*100</f>
        <v>30</v>
      </c>
    </row>
    <row r="42" spans="1:17" x14ac:dyDescent="0.25">
      <c r="A42" s="97" t="str">
        <f>'Data Vlaue (Cr)'!C37</f>
        <v>BHEL</v>
      </c>
      <c r="B42" s="140">
        <f>VLOOKUP($A42,'Data shares'!$C:$FB,7)</f>
        <v>250.5</v>
      </c>
      <c r="C42" s="140">
        <f>VLOOKUP($A42,'Data shares'!$C:$FB,3)</f>
        <v>250.8</v>
      </c>
      <c r="D42" s="140">
        <f>VLOOKUP($A42,'Data shares'!$C:$FB,4)</f>
        <v>255.3</v>
      </c>
      <c r="E42" s="50">
        <f t="shared" si="0"/>
        <v>-1.762632197414806</v>
      </c>
      <c r="F42" s="49">
        <f>VLOOKUP($A42,'Data shares'!$C:$FB,98)</f>
        <v>110040000</v>
      </c>
      <c r="G42" s="49">
        <f>VLOOKUP($A42,'Data shares'!$C:$FB,99)</f>
        <v>107262750</v>
      </c>
      <c r="H42" s="50">
        <f t="shared" si="1"/>
        <v>2.5892026821986196</v>
      </c>
      <c r="I42" s="49">
        <f>VLOOKUP($A42,'Data shares'!$C:$FB,66)</f>
        <v>42165375</v>
      </c>
      <c r="J42" s="49">
        <f>VLOOKUP($A42,'Data shares'!$C:$FB,67)</f>
        <v>43414875</v>
      </c>
      <c r="K42" s="50">
        <f t="shared" si="2"/>
        <v>-2.9633318807196662</v>
      </c>
      <c r="L42" s="50">
        <f>VLOOKUP($A42,'Data shares'!$C:$FB,118)</f>
        <v>0.52</v>
      </c>
      <c r="M42" s="50">
        <f>VLOOKUP($A42,'Data shares'!$C:$FB,119)</f>
        <v>0.54</v>
      </c>
      <c r="N42" s="50">
        <f>VLOOKUP($A42,'Data shares'!$C:$FB,121)*100</f>
        <v>-3.6999999999999997</v>
      </c>
      <c r="O42" s="50">
        <f>VLOOKUP($A42,'Data shares'!$C:$FB,124)</f>
        <v>0.54</v>
      </c>
      <c r="P42" s="50">
        <f>VLOOKUP($A42,'Data shares'!$C:$FB,125)</f>
        <v>0.45</v>
      </c>
      <c r="Q42" s="50">
        <f>VLOOKUP($A42,'Data shares'!$C:$FB,127)*100</f>
        <v>20</v>
      </c>
    </row>
    <row r="43" spans="1:17" x14ac:dyDescent="0.25">
      <c r="A43" s="97" t="str">
        <f>'Data Vlaue (Cr)'!C38</f>
        <v>BIOCON</v>
      </c>
      <c r="B43" s="140">
        <f>VLOOKUP($A43,'Data shares'!$C:$FB,7)</f>
        <v>387.2</v>
      </c>
      <c r="C43" s="140">
        <f>VLOOKUP($A43,'Data shares'!$C:$FB,3)</f>
        <v>388.05</v>
      </c>
      <c r="D43" s="140">
        <f>VLOOKUP($A43,'Data shares'!$C:$FB,4)</f>
        <v>396</v>
      </c>
      <c r="E43" s="50">
        <f t="shared" si="0"/>
        <v>-2.0075757575757547</v>
      </c>
      <c r="F43" s="49">
        <f>VLOOKUP($A43,'Data shares'!$C:$FB,98)</f>
        <v>77152500</v>
      </c>
      <c r="G43" s="49">
        <f>VLOOKUP($A43,'Data shares'!$C:$FB,99)</f>
        <v>79172500</v>
      </c>
      <c r="H43" s="50">
        <f t="shared" si="1"/>
        <v>-2.5513909501405156</v>
      </c>
      <c r="I43" s="49">
        <f>VLOOKUP($A43,'Data shares'!$C:$FB,66)</f>
        <v>36972500</v>
      </c>
      <c r="J43" s="49">
        <f>VLOOKUP($A43,'Data shares'!$C:$FB,67)</f>
        <v>27825000</v>
      </c>
      <c r="K43" s="50">
        <f t="shared" si="2"/>
        <v>24.741361822976536</v>
      </c>
      <c r="L43" s="50">
        <f>VLOOKUP($A43,'Data shares'!$C:$FB,118)</f>
        <v>0.65</v>
      </c>
      <c r="M43" s="50">
        <f>VLOOKUP($A43,'Data shares'!$C:$FB,119)</f>
        <v>0.71</v>
      </c>
      <c r="N43" s="50">
        <f>VLOOKUP($A43,'Data shares'!$C:$FB,121)*100</f>
        <v>-8.4500000000000011</v>
      </c>
      <c r="O43" s="50">
        <f>VLOOKUP($A43,'Data shares'!$C:$FB,124)</f>
        <v>0.59</v>
      </c>
      <c r="P43" s="50">
        <f>VLOOKUP($A43,'Data shares'!$C:$FB,125)</f>
        <v>0.51</v>
      </c>
      <c r="Q43" s="50">
        <f>VLOOKUP($A43,'Data shares'!$C:$FB,127)*100</f>
        <v>15.690000000000001</v>
      </c>
    </row>
    <row r="44" spans="1:17" x14ac:dyDescent="0.25">
      <c r="A44" s="97" t="str">
        <f>'Data Vlaue (Cr)'!C39</f>
        <v>BLUESTARCO</v>
      </c>
      <c r="B44" s="140">
        <f>VLOOKUP($A44,'Data shares'!$C:$FB,7)</f>
        <v>1764.2</v>
      </c>
      <c r="C44" s="140">
        <f>VLOOKUP($A44,'Data shares'!$C:$FB,3)</f>
        <v>1769.4</v>
      </c>
      <c r="D44" s="140">
        <f>VLOOKUP($A44,'Data shares'!$C:$FB,4)</f>
        <v>1823.8</v>
      </c>
      <c r="E44" s="50">
        <f t="shared" si="0"/>
        <v>-2.9827831999122636</v>
      </c>
      <c r="F44" s="49">
        <f>VLOOKUP($A44,'Data shares'!$C:$FB,98)</f>
        <v>5566275</v>
      </c>
      <c r="G44" s="49">
        <f>VLOOKUP($A44,'Data shares'!$C:$FB,99)</f>
        <v>5431400</v>
      </c>
      <c r="H44" s="50">
        <f t="shared" si="1"/>
        <v>2.4832455720440403</v>
      </c>
      <c r="I44" s="49">
        <f>VLOOKUP($A44,'Data shares'!$C:$FB,66)</f>
        <v>6252025</v>
      </c>
      <c r="J44" s="49">
        <f>VLOOKUP($A44,'Data shares'!$C:$FB,67)</f>
        <v>6010875</v>
      </c>
      <c r="K44" s="50">
        <f t="shared" si="2"/>
        <v>3.8571502833082083</v>
      </c>
      <c r="L44" s="50">
        <f>VLOOKUP($A44,'Data shares'!$C:$FB,118)</f>
        <v>1</v>
      </c>
      <c r="M44" s="50">
        <f>VLOOKUP($A44,'Data shares'!$C:$FB,119)</f>
        <v>1.1399999999999999</v>
      </c>
      <c r="N44" s="50">
        <f>VLOOKUP($A44,'Data shares'!$C:$FB,121)*100</f>
        <v>-12.280000000000001</v>
      </c>
      <c r="O44" s="50">
        <f>VLOOKUP($A44,'Data shares'!$C:$FB,124)</f>
        <v>0.85</v>
      </c>
      <c r="P44" s="50">
        <f>VLOOKUP($A44,'Data shares'!$C:$FB,125)</f>
        <v>1.77</v>
      </c>
      <c r="Q44" s="50">
        <f>VLOOKUP($A44,'Data shares'!$C:$FB,127)*100</f>
        <v>-51.980000000000004</v>
      </c>
    </row>
    <row r="45" spans="1:17" x14ac:dyDescent="0.25">
      <c r="A45" s="97" t="str">
        <f>'Data Vlaue (Cr)'!C40</f>
        <v>BOSCHLTD</v>
      </c>
      <c r="B45" s="140">
        <f>VLOOKUP($A45,'Data shares'!$C:$FB,7)</f>
        <v>37755</v>
      </c>
      <c r="C45" s="140">
        <f>VLOOKUP($A45,'Data shares'!$C:$FB,3)</f>
        <v>37350</v>
      </c>
      <c r="D45" s="140">
        <f>VLOOKUP($A45,'Data shares'!$C:$FB,4)</f>
        <v>37985</v>
      </c>
      <c r="E45" s="50">
        <f t="shared" si="0"/>
        <v>-1.6717125180992498</v>
      </c>
      <c r="F45" s="49">
        <f>VLOOKUP($A45,'Data shares'!$C:$FB,98)</f>
        <v>1020950</v>
      </c>
      <c r="G45" s="49">
        <f>VLOOKUP($A45,'Data shares'!$C:$FB,99)</f>
        <v>1103800</v>
      </c>
      <c r="H45" s="50">
        <f t="shared" si="1"/>
        <v>-7.5058887479615866</v>
      </c>
      <c r="I45" s="49">
        <f>VLOOKUP($A45,'Data shares'!$C:$FB,66)</f>
        <v>1148600</v>
      </c>
      <c r="J45" s="49">
        <f>VLOOKUP($A45,'Data shares'!$C:$FB,67)</f>
        <v>842300</v>
      </c>
      <c r="K45" s="50">
        <f t="shared" si="2"/>
        <v>26.667247083405886</v>
      </c>
      <c r="L45" s="50">
        <f>VLOOKUP($A45,'Data shares'!$C:$FB,118)</f>
        <v>0.56000000000000005</v>
      </c>
      <c r="M45" s="50">
        <f>VLOOKUP($A45,'Data shares'!$C:$FB,119)</f>
        <v>0.54</v>
      </c>
      <c r="N45" s="50">
        <f>VLOOKUP($A45,'Data shares'!$C:$FB,121)*100</f>
        <v>3.6999999999999997</v>
      </c>
      <c r="O45" s="50">
        <f>VLOOKUP($A45,'Data shares'!$C:$FB,124)</f>
        <v>0.52</v>
      </c>
      <c r="P45" s="50">
        <f>VLOOKUP($A45,'Data shares'!$C:$FB,125)</f>
        <v>0.37</v>
      </c>
      <c r="Q45" s="50">
        <f>VLOOKUP($A45,'Data shares'!$C:$FB,127)*100</f>
        <v>40.54</v>
      </c>
    </row>
    <row r="46" spans="1:17" x14ac:dyDescent="0.25">
      <c r="A46" s="97" t="str">
        <f>'Data Vlaue (Cr)'!C41</f>
        <v>BPCL</v>
      </c>
      <c r="B46" s="140">
        <f>VLOOKUP($A46,'Data shares'!$C:$FB,7)</f>
        <v>340.35</v>
      </c>
      <c r="C46" s="140">
        <f>VLOOKUP($A46,'Data shares'!$C:$FB,3)</f>
        <v>336.5</v>
      </c>
      <c r="D46" s="140">
        <f>VLOOKUP($A46,'Data shares'!$C:$FB,4)</f>
        <v>338.8</v>
      </c>
      <c r="E46" s="50">
        <f t="shared" si="0"/>
        <v>-0.67886658795750043</v>
      </c>
      <c r="F46" s="49">
        <f>VLOOKUP($A46,'Data shares'!$C:$FB,98)</f>
        <v>79707050</v>
      </c>
      <c r="G46" s="49">
        <f>VLOOKUP($A46,'Data shares'!$C:$FB,99)</f>
        <v>80066500</v>
      </c>
      <c r="H46" s="50">
        <f t="shared" si="1"/>
        <v>-0.44893931919092256</v>
      </c>
      <c r="I46" s="49">
        <f>VLOOKUP($A46,'Data shares'!$C:$FB,66)</f>
        <v>24249050</v>
      </c>
      <c r="J46" s="49">
        <f>VLOOKUP($A46,'Data shares'!$C:$FB,67)</f>
        <v>25242475</v>
      </c>
      <c r="K46" s="50">
        <f t="shared" si="2"/>
        <v>-4.096758429711679</v>
      </c>
      <c r="L46" s="50">
        <f>VLOOKUP($A46,'Data shares'!$C:$FB,118)</f>
        <v>0.7</v>
      </c>
      <c r="M46" s="50">
        <f>VLOOKUP($A46,'Data shares'!$C:$FB,119)</f>
        <v>0.7</v>
      </c>
      <c r="N46" s="50">
        <f>VLOOKUP($A46,'Data shares'!$C:$FB,121)*100</f>
        <v>0</v>
      </c>
      <c r="O46" s="50">
        <f>VLOOKUP($A46,'Data shares'!$C:$FB,124)</f>
        <v>0.54</v>
      </c>
      <c r="P46" s="50">
        <f>VLOOKUP($A46,'Data shares'!$C:$FB,125)</f>
        <v>0.65</v>
      </c>
      <c r="Q46" s="50">
        <f>VLOOKUP($A46,'Data shares'!$C:$FB,127)*100</f>
        <v>-16.919999999999998</v>
      </c>
    </row>
    <row r="47" spans="1:17" x14ac:dyDescent="0.25">
      <c r="A47" s="97" t="str">
        <f>'Data Vlaue (Cr)'!C42</f>
        <v>BRITANNIA</v>
      </c>
      <c r="B47" s="140">
        <f>VLOOKUP($A47,'Data shares'!$C:$FB,7)</f>
        <v>5708.5</v>
      </c>
      <c r="C47" s="140">
        <f>VLOOKUP($A47,'Data shares'!$C:$FB,3)</f>
        <v>5713</v>
      </c>
      <c r="D47" s="140">
        <f>VLOOKUP($A47,'Data shares'!$C:$FB,4)</f>
        <v>5700.5</v>
      </c>
      <c r="E47" s="50">
        <f t="shared" si="0"/>
        <v>0.21927901061310409</v>
      </c>
      <c r="F47" s="49">
        <f>VLOOKUP($A47,'Data shares'!$C:$FB,98)</f>
        <v>4369125</v>
      </c>
      <c r="G47" s="49">
        <f>VLOOKUP($A47,'Data shares'!$C:$FB,99)</f>
        <v>4333000</v>
      </c>
      <c r="H47" s="50">
        <f t="shared" si="1"/>
        <v>0.83371797830602346</v>
      </c>
      <c r="I47" s="49">
        <f>VLOOKUP($A47,'Data shares'!$C:$FB,66)</f>
        <v>2176750</v>
      </c>
      <c r="J47" s="49">
        <f>VLOOKUP($A47,'Data shares'!$C:$FB,67)</f>
        <v>1535125</v>
      </c>
      <c r="K47" s="50">
        <f t="shared" si="2"/>
        <v>29.476283450097622</v>
      </c>
      <c r="L47" s="50">
        <f>VLOOKUP($A47,'Data shares'!$C:$FB,118)</f>
        <v>0.59</v>
      </c>
      <c r="M47" s="50">
        <f>VLOOKUP($A47,'Data shares'!$C:$FB,119)</f>
        <v>0.55000000000000004</v>
      </c>
      <c r="N47" s="50">
        <f>VLOOKUP($A47,'Data shares'!$C:$FB,121)*100</f>
        <v>7.2700000000000005</v>
      </c>
      <c r="O47" s="50">
        <f>VLOOKUP($A47,'Data shares'!$C:$FB,124)</f>
        <v>0.56000000000000005</v>
      </c>
      <c r="P47" s="50">
        <f>VLOOKUP($A47,'Data shares'!$C:$FB,125)</f>
        <v>0.52</v>
      </c>
      <c r="Q47" s="50">
        <f>VLOOKUP($A47,'Data shares'!$C:$FB,127)*100</f>
        <v>7.6899999999999995</v>
      </c>
    </row>
    <row r="48" spans="1:17" x14ac:dyDescent="0.25">
      <c r="A48" s="97" t="str">
        <f>'Data Vlaue (Cr)'!C43</f>
        <v>BSE</v>
      </c>
      <c r="B48" s="140">
        <f>VLOOKUP($A48,'Data shares'!$C:$FB,7)</f>
        <v>2548.4</v>
      </c>
      <c r="C48" s="140">
        <f>VLOOKUP($A48,'Data shares'!$C:$FB,3)</f>
        <v>2551.1</v>
      </c>
      <c r="D48" s="140">
        <f>VLOOKUP($A48,'Data shares'!$C:$FB,4)</f>
        <v>2528</v>
      </c>
      <c r="E48" s="50">
        <f t="shared" si="0"/>
        <v>0.91376582278480645</v>
      </c>
      <c r="F48" s="49">
        <f>VLOOKUP($A48,'Data shares'!$C:$FB,98)</f>
        <v>43497000</v>
      </c>
      <c r="G48" s="49">
        <f>VLOOKUP($A48,'Data shares'!$C:$FB,99)</f>
        <v>44714250</v>
      </c>
      <c r="H48" s="50">
        <f t="shared" si="1"/>
        <v>-2.7222865193981782</v>
      </c>
      <c r="I48" s="49">
        <f>VLOOKUP($A48,'Data shares'!$C:$FB,66)</f>
        <v>34615500</v>
      </c>
      <c r="J48" s="49">
        <f>VLOOKUP($A48,'Data shares'!$C:$FB,67)</f>
        <v>63047625</v>
      </c>
      <c r="K48" s="50">
        <f t="shared" si="2"/>
        <v>-82.136976210079311</v>
      </c>
      <c r="L48" s="50">
        <f>VLOOKUP($A48,'Data shares'!$C:$FB,118)</f>
        <v>0.55000000000000004</v>
      </c>
      <c r="M48" s="50">
        <f>VLOOKUP($A48,'Data shares'!$C:$FB,119)</f>
        <v>0.55000000000000004</v>
      </c>
      <c r="N48" s="50">
        <f>VLOOKUP($A48,'Data shares'!$C:$FB,121)*100</f>
        <v>0</v>
      </c>
      <c r="O48" s="50">
        <f>VLOOKUP($A48,'Data shares'!$C:$FB,124)</f>
        <v>0.52</v>
      </c>
      <c r="P48" s="50">
        <f>VLOOKUP($A48,'Data shares'!$C:$FB,125)</f>
        <v>0.43</v>
      </c>
      <c r="Q48" s="50">
        <f>VLOOKUP($A48,'Data shares'!$C:$FB,127)*100</f>
        <v>20.93</v>
      </c>
    </row>
    <row r="49" spans="1:17" x14ac:dyDescent="0.25">
      <c r="A49" s="97" t="str">
        <f>'Data Vlaue (Cr)'!C44</f>
        <v>BSOFT</v>
      </c>
      <c r="B49" s="140">
        <f>VLOOKUP($A49,'Data shares'!$C:$FB,7)</f>
        <v>404.3</v>
      </c>
      <c r="C49" s="140">
        <f>VLOOKUP($A49,'Data shares'!$C:$FB,3)</f>
        <v>405.5</v>
      </c>
      <c r="D49" s="140">
        <f>VLOOKUP($A49,'Data shares'!$C:$FB,4)</f>
        <v>417.4</v>
      </c>
      <c r="E49" s="50">
        <f t="shared" si="0"/>
        <v>-2.8509822712026778</v>
      </c>
      <c r="F49" s="49">
        <f>VLOOKUP($A49,'Data shares'!$C:$FB,98)</f>
        <v>22295000</v>
      </c>
      <c r="G49" s="49">
        <f>VLOOKUP($A49,'Data shares'!$C:$FB,99)</f>
        <v>22928100</v>
      </c>
      <c r="H49" s="50">
        <f t="shared" si="1"/>
        <v>-2.7612405737937289</v>
      </c>
      <c r="I49" s="49">
        <f>VLOOKUP($A49,'Data shares'!$C:$FB,66)</f>
        <v>12356500</v>
      </c>
      <c r="J49" s="49">
        <f>VLOOKUP($A49,'Data shares'!$C:$FB,67)</f>
        <v>4625400</v>
      </c>
      <c r="K49" s="50">
        <f t="shared" si="2"/>
        <v>62.567069963177282</v>
      </c>
      <c r="L49" s="50">
        <f>VLOOKUP($A49,'Data shares'!$C:$FB,118)</f>
        <v>0.44</v>
      </c>
      <c r="M49" s="50">
        <f>VLOOKUP($A49,'Data shares'!$C:$FB,119)</f>
        <v>0.42</v>
      </c>
      <c r="N49" s="50">
        <f>VLOOKUP($A49,'Data shares'!$C:$FB,121)*100</f>
        <v>4.7600000000000007</v>
      </c>
      <c r="O49" s="50">
        <f>VLOOKUP($A49,'Data shares'!$C:$FB,124)</f>
        <v>0.24</v>
      </c>
      <c r="P49" s="50">
        <f>VLOOKUP($A49,'Data shares'!$C:$FB,125)</f>
        <v>0.24</v>
      </c>
      <c r="Q49" s="50">
        <f>VLOOKUP($A49,'Data shares'!$C:$FB,127)*100</f>
        <v>0</v>
      </c>
    </row>
    <row r="50" spans="1:17" x14ac:dyDescent="0.25">
      <c r="A50" s="97" t="str">
        <f>'Data Vlaue (Cr)'!C45</f>
        <v>CAMS</v>
      </c>
      <c r="B50" s="140">
        <f>VLOOKUP($A50,'Data shares'!$C:$FB,7)</f>
        <v>4247.5</v>
      </c>
      <c r="C50" s="140">
        <f>VLOOKUP($A50,'Data shares'!$C:$FB,3)</f>
        <v>4261.3999999999996</v>
      </c>
      <c r="D50" s="140">
        <f>VLOOKUP($A50,'Data shares'!$C:$FB,4)</f>
        <v>4260.8</v>
      </c>
      <c r="E50" s="50">
        <f t="shared" si="0"/>
        <v>1.4081862561008598E-2</v>
      </c>
      <c r="F50" s="49">
        <f>VLOOKUP($A50,'Data shares'!$C:$FB,98)</f>
        <v>4416150</v>
      </c>
      <c r="G50" s="49">
        <f>VLOOKUP($A50,'Data shares'!$C:$FB,99)</f>
        <v>4398900</v>
      </c>
      <c r="H50" s="50">
        <f t="shared" si="1"/>
        <v>0.39214349041805902</v>
      </c>
      <c r="I50" s="49">
        <f>VLOOKUP($A50,'Data shares'!$C:$FB,66)</f>
        <v>1539450</v>
      </c>
      <c r="J50" s="49">
        <f>VLOOKUP($A50,'Data shares'!$C:$FB,67)</f>
        <v>1344150</v>
      </c>
      <c r="K50" s="50">
        <f t="shared" si="2"/>
        <v>12.686349020754164</v>
      </c>
      <c r="L50" s="50">
        <f>VLOOKUP($A50,'Data shares'!$C:$FB,118)</f>
        <v>0.72</v>
      </c>
      <c r="M50" s="50">
        <f>VLOOKUP($A50,'Data shares'!$C:$FB,119)</f>
        <v>0.74</v>
      </c>
      <c r="N50" s="50">
        <f>VLOOKUP($A50,'Data shares'!$C:$FB,121)*100</f>
        <v>-2.7</v>
      </c>
      <c r="O50" s="50">
        <f>VLOOKUP($A50,'Data shares'!$C:$FB,124)</f>
        <v>0.39</v>
      </c>
      <c r="P50" s="50">
        <f>VLOOKUP($A50,'Data shares'!$C:$FB,125)</f>
        <v>0.5</v>
      </c>
      <c r="Q50" s="50">
        <f>VLOOKUP($A50,'Data shares'!$C:$FB,127)*100</f>
        <v>-22</v>
      </c>
    </row>
    <row r="51" spans="1:17" x14ac:dyDescent="0.25">
      <c r="A51" s="97" t="str">
        <f>'Data Vlaue (Cr)'!C46</f>
        <v>CANBK</v>
      </c>
      <c r="B51" s="140">
        <f>VLOOKUP($A51,'Data shares'!$C:$FB,7)</f>
        <v>108.05</v>
      </c>
      <c r="C51" s="140">
        <f>VLOOKUP($A51,'Data shares'!$C:$FB,3)</f>
        <v>108.09</v>
      </c>
      <c r="D51" s="140">
        <f>VLOOKUP($A51,'Data shares'!$C:$FB,4)</f>
        <v>112.07</v>
      </c>
      <c r="E51" s="50">
        <f t="shared" si="0"/>
        <v>-3.5513518336753722</v>
      </c>
      <c r="F51" s="49">
        <f>VLOOKUP($A51,'Data shares'!$C:$FB,98)</f>
        <v>461018250</v>
      </c>
      <c r="G51" s="49">
        <f>VLOOKUP($A51,'Data shares'!$C:$FB,99)</f>
        <v>412283250</v>
      </c>
      <c r="H51" s="50">
        <f t="shared" si="1"/>
        <v>11.820756724897265</v>
      </c>
      <c r="I51" s="49">
        <f>VLOOKUP($A51,'Data shares'!$C:$FB,66)</f>
        <v>493269750</v>
      </c>
      <c r="J51" s="49">
        <f>VLOOKUP($A51,'Data shares'!$C:$FB,67)</f>
        <v>414605250</v>
      </c>
      <c r="K51" s="50">
        <f t="shared" si="2"/>
        <v>15.947562160460885</v>
      </c>
      <c r="L51" s="50">
        <f>VLOOKUP($A51,'Data shares'!$C:$FB,118)</f>
        <v>0.62</v>
      </c>
      <c r="M51" s="50">
        <f>VLOOKUP($A51,'Data shares'!$C:$FB,119)</f>
        <v>0.67</v>
      </c>
      <c r="N51" s="50">
        <f>VLOOKUP($A51,'Data shares'!$C:$FB,121)*100</f>
        <v>-7.46</v>
      </c>
      <c r="O51" s="50">
        <f>VLOOKUP($A51,'Data shares'!$C:$FB,124)</f>
        <v>0.47</v>
      </c>
      <c r="P51" s="50">
        <f>VLOOKUP($A51,'Data shares'!$C:$FB,125)</f>
        <v>0.39</v>
      </c>
      <c r="Q51" s="50">
        <f>VLOOKUP($A51,'Data shares'!$C:$FB,127)*100</f>
        <v>20.51</v>
      </c>
    </row>
    <row r="52" spans="1:17" x14ac:dyDescent="0.25">
      <c r="A52" s="97" t="str">
        <f>'Data Vlaue (Cr)'!C47</f>
        <v>CDSL</v>
      </c>
      <c r="B52" s="140">
        <f>VLOOKUP($A52,'Data shares'!$C:$FB,7)</f>
        <v>1714.7</v>
      </c>
      <c r="C52" s="140">
        <f>VLOOKUP($A52,'Data shares'!$C:$FB,3)</f>
        <v>1716.2</v>
      </c>
      <c r="D52" s="140">
        <f>VLOOKUP($A52,'Data shares'!$C:$FB,4)</f>
        <v>1738</v>
      </c>
      <c r="E52" s="50">
        <f t="shared" si="0"/>
        <v>-1.2543153049482136</v>
      </c>
      <c r="F52" s="49">
        <f>VLOOKUP($A52,'Data shares'!$C:$FB,98)</f>
        <v>24263475</v>
      </c>
      <c r="G52" s="49">
        <f>VLOOKUP($A52,'Data shares'!$C:$FB,99)</f>
        <v>23077400</v>
      </c>
      <c r="H52" s="50">
        <f t="shared" si="1"/>
        <v>5.139552115922938</v>
      </c>
      <c r="I52" s="49">
        <f>VLOOKUP($A52,'Data shares'!$C:$FB,66)</f>
        <v>17020200</v>
      </c>
      <c r="J52" s="49">
        <f>VLOOKUP($A52,'Data shares'!$C:$FB,67)</f>
        <v>14529775</v>
      </c>
      <c r="K52" s="50">
        <f t="shared" si="2"/>
        <v>14.632172359901762</v>
      </c>
      <c r="L52" s="50">
        <f>VLOOKUP($A52,'Data shares'!$C:$FB,118)</f>
        <v>0.52</v>
      </c>
      <c r="M52" s="50">
        <f>VLOOKUP($A52,'Data shares'!$C:$FB,119)</f>
        <v>0.55000000000000004</v>
      </c>
      <c r="N52" s="50">
        <f>VLOOKUP($A52,'Data shares'!$C:$FB,121)*100</f>
        <v>-5.45</v>
      </c>
      <c r="O52" s="50">
        <f>VLOOKUP($A52,'Data shares'!$C:$FB,124)</f>
        <v>0.33</v>
      </c>
      <c r="P52" s="50">
        <f>VLOOKUP($A52,'Data shares'!$C:$FB,125)</f>
        <v>0.4</v>
      </c>
      <c r="Q52" s="50">
        <f>VLOOKUP($A52,'Data shares'!$C:$FB,127)*100</f>
        <v>-17.5</v>
      </c>
    </row>
    <row r="53" spans="1:17" x14ac:dyDescent="0.25">
      <c r="A53" s="97" t="str">
        <f>'Data Vlaue (Cr)'!C48</f>
        <v>CESC</v>
      </c>
      <c r="B53" s="140">
        <f>VLOOKUP($A53,'Data shares'!$C:$FB,7)</f>
        <v>177.93</v>
      </c>
      <c r="C53" s="140">
        <f>VLOOKUP($A53,'Data shares'!$C:$FB,3)</f>
        <v>177.98</v>
      </c>
      <c r="D53" s="140">
        <f>VLOOKUP($A53,'Data shares'!$C:$FB,4)</f>
        <v>178.94</v>
      </c>
      <c r="E53" s="50">
        <f t="shared" si="0"/>
        <v>-0.53649267911032084</v>
      </c>
      <c r="F53" s="49">
        <f>VLOOKUP($A53,'Data shares'!$C:$FB,98)</f>
        <v>34510000</v>
      </c>
      <c r="G53" s="49">
        <f>VLOOKUP($A53,'Data shares'!$C:$FB,99)</f>
        <v>35372750</v>
      </c>
      <c r="H53" s="50">
        <f t="shared" si="1"/>
        <v>-2.4390243902439024</v>
      </c>
      <c r="I53" s="49">
        <f>VLOOKUP($A53,'Data shares'!$C:$FB,66)</f>
        <v>6111750</v>
      </c>
      <c r="J53" s="49">
        <f>VLOOKUP($A53,'Data shares'!$C:$FB,67)</f>
        <v>16548125</v>
      </c>
      <c r="K53" s="50">
        <f t="shared" si="2"/>
        <v>-170.75919335705814</v>
      </c>
      <c r="L53" s="50">
        <f>VLOOKUP($A53,'Data shares'!$C:$FB,118)</f>
        <v>0.42</v>
      </c>
      <c r="M53" s="50">
        <f>VLOOKUP($A53,'Data shares'!$C:$FB,119)</f>
        <v>0.41</v>
      </c>
      <c r="N53" s="50">
        <f>VLOOKUP($A53,'Data shares'!$C:$FB,121)*100</f>
        <v>2.44</v>
      </c>
      <c r="O53" s="50">
        <f>VLOOKUP($A53,'Data shares'!$C:$FB,124)</f>
        <v>0.25</v>
      </c>
      <c r="P53" s="50">
        <f>VLOOKUP($A53,'Data shares'!$C:$FB,125)</f>
        <v>0.38</v>
      </c>
      <c r="Q53" s="50">
        <f>VLOOKUP($A53,'Data shares'!$C:$FB,127)*100</f>
        <v>-34.21</v>
      </c>
    </row>
    <row r="54" spans="1:17" x14ac:dyDescent="0.25">
      <c r="A54" s="97" t="str">
        <f>'Data Vlaue (Cr)'!C49</f>
        <v>CGPOWER</v>
      </c>
      <c r="B54" s="140">
        <f>VLOOKUP($A54,'Data shares'!$C:$FB,7)</f>
        <v>683.8</v>
      </c>
      <c r="C54" s="140">
        <f>VLOOKUP($A54,'Data shares'!$C:$FB,3)</f>
        <v>685.1</v>
      </c>
      <c r="D54" s="140">
        <f>VLOOKUP($A54,'Data shares'!$C:$FB,4)</f>
        <v>683.35</v>
      </c>
      <c r="E54" s="50">
        <f t="shared" si="0"/>
        <v>0.25609131484597936</v>
      </c>
      <c r="F54" s="49">
        <f>VLOOKUP($A54,'Data shares'!$C:$FB,98)</f>
        <v>27324100</v>
      </c>
      <c r="G54" s="49">
        <f>VLOOKUP($A54,'Data shares'!$C:$FB,99)</f>
        <v>27302000</v>
      </c>
      <c r="H54" s="50">
        <f t="shared" si="1"/>
        <v>8.0946450809464512E-2</v>
      </c>
      <c r="I54" s="49">
        <f>VLOOKUP($A54,'Data shares'!$C:$FB,66)</f>
        <v>12964200</v>
      </c>
      <c r="J54" s="49">
        <f>VLOOKUP($A54,'Data shares'!$C:$FB,67)</f>
        <v>12296100</v>
      </c>
      <c r="K54" s="50">
        <f t="shared" si="2"/>
        <v>5.1534225019669551</v>
      </c>
      <c r="L54" s="50">
        <f>VLOOKUP($A54,'Data shares'!$C:$FB,118)</f>
        <v>0.75</v>
      </c>
      <c r="M54" s="50">
        <f>VLOOKUP($A54,'Data shares'!$C:$FB,119)</f>
        <v>0.74</v>
      </c>
      <c r="N54" s="50">
        <f>VLOOKUP($A54,'Data shares'!$C:$FB,121)*100</f>
        <v>1.35</v>
      </c>
      <c r="O54" s="50">
        <f>VLOOKUP($A54,'Data shares'!$C:$FB,124)</f>
        <v>0.35</v>
      </c>
      <c r="P54" s="50">
        <f>VLOOKUP($A54,'Data shares'!$C:$FB,125)</f>
        <v>0.34</v>
      </c>
      <c r="Q54" s="50">
        <f>VLOOKUP($A54,'Data shares'!$C:$FB,127)*100</f>
        <v>2.94</v>
      </c>
    </row>
    <row r="55" spans="1:17" x14ac:dyDescent="0.25">
      <c r="A55" s="97" t="str">
        <f>'Data Vlaue (Cr)'!C50</f>
        <v>CHAMBLFERT</v>
      </c>
      <c r="B55" s="140">
        <f>VLOOKUP($A55,'Data shares'!$C:$FB,7)</f>
        <v>550.20000000000005</v>
      </c>
      <c r="C55" s="140">
        <f>VLOOKUP($A55,'Data shares'!$C:$FB,3)</f>
        <v>551.95000000000005</v>
      </c>
      <c r="D55" s="140">
        <f>VLOOKUP($A55,'Data shares'!$C:$FB,4)</f>
        <v>554.45000000000005</v>
      </c>
      <c r="E55" s="50">
        <f t="shared" si="0"/>
        <v>-0.45089728559834064</v>
      </c>
      <c r="F55" s="49">
        <f>VLOOKUP($A55,'Data shares'!$C:$FB,98)</f>
        <v>19131100</v>
      </c>
      <c r="G55" s="49">
        <f>VLOOKUP($A55,'Data shares'!$C:$FB,99)</f>
        <v>19507300</v>
      </c>
      <c r="H55" s="50">
        <f t="shared" si="1"/>
        <v>-1.9285088146488751</v>
      </c>
      <c r="I55" s="49">
        <f>VLOOKUP($A55,'Data shares'!$C:$FB,66)</f>
        <v>4185700</v>
      </c>
      <c r="J55" s="49">
        <f>VLOOKUP($A55,'Data shares'!$C:$FB,67)</f>
        <v>5661050</v>
      </c>
      <c r="K55" s="50">
        <f t="shared" si="2"/>
        <v>-35.247389922832504</v>
      </c>
      <c r="L55" s="50">
        <f>VLOOKUP($A55,'Data shares'!$C:$FB,118)</f>
        <v>0.47</v>
      </c>
      <c r="M55" s="50">
        <f>VLOOKUP($A55,'Data shares'!$C:$FB,119)</f>
        <v>0.49</v>
      </c>
      <c r="N55" s="50">
        <f>VLOOKUP($A55,'Data shares'!$C:$FB,121)*100</f>
        <v>-4.08</v>
      </c>
      <c r="O55" s="50">
        <f>VLOOKUP($A55,'Data shares'!$C:$FB,124)</f>
        <v>0.27</v>
      </c>
      <c r="P55" s="50">
        <f>VLOOKUP($A55,'Data shares'!$C:$FB,125)</f>
        <v>0.38</v>
      </c>
      <c r="Q55" s="50">
        <f>VLOOKUP($A55,'Data shares'!$C:$FB,127)*100</f>
        <v>-28.95</v>
      </c>
    </row>
    <row r="56" spans="1:17" x14ac:dyDescent="0.25">
      <c r="A56" s="97" t="str">
        <f>'Data Vlaue (Cr)'!C51</f>
        <v>CHOLAFIN</v>
      </c>
      <c r="B56" s="140">
        <f>VLOOKUP($A56,'Data shares'!$C:$FB,7)</f>
        <v>1565.4</v>
      </c>
      <c r="C56" s="140">
        <f>VLOOKUP($A56,'Data shares'!$C:$FB,3)</f>
        <v>1565</v>
      </c>
      <c r="D56" s="140">
        <f>VLOOKUP($A56,'Data shares'!$C:$FB,4)</f>
        <v>1576</v>
      </c>
      <c r="E56" s="50">
        <f t="shared" si="0"/>
        <v>-0.69796954314720816</v>
      </c>
      <c r="F56" s="49">
        <f>VLOOKUP($A56,'Data shares'!$C:$FB,98)</f>
        <v>19325625</v>
      </c>
      <c r="G56" s="49">
        <f>VLOOKUP($A56,'Data shares'!$C:$FB,99)</f>
        <v>19151250</v>
      </c>
      <c r="H56" s="50">
        <f t="shared" si="1"/>
        <v>0.91051497943998427</v>
      </c>
      <c r="I56" s="49">
        <f>VLOOKUP($A56,'Data shares'!$C:$FB,66)</f>
        <v>4680000</v>
      </c>
      <c r="J56" s="49">
        <f>VLOOKUP($A56,'Data shares'!$C:$FB,67)</f>
        <v>12791875</v>
      </c>
      <c r="K56" s="50">
        <f t="shared" si="2"/>
        <v>-173.33066239316238</v>
      </c>
      <c r="L56" s="50">
        <f>VLOOKUP($A56,'Data shares'!$C:$FB,118)</f>
        <v>0.76</v>
      </c>
      <c r="M56" s="50">
        <f>VLOOKUP($A56,'Data shares'!$C:$FB,119)</f>
        <v>0.76</v>
      </c>
      <c r="N56" s="50">
        <f>VLOOKUP($A56,'Data shares'!$C:$FB,121)*100</f>
        <v>0</v>
      </c>
      <c r="O56" s="50">
        <f>VLOOKUP($A56,'Data shares'!$C:$FB,124)</f>
        <v>0.5</v>
      </c>
      <c r="P56" s="50">
        <f>VLOOKUP($A56,'Data shares'!$C:$FB,125)</f>
        <v>0.53</v>
      </c>
      <c r="Q56" s="50">
        <f>VLOOKUP($A56,'Data shares'!$C:$FB,127)*100</f>
        <v>-5.66</v>
      </c>
    </row>
    <row r="57" spans="1:17" x14ac:dyDescent="0.25">
      <c r="A57" s="97" t="str">
        <f>'Data Vlaue (Cr)'!C52</f>
        <v>CIPLA</v>
      </c>
      <c r="B57" s="140">
        <f>VLOOKUP($A57,'Data shares'!$C:$FB,7)</f>
        <v>1464.4</v>
      </c>
      <c r="C57" s="140">
        <f>VLOOKUP($A57,'Data shares'!$C:$FB,3)</f>
        <v>1465.5</v>
      </c>
      <c r="D57" s="140">
        <f>VLOOKUP($A57,'Data shares'!$C:$FB,4)</f>
        <v>1475.2</v>
      </c>
      <c r="E57" s="50">
        <f t="shared" si="0"/>
        <v>-0.65753796095444994</v>
      </c>
      <c r="F57" s="49">
        <f>VLOOKUP($A57,'Data shares'!$C:$FB,98)</f>
        <v>20369250</v>
      </c>
      <c r="G57" s="49">
        <f>VLOOKUP($A57,'Data shares'!$C:$FB,99)</f>
        <v>20782125</v>
      </c>
      <c r="H57" s="50">
        <f t="shared" si="1"/>
        <v>-1.9866832674714447</v>
      </c>
      <c r="I57" s="49">
        <f>VLOOKUP($A57,'Data shares'!$C:$FB,66)</f>
        <v>6915750</v>
      </c>
      <c r="J57" s="49">
        <f>VLOOKUP($A57,'Data shares'!$C:$FB,67)</f>
        <v>3965250</v>
      </c>
      <c r="K57" s="50">
        <f t="shared" si="2"/>
        <v>42.663485522177638</v>
      </c>
      <c r="L57" s="50">
        <f>VLOOKUP($A57,'Data shares'!$C:$FB,118)</f>
        <v>0.5</v>
      </c>
      <c r="M57" s="50">
        <f>VLOOKUP($A57,'Data shares'!$C:$FB,119)</f>
        <v>0.5</v>
      </c>
      <c r="N57" s="50">
        <f>VLOOKUP($A57,'Data shares'!$C:$FB,121)*100</f>
        <v>0</v>
      </c>
      <c r="O57" s="50">
        <f>VLOOKUP($A57,'Data shares'!$C:$FB,124)</f>
        <v>0.71</v>
      </c>
      <c r="P57" s="50">
        <f>VLOOKUP($A57,'Data shares'!$C:$FB,125)</f>
        <v>0.62</v>
      </c>
      <c r="Q57" s="50">
        <f>VLOOKUP($A57,'Data shares'!$C:$FB,127)*100</f>
        <v>14.52</v>
      </c>
    </row>
    <row r="58" spans="1:17" x14ac:dyDescent="0.25">
      <c r="A58" s="97" t="str">
        <f>'Data Vlaue (Cr)'!C53</f>
        <v>COALINDIA</v>
      </c>
      <c r="B58" s="140">
        <f>VLOOKUP($A58,'Data shares'!$C:$FB,7)</f>
        <v>389.1</v>
      </c>
      <c r="C58" s="140">
        <f>VLOOKUP($A58,'Data shares'!$C:$FB,3)</f>
        <v>390.1</v>
      </c>
      <c r="D58" s="140">
        <f>VLOOKUP($A58,'Data shares'!$C:$FB,4)</f>
        <v>387.45</v>
      </c>
      <c r="E58" s="50">
        <f t="shared" si="0"/>
        <v>0.68395922054459524</v>
      </c>
      <c r="F58" s="49">
        <f>VLOOKUP($A58,'Data shares'!$C:$FB,98)</f>
        <v>154836900</v>
      </c>
      <c r="G58" s="49">
        <f>VLOOKUP($A58,'Data shares'!$C:$FB,99)</f>
        <v>160465050</v>
      </c>
      <c r="H58" s="50">
        <f t="shared" si="1"/>
        <v>-3.5073992747953522</v>
      </c>
      <c r="I58" s="49">
        <f>VLOOKUP($A58,'Data shares'!$C:$FB,66)</f>
        <v>62722350</v>
      </c>
      <c r="J58" s="49">
        <f>VLOOKUP($A58,'Data shares'!$C:$FB,67)</f>
        <v>41440950</v>
      </c>
      <c r="K58" s="50">
        <f t="shared" si="2"/>
        <v>33.929532295904089</v>
      </c>
      <c r="L58" s="50">
        <f>VLOOKUP($A58,'Data shares'!$C:$FB,118)</f>
        <v>0.75</v>
      </c>
      <c r="M58" s="50">
        <f>VLOOKUP($A58,'Data shares'!$C:$FB,119)</f>
        <v>0.72</v>
      </c>
      <c r="N58" s="50">
        <f>VLOOKUP($A58,'Data shares'!$C:$FB,121)*100</f>
        <v>4.17</v>
      </c>
      <c r="O58" s="50">
        <f>VLOOKUP($A58,'Data shares'!$C:$FB,124)</f>
        <v>0.53</v>
      </c>
      <c r="P58" s="50">
        <f>VLOOKUP($A58,'Data shares'!$C:$FB,125)</f>
        <v>0.64</v>
      </c>
      <c r="Q58" s="50">
        <f>VLOOKUP($A58,'Data shares'!$C:$FB,127)*100</f>
        <v>-17.190000000000001</v>
      </c>
    </row>
    <row r="59" spans="1:17" x14ac:dyDescent="0.25">
      <c r="A59" s="97" t="str">
        <f>'Data Vlaue (Cr)'!C54</f>
        <v>COFORGE</v>
      </c>
      <c r="B59" s="140">
        <f>VLOOKUP($A59,'Data shares'!$C:$FB,7)</f>
        <v>1858.4</v>
      </c>
      <c r="C59" s="140">
        <f>VLOOKUP($A59,'Data shares'!$C:$FB,3)</f>
        <v>1859</v>
      </c>
      <c r="D59" s="140">
        <f>VLOOKUP($A59,'Data shares'!$C:$FB,4)</f>
        <v>1877.5</v>
      </c>
      <c r="E59" s="50">
        <f t="shared" si="0"/>
        <v>-0.98535286284953394</v>
      </c>
      <c r="F59" s="49">
        <f>VLOOKUP($A59,'Data shares'!$C:$FB,98)</f>
        <v>22157250</v>
      </c>
      <c r="G59" s="49">
        <f>VLOOKUP($A59,'Data shares'!$C:$FB,99)</f>
        <v>21978375</v>
      </c>
      <c r="H59" s="50">
        <f t="shared" si="1"/>
        <v>0.81386817724240312</v>
      </c>
      <c r="I59" s="49">
        <f>VLOOKUP($A59,'Data shares'!$C:$FB,66)</f>
        <v>8163000</v>
      </c>
      <c r="J59" s="49">
        <f>VLOOKUP($A59,'Data shares'!$C:$FB,67)</f>
        <v>6381375</v>
      </c>
      <c r="K59" s="50">
        <f t="shared" si="2"/>
        <v>21.82561558250643</v>
      </c>
      <c r="L59" s="50">
        <f>VLOOKUP($A59,'Data shares'!$C:$FB,118)</f>
        <v>0.5</v>
      </c>
      <c r="M59" s="50">
        <f>VLOOKUP($A59,'Data shares'!$C:$FB,119)</f>
        <v>0.51</v>
      </c>
      <c r="N59" s="50">
        <f>VLOOKUP($A59,'Data shares'!$C:$FB,121)*100</f>
        <v>-1.96</v>
      </c>
      <c r="O59" s="50">
        <f>VLOOKUP($A59,'Data shares'!$C:$FB,124)</f>
        <v>0.36</v>
      </c>
      <c r="P59" s="50">
        <f>VLOOKUP($A59,'Data shares'!$C:$FB,125)</f>
        <v>0.38</v>
      </c>
      <c r="Q59" s="50">
        <f>VLOOKUP($A59,'Data shares'!$C:$FB,127)*100</f>
        <v>-5.26</v>
      </c>
    </row>
    <row r="60" spans="1:17" x14ac:dyDescent="0.25">
      <c r="A60" s="97" t="str">
        <f>'Data Vlaue (Cr)'!C55</f>
        <v>COLPAL</v>
      </c>
      <c r="B60" s="140">
        <f>VLOOKUP($A60,'Data shares'!$C:$FB,7)</f>
        <v>2379.5</v>
      </c>
      <c r="C60" s="140">
        <f>VLOOKUP($A60,'Data shares'!$C:$FB,3)</f>
        <v>2375.6</v>
      </c>
      <c r="D60" s="140">
        <f>VLOOKUP($A60,'Data shares'!$C:$FB,4)</f>
        <v>2390.9</v>
      </c>
      <c r="E60" s="50">
        <f t="shared" si="0"/>
        <v>-0.63992638755281195</v>
      </c>
      <c r="F60" s="49">
        <f>VLOOKUP($A60,'Data shares'!$C:$FB,98)</f>
        <v>9188550</v>
      </c>
      <c r="G60" s="49">
        <f>VLOOKUP($A60,'Data shares'!$C:$FB,99)</f>
        <v>8360100</v>
      </c>
      <c r="H60" s="50">
        <f t="shared" si="1"/>
        <v>9.909570459683497</v>
      </c>
      <c r="I60" s="49">
        <f>VLOOKUP($A60,'Data shares'!$C:$FB,66)</f>
        <v>17249850</v>
      </c>
      <c r="J60" s="49">
        <f>VLOOKUP($A60,'Data shares'!$C:$FB,67)</f>
        <v>2920050</v>
      </c>
      <c r="K60" s="50">
        <f t="shared" si="2"/>
        <v>83.072026713275775</v>
      </c>
      <c r="L60" s="50">
        <f>VLOOKUP($A60,'Data shares'!$C:$FB,118)</f>
        <v>0.84</v>
      </c>
      <c r="M60" s="50">
        <f>VLOOKUP($A60,'Data shares'!$C:$FB,119)</f>
        <v>1.04</v>
      </c>
      <c r="N60" s="50">
        <f>VLOOKUP($A60,'Data shares'!$C:$FB,121)*100</f>
        <v>-19.23</v>
      </c>
      <c r="O60" s="50">
        <f>VLOOKUP($A60,'Data shares'!$C:$FB,124)</f>
        <v>0.64</v>
      </c>
      <c r="P60" s="50">
        <f>VLOOKUP($A60,'Data shares'!$C:$FB,125)</f>
        <v>0.53</v>
      </c>
      <c r="Q60" s="50">
        <f>VLOOKUP($A60,'Data shares'!$C:$FB,127)*100</f>
        <v>20.75</v>
      </c>
    </row>
    <row r="61" spans="1:17" x14ac:dyDescent="0.25">
      <c r="A61" s="97" t="str">
        <f>'Data Vlaue (Cr)'!C56</f>
        <v>CONCOR</v>
      </c>
      <c r="B61" s="140">
        <f>VLOOKUP($A61,'Data shares'!$C:$FB,7)</f>
        <v>607.5</v>
      </c>
      <c r="C61" s="140">
        <f>VLOOKUP($A61,'Data shares'!$C:$FB,3)</f>
        <v>607.9</v>
      </c>
      <c r="D61" s="140">
        <f>VLOOKUP($A61,'Data shares'!$C:$FB,4)</f>
        <v>615.15</v>
      </c>
      <c r="E61" s="50">
        <f t="shared" si="0"/>
        <v>-1.1785743314638708</v>
      </c>
      <c r="F61" s="49">
        <f>VLOOKUP($A61,'Data shares'!$C:$FB,98)</f>
        <v>32168750</v>
      </c>
      <c r="G61" s="49">
        <f>VLOOKUP($A61,'Data shares'!$C:$FB,99)</f>
        <v>31633750</v>
      </c>
      <c r="H61" s="50">
        <f t="shared" si="1"/>
        <v>1.691231675030624</v>
      </c>
      <c r="I61" s="49">
        <f>VLOOKUP($A61,'Data shares'!$C:$FB,66)</f>
        <v>9645000</v>
      </c>
      <c r="J61" s="49">
        <f>VLOOKUP($A61,'Data shares'!$C:$FB,67)</f>
        <v>6985000</v>
      </c>
      <c r="K61" s="50">
        <f t="shared" si="2"/>
        <v>27.579056505961635</v>
      </c>
      <c r="L61" s="50">
        <f>VLOOKUP($A61,'Data shares'!$C:$FB,118)</f>
        <v>0.59</v>
      </c>
      <c r="M61" s="50">
        <f>VLOOKUP($A61,'Data shares'!$C:$FB,119)</f>
        <v>0.59</v>
      </c>
      <c r="N61" s="50">
        <f>VLOOKUP($A61,'Data shares'!$C:$FB,121)*100</f>
        <v>0</v>
      </c>
      <c r="O61" s="50">
        <f>VLOOKUP($A61,'Data shares'!$C:$FB,124)</f>
        <v>0.38</v>
      </c>
      <c r="P61" s="50">
        <f>VLOOKUP($A61,'Data shares'!$C:$FB,125)</f>
        <v>0.4</v>
      </c>
      <c r="Q61" s="50">
        <f>VLOOKUP($A61,'Data shares'!$C:$FB,127)*100</f>
        <v>-5</v>
      </c>
    </row>
    <row r="62" spans="1:17" x14ac:dyDescent="0.25">
      <c r="A62" s="97" t="str">
        <f>'Data Vlaue (Cr)'!C57</f>
        <v>CROMPTON</v>
      </c>
      <c r="B62" s="140">
        <f>VLOOKUP($A62,'Data shares'!$C:$FB,7)</f>
        <v>335.95</v>
      </c>
      <c r="C62" s="140">
        <f>VLOOKUP($A62,'Data shares'!$C:$FB,3)</f>
        <v>334.05</v>
      </c>
      <c r="D62" s="140">
        <f>VLOOKUP($A62,'Data shares'!$C:$FB,4)</f>
        <v>338.9</v>
      </c>
      <c r="E62" s="50">
        <f t="shared" si="0"/>
        <v>-1.4311006196518048</v>
      </c>
      <c r="F62" s="49">
        <f>VLOOKUP($A62,'Data shares'!$C:$FB,98)</f>
        <v>50005800</v>
      </c>
      <c r="G62" s="49">
        <f>VLOOKUP($A62,'Data shares'!$C:$FB,99)</f>
        <v>49125600</v>
      </c>
      <c r="H62" s="50">
        <f t="shared" si="1"/>
        <v>1.7917338414187307</v>
      </c>
      <c r="I62" s="49">
        <f>VLOOKUP($A62,'Data shares'!$C:$FB,66)</f>
        <v>21263400</v>
      </c>
      <c r="J62" s="49">
        <f>VLOOKUP($A62,'Data shares'!$C:$FB,67)</f>
        <v>8604000</v>
      </c>
      <c r="K62" s="50">
        <f t="shared" si="2"/>
        <v>59.536104291881827</v>
      </c>
      <c r="L62" s="50">
        <f>VLOOKUP($A62,'Data shares'!$C:$FB,118)</f>
        <v>0.63</v>
      </c>
      <c r="M62" s="50">
        <f>VLOOKUP($A62,'Data shares'!$C:$FB,119)</f>
        <v>0.61</v>
      </c>
      <c r="N62" s="50">
        <f>VLOOKUP($A62,'Data shares'!$C:$FB,121)*100</f>
        <v>3.2800000000000002</v>
      </c>
      <c r="O62" s="50">
        <f>VLOOKUP($A62,'Data shares'!$C:$FB,124)</f>
        <v>0.47</v>
      </c>
      <c r="P62" s="50">
        <f>VLOOKUP($A62,'Data shares'!$C:$FB,125)</f>
        <v>0.43</v>
      </c>
      <c r="Q62" s="50">
        <f>VLOOKUP($A62,'Data shares'!$C:$FB,127)*100</f>
        <v>9.3000000000000007</v>
      </c>
    </row>
    <row r="63" spans="1:17" x14ac:dyDescent="0.25">
      <c r="A63" s="97" t="str">
        <f>'Data Vlaue (Cr)'!C58</f>
        <v>CUMMINSIND</v>
      </c>
      <c r="B63" s="140">
        <f>VLOOKUP($A63,'Data shares'!$C:$FB,7)</f>
        <v>3587.4</v>
      </c>
      <c r="C63" s="140">
        <f>VLOOKUP($A63,'Data shares'!$C:$FB,3)</f>
        <v>3589.2</v>
      </c>
      <c r="D63" s="140">
        <f>VLOOKUP($A63,'Data shares'!$C:$FB,4)</f>
        <v>3621.6</v>
      </c>
      <c r="E63" s="50">
        <f t="shared" si="0"/>
        <v>-0.89463220675944588</v>
      </c>
      <c r="F63" s="49">
        <f>VLOOKUP($A63,'Data shares'!$C:$FB,98)</f>
        <v>4754000</v>
      </c>
      <c r="G63" s="49">
        <f>VLOOKUP($A63,'Data shares'!$C:$FB,99)</f>
        <v>4910200</v>
      </c>
      <c r="H63" s="50">
        <f t="shared" si="1"/>
        <v>-3.1811331513991283</v>
      </c>
      <c r="I63" s="49">
        <f>VLOOKUP($A63,'Data shares'!$C:$FB,66)</f>
        <v>2087600</v>
      </c>
      <c r="J63" s="49">
        <f>VLOOKUP($A63,'Data shares'!$C:$FB,67)</f>
        <v>4072400</v>
      </c>
      <c r="K63" s="50">
        <f t="shared" si="2"/>
        <v>-95.07568499712589</v>
      </c>
      <c r="L63" s="50">
        <f>VLOOKUP($A63,'Data shares'!$C:$FB,118)</f>
        <v>0.91</v>
      </c>
      <c r="M63" s="50">
        <f>VLOOKUP($A63,'Data shares'!$C:$FB,119)</f>
        <v>0.87</v>
      </c>
      <c r="N63" s="50">
        <f>VLOOKUP($A63,'Data shares'!$C:$FB,121)*100</f>
        <v>4.5999999999999996</v>
      </c>
      <c r="O63" s="50">
        <f>VLOOKUP($A63,'Data shares'!$C:$FB,124)</f>
        <v>0.56999999999999995</v>
      </c>
      <c r="P63" s="50">
        <f>VLOOKUP($A63,'Data shares'!$C:$FB,125)</f>
        <v>0.34</v>
      </c>
      <c r="Q63" s="50">
        <f>VLOOKUP($A63,'Data shares'!$C:$FB,127)*100</f>
        <v>67.650000000000006</v>
      </c>
    </row>
    <row r="64" spans="1:17" x14ac:dyDescent="0.25">
      <c r="A64" s="97" t="str">
        <f>'Data Vlaue (Cr)'!C59</f>
        <v>CYIENT</v>
      </c>
      <c r="B64" s="140">
        <f>VLOOKUP($A64,'Data shares'!$C:$FB,7)</f>
        <v>1271.2</v>
      </c>
      <c r="C64" s="140">
        <f>VLOOKUP($A64,'Data shares'!$C:$FB,3)</f>
        <v>1273.8</v>
      </c>
      <c r="D64" s="140">
        <f>VLOOKUP($A64,'Data shares'!$C:$FB,4)</f>
        <v>1285.2</v>
      </c>
      <c r="E64" s="50">
        <f t="shared" si="0"/>
        <v>-0.88702147525677644</v>
      </c>
      <c r="F64" s="49">
        <f>VLOOKUP($A64,'Data shares'!$C:$FB,98)</f>
        <v>5386025</v>
      </c>
      <c r="G64" s="49">
        <f>VLOOKUP($A64,'Data shares'!$C:$FB,99)</f>
        <v>5339700</v>
      </c>
      <c r="H64" s="50">
        <f t="shared" si="1"/>
        <v>0.86755810251512266</v>
      </c>
      <c r="I64" s="49">
        <f>VLOOKUP($A64,'Data shares'!$C:$FB,66)</f>
        <v>1092250</v>
      </c>
      <c r="J64" s="49">
        <f>VLOOKUP($A64,'Data shares'!$C:$FB,67)</f>
        <v>1327275</v>
      </c>
      <c r="K64" s="50">
        <f t="shared" si="2"/>
        <v>-21.517509727626461</v>
      </c>
      <c r="L64" s="50">
        <f>VLOOKUP($A64,'Data shares'!$C:$FB,118)</f>
        <v>0.75</v>
      </c>
      <c r="M64" s="50">
        <f>VLOOKUP($A64,'Data shares'!$C:$FB,119)</f>
        <v>0.72</v>
      </c>
      <c r="N64" s="50">
        <f>VLOOKUP($A64,'Data shares'!$C:$FB,121)*100</f>
        <v>4.17</v>
      </c>
      <c r="O64" s="50">
        <f>VLOOKUP($A64,'Data shares'!$C:$FB,124)</f>
        <v>0.64</v>
      </c>
      <c r="P64" s="50">
        <f>VLOOKUP($A64,'Data shares'!$C:$FB,125)</f>
        <v>0.5</v>
      </c>
      <c r="Q64" s="50">
        <f>VLOOKUP($A64,'Data shares'!$C:$FB,127)*100</f>
        <v>28.000000000000004</v>
      </c>
    </row>
    <row r="65" spans="1:17" x14ac:dyDescent="0.25">
      <c r="A65" s="97" t="str">
        <f>'Data Vlaue (Cr)'!C60</f>
        <v>DABUR</v>
      </c>
      <c r="B65" s="140">
        <f>VLOOKUP($A65,'Data shares'!$C:$FB,7)</f>
        <v>515.04999999999995</v>
      </c>
      <c r="C65" s="140">
        <f>VLOOKUP($A65,'Data shares'!$C:$FB,3)</f>
        <v>515.29999999999995</v>
      </c>
      <c r="D65" s="140">
        <f>VLOOKUP($A65,'Data shares'!$C:$FB,4)</f>
        <v>516.1</v>
      </c>
      <c r="E65" s="50">
        <f t="shared" si="0"/>
        <v>-0.15500871924047049</v>
      </c>
      <c r="F65" s="49">
        <f>VLOOKUP($A65,'Data shares'!$C:$FB,98)</f>
        <v>44146250</v>
      </c>
      <c r="G65" s="49">
        <f>VLOOKUP($A65,'Data shares'!$C:$FB,99)</f>
        <v>44710000</v>
      </c>
      <c r="H65" s="50">
        <f t="shared" si="1"/>
        <v>-1.2609036009841199</v>
      </c>
      <c r="I65" s="49">
        <f>VLOOKUP($A65,'Data shares'!$C:$FB,66)</f>
        <v>11286250</v>
      </c>
      <c r="J65" s="49">
        <f>VLOOKUP($A65,'Data shares'!$C:$FB,67)</f>
        <v>13845000</v>
      </c>
      <c r="K65" s="50">
        <f t="shared" si="2"/>
        <v>-22.671392180750914</v>
      </c>
      <c r="L65" s="50">
        <f>VLOOKUP($A65,'Data shares'!$C:$FB,118)</f>
        <v>1.05</v>
      </c>
      <c r="M65" s="50">
        <f>VLOOKUP($A65,'Data shares'!$C:$FB,119)</f>
        <v>1.03</v>
      </c>
      <c r="N65" s="50">
        <f>VLOOKUP($A65,'Data shares'!$C:$FB,121)*100</f>
        <v>1.94</v>
      </c>
      <c r="O65" s="50">
        <f>VLOOKUP($A65,'Data shares'!$C:$FB,124)</f>
        <v>0.43</v>
      </c>
      <c r="P65" s="50">
        <f>VLOOKUP($A65,'Data shares'!$C:$FB,125)</f>
        <v>0.78</v>
      </c>
      <c r="Q65" s="50">
        <f>VLOOKUP($A65,'Data shares'!$C:$FB,127)*100</f>
        <v>-44.87</v>
      </c>
    </row>
    <row r="66" spans="1:17" x14ac:dyDescent="0.25">
      <c r="A66" s="97" t="str">
        <f>'Data Vlaue (Cr)'!C61</f>
        <v>DALBHARAT</v>
      </c>
      <c r="B66" s="140">
        <f>VLOOKUP($A66,'Data shares'!$C:$FB,7)</f>
        <v>2320.1999999999998</v>
      </c>
      <c r="C66" s="140">
        <f>VLOOKUP($A66,'Data shares'!$C:$FB,3)</f>
        <v>2322</v>
      </c>
      <c r="D66" s="140">
        <f>VLOOKUP($A66,'Data shares'!$C:$FB,4)</f>
        <v>2270.8000000000002</v>
      </c>
      <c r="E66" s="50">
        <f t="shared" si="0"/>
        <v>2.2547119957724067</v>
      </c>
      <c r="F66" s="49">
        <f>VLOOKUP($A66,'Data shares'!$C:$FB,98)</f>
        <v>5344625</v>
      </c>
      <c r="G66" s="49">
        <f>VLOOKUP($A66,'Data shares'!$C:$FB,99)</f>
        <v>4714775</v>
      </c>
      <c r="H66" s="50">
        <f t="shared" si="1"/>
        <v>13.359068036120494</v>
      </c>
      <c r="I66" s="49">
        <f>VLOOKUP($A66,'Data shares'!$C:$FB,66)</f>
        <v>9040200</v>
      </c>
      <c r="J66" s="49">
        <f>VLOOKUP($A66,'Data shares'!$C:$FB,67)</f>
        <v>4534400</v>
      </c>
      <c r="K66" s="50">
        <f t="shared" si="2"/>
        <v>49.841817658901348</v>
      </c>
      <c r="L66" s="50">
        <f>VLOOKUP($A66,'Data shares'!$C:$FB,118)</f>
        <v>0.57999999999999996</v>
      </c>
      <c r="M66" s="50">
        <f>VLOOKUP($A66,'Data shares'!$C:$FB,119)</f>
        <v>0.47</v>
      </c>
      <c r="N66" s="50">
        <f>VLOOKUP($A66,'Data shares'!$C:$FB,121)*100</f>
        <v>23.400000000000002</v>
      </c>
      <c r="O66" s="50">
        <f>VLOOKUP($A66,'Data shares'!$C:$FB,124)</f>
        <v>0.4</v>
      </c>
      <c r="P66" s="50">
        <f>VLOOKUP($A66,'Data shares'!$C:$FB,125)</f>
        <v>0.23</v>
      </c>
      <c r="Q66" s="50">
        <f>VLOOKUP($A66,'Data shares'!$C:$FB,127)*100</f>
        <v>73.91</v>
      </c>
    </row>
    <row r="67" spans="1:17" x14ac:dyDescent="0.25">
      <c r="A67" s="97" t="str">
        <f>'Data Vlaue (Cr)'!C62</f>
        <v>DELHIVERY</v>
      </c>
      <c r="B67" s="140">
        <f>VLOOKUP($A67,'Data shares'!$C:$FB,7)</f>
        <v>436.85</v>
      </c>
      <c r="C67" s="140">
        <f>VLOOKUP($A67,'Data shares'!$C:$FB,3)</f>
        <v>434.85</v>
      </c>
      <c r="D67" s="140">
        <f>VLOOKUP($A67,'Data shares'!$C:$FB,4)</f>
        <v>432.85</v>
      </c>
      <c r="E67" s="50">
        <f t="shared" si="0"/>
        <v>0.46205382927111005</v>
      </c>
      <c r="F67" s="49">
        <f>VLOOKUP($A67,'Data shares'!$C:$FB,98)</f>
        <v>25312925</v>
      </c>
      <c r="G67" s="49">
        <f>VLOOKUP($A67,'Data shares'!$C:$FB,99)</f>
        <v>24242225</v>
      </c>
      <c r="H67" s="50">
        <f t="shared" si="1"/>
        <v>4.41667379953779</v>
      </c>
      <c r="I67" s="49">
        <f>VLOOKUP($A67,'Data shares'!$C:$FB,66)</f>
        <v>30979750</v>
      </c>
      <c r="J67" s="49">
        <f>VLOOKUP($A67,'Data shares'!$C:$FB,67)</f>
        <v>15355000</v>
      </c>
      <c r="K67" s="50">
        <f t="shared" si="2"/>
        <v>50.435365036838576</v>
      </c>
      <c r="L67" s="50">
        <f>VLOOKUP($A67,'Data shares'!$C:$FB,118)</f>
        <v>0.82</v>
      </c>
      <c r="M67" s="50">
        <f>VLOOKUP($A67,'Data shares'!$C:$FB,119)</f>
        <v>0.72</v>
      </c>
      <c r="N67" s="50">
        <f>VLOOKUP($A67,'Data shares'!$C:$FB,121)*100</f>
        <v>13.889999999999999</v>
      </c>
      <c r="O67" s="50">
        <f>VLOOKUP($A67,'Data shares'!$C:$FB,124)</f>
        <v>0.51</v>
      </c>
      <c r="P67" s="50">
        <f>VLOOKUP($A67,'Data shares'!$C:$FB,125)</f>
        <v>0.41</v>
      </c>
      <c r="Q67" s="50">
        <f>VLOOKUP($A67,'Data shares'!$C:$FB,127)*100</f>
        <v>24.39</v>
      </c>
    </row>
    <row r="68" spans="1:17" x14ac:dyDescent="0.25">
      <c r="A68" s="97" t="str">
        <f>'Data Vlaue (Cr)'!C63</f>
        <v>DIVISLAB</v>
      </c>
      <c r="B68" s="140">
        <f>VLOOKUP($A68,'Data shares'!$C:$FB,7)</f>
        <v>6613</v>
      </c>
      <c r="C68" s="140">
        <f>VLOOKUP($A68,'Data shares'!$C:$FB,3)</f>
        <v>6601</v>
      </c>
      <c r="D68" s="140">
        <f>VLOOKUP($A68,'Data shares'!$C:$FB,4)</f>
        <v>6675.5</v>
      </c>
      <c r="E68" s="50">
        <f t="shared" si="0"/>
        <v>-1.1160212718148452</v>
      </c>
      <c r="F68" s="49">
        <f>VLOOKUP($A68,'Data shares'!$C:$FB,98)</f>
        <v>4855300</v>
      </c>
      <c r="G68" s="49">
        <f>VLOOKUP($A68,'Data shares'!$C:$FB,99)</f>
        <v>4824800</v>
      </c>
      <c r="H68" s="50">
        <f t="shared" si="1"/>
        <v>0.6321505554634389</v>
      </c>
      <c r="I68" s="49">
        <f>VLOOKUP($A68,'Data shares'!$C:$FB,66)</f>
        <v>1695200</v>
      </c>
      <c r="J68" s="49">
        <f>VLOOKUP($A68,'Data shares'!$C:$FB,67)</f>
        <v>1319600</v>
      </c>
      <c r="K68" s="50">
        <f t="shared" si="2"/>
        <v>22.156677678150071</v>
      </c>
      <c r="L68" s="50">
        <f>VLOOKUP($A68,'Data shares'!$C:$FB,118)</f>
        <v>0.54</v>
      </c>
      <c r="M68" s="50">
        <f>VLOOKUP($A68,'Data shares'!$C:$FB,119)</f>
        <v>0.56000000000000005</v>
      </c>
      <c r="N68" s="50">
        <f>VLOOKUP($A68,'Data shares'!$C:$FB,121)*100</f>
        <v>-3.5700000000000003</v>
      </c>
      <c r="O68" s="50">
        <f>VLOOKUP($A68,'Data shares'!$C:$FB,124)</f>
        <v>0.48</v>
      </c>
      <c r="P68" s="50">
        <f>VLOOKUP($A68,'Data shares'!$C:$FB,125)</f>
        <v>0.51</v>
      </c>
      <c r="Q68" s="50">
        <f>VLOOKUP($A68,'Data shares'!$C:$FB,127)*100</f>
        <v>-5.88</v>
      </c>
    </row>
    <row r="69" spans="1:17" x14ac:dyDescent="0.25">
      <c r="A69" s="97" t="str">
        <f>'Data Vlaue (Cr)'!C64</f>
        <v>DIXON</v>
      </c>
      <c r="B69" s="140">
        <f>VLOOKUP($A69,'Data shares'!$C:$FB,7)</f>
        <v>16112</v>
      </c>
      <c r="C69" s="140">
        <f>VLOOKUP($A69,'Data shares'!$C:$FB,3)</f>
        <v>16134</v>
      </c>
      <c r="D69" s="140">
        <f>VLOOKUP($A69,'Data shares'!$C:$FB,4)</f>
        <v>16335</v>
      </c>
      <c r="E69" s="50">
        <f t="shared" si="0"/>
        <v>-1.2304866850321396</v>
      </c>
      <c r="F69" s="49">
        <f>VLOOKUP($A69,'Data shares'!$C:$FB,98)</f>
        <v>4200500</v>
      </c>
      <c r="G69" s="49">
        <f>VLOOKUP($A69,'Data shares'!$C:$FB,99)</f>
        <v>3720900</v>
      </c>
      <c r="H69" s="50">
        <f t="shared" si="1"/>
        <v>12.889354726007149</v>
      </c>
      <c r="I69" s="49">
        <f>VLOOKUP($A69,'Data shares'!$C:$FB,66)</f>
        <v>4822200</v>
      </c>
      <c r="J69" s="49">
        <f>VLOOKUP($A69,'Data shares'!$C:$FB,67)</f>
        <v>4841550</v>
      </c>
      <c r="K69" s="50">
        <f t="shared" si="2"/>
        <v>-0.40126913027248978</v>
      </c>
      <c r="L69" s="50">
        <f>VLOOKUP($A69,'Data shares'!$C:$FB,118)</f>
        <v>0.8</v>
      </c>
      <c r="M69" s="50">
        <f>VLOOKUP($A69,'Data shares'!$C:$FB,119)</f>
        <v>0.88</v>
      </c>
      <c r="N69" s="50">
        <f>VLOOKUP($A69,'Data shares'!$C:$FB,121)*100</f>
        <v>-9.09</v>
      </c>
      <c r="O69" s="50">
        <f>VLOOKUP($A69,'Data shares'!$C:$FB,124)</f>
        <v>0.68</v>
      </c>
      <c r="P69" s="50">
        <f>VLOOKUP($A69,'Data shares'!$C:$FB,125)</f>
        <v>0.5</v>
      </c>
      <c r="Q69" s="50">
        <f>VLOOKUP($A69,'Data shares'!$C:$FB,127)*100</f>
        <v>36</v>
      </c>
    </row>
    <row r="70" spans="1:17" x14ac:dyDescent="0.25">
      <c r="A70" s="97" t="str">
        <f>'Data Vlaue (Cr)'!C65</f>
        <v>DLF</v>
      </c>
      <c r="B70" s="140">
        <f>VLOOKUP($A70,'Data shares'!$C:$FB,7)</f>
        <v>845.5</v>
      </c>
      <c r="C70" s="140">
        <f>VLOOKUP($A70,'Data shares'!$C:$FB,3)</f>
        <v>839.85</v>
      </c>
      <c r="D70" s="140">
        <f>VLOOKUP($A70,'Data shares'!$C:$FB,4)</f>
        <v>847.7</v>
      </c>
      <c r="E70" s="50">
        <f t="shared" si="0"/>
        <v>-0.92603515394597413</v>
      </c>
      <c r="F70" s="49">
        <f>VLOOKUP($A70,'Data shares'!$C:$FB,98)</f>
        <v>73772325</v>
      </c>
      <c r="G70" s="49">
        <f>VLOOKUP($A70,'Data shares'!$C:$FB,99)</f>
        <v>74420775</v>
      </c>
      <c r="H70" s="50">
        <f t="shared" si="1"/>
        <v>-0.87132927599853671</v>
      </c>
      <c r="I70" s="49">
        <f>VLOOKUP($A70,'Data shares'!$C:$FB,66)</f>
        <v>27410625</v>
      </c>
      <c r="J70" s="49">
        <f>VLOOKUP($A70,'Data shares'!$C:$FB,67)</f>
        <v>22430100</v>
      </c>
      <c r="K70" s="50">
        <f t="shared" si="2"/>
        <v>18.170052671181338</v>
      </c>
      <c r="L70" s="50">
        <f>VLOOKUP($A70,'Data shares'!$C:$FB,118)</f>
        <v>0.56000000000000005</v>
      </c>
      <c r="M70" s="50">
        <f>VLOOKUP($A70,'Data shares'!$C:$FB,119)</f>
        <v>0.56000000000000005</v>
      </c>
      <c r="N70" s="50">
        <f>VLOOKUP($A70,'Data shares'!$C:$FB,121)*100</f>
        <v>0</v>
      </c>
      <c r="O70" s="50">
        <f>VLOOKUP($A70,'Data shares'!$C:$FB,124)</f>
        <v>0.5</v>
      </c>
      <c r="P70" s="50">
        <f>VLOOKUP($A70,'Data shares'!$C:$FB,125)</f>
        <v>0.45</v>
      </c>
      <c r="Q70" s="50">
        <f>VLOOKUP($A70,'Data shares'!$C:$FB,127)*100</f>
        <v>11.110000000000001</v>
      </c>
    </row>
    <row r="71" spans="1:17" x14ac:dyDescent="0.25">
      <c r="A71" s="97" t="str">
        <f>'Data Vlaue (Cr)'!C66</f>
        <v>DMART</v>
      </c>
      <c r="B71" s="140">
        <f>VLOOKUP($A71,'Data shares'!$C:$FB,7)</f>
        <v>4033.3</v>
      </c>
      <c r="C71" s="140">
        <f>VLOOKUP($A71,'Data shares'!$C:$FB,3)</f>
        <v>4044.2</v>
      </c>
      <c r="D71" s="140">
        <f>VLOOKUP($A71,'Data shares'!$C:$FB,4)</f>
        <v>4030.5</v>
      </c>
      <c r="E71" s="50">
        <f t="shared" si="0"/>
        <v>0.33990819997518468</v>
      </c>
      <c r="F71" s="49">
        <f>VLOOKUP($A71,'Data shares'!$C:$FB,98)</f>
        <v>10971450</v>
      </c>
      <c r="G71" s="49">
        <f>VLOOKUP($A71,'Data shares'!$C:$FB,99)</f>
        <v>11059950</v>
      </c>
      <c r="H71" s="50">
        <f t="shared" si="1"/>
        <v>-0.80018444929678711</v>
      </c>
      <c r="I71" s="49">
        <f>VLOOKUP($A71,'Data shares'!$C:$FB,66)</f>
        <v>4199250</v>
      </c>
      <c r="J71" s="49">
        <f>VLOOKUP($A71,'Data shares'!$C:$FB,67)</f>
        <v>3223800</v>
      </c>
      <c r="K71" s="50">
        <f t="shared" si="2"/>
        <v>23.229148062153957</v>
      </c>
      <c r="L71" s="50">
        <f>VLOOKUP($A71,'Data shares'!$C:$FB,118)</f>
        <v>0.44</v>
      </c>
      <c r="M71" s="50">
        <f>VLOOKUP($A71,'Data shares'!$C:$FB,119)</f>
        <v>0.45</v>
      </c>
      <c r="N71" s="50">
        <f>VLOOKUP($A71,'Data shares'!$C:$FB,121)*100</f>
        <v>-2.2200000000000002</v>
      </c>
      <c r="O71" s="50">
        <f>VLOOKUP($A71,'Data shares'!$C:$FB,124)</f>
        <v>0.31</v>
      </c>
      <c r="P71" s="50">
        <f>VLOOKUP($A71,'Data shares'!$C:$FB,125)</f>
        <v>0.36</v>
      </c>
      <c r="Q71" s="50">
        <f>VLOOKUP($A71,'Data shares'!$C:$FB,127)*100</f>
        <v>-13.889999999999999</v>
      </c>
    </row>
    <row r="72" spans="1:17" x14ac:dyDescent="0.25">
      <c r="A72" s="97" t="str">
        <f>'Data Vlaue (Cr)'!C67</f>
        <v>DRREDDY</v>
      </c>
      <c r="B72" s="140">
        <f>VLOOKUP($A72,'Data shares'!$C:$FB,7)</f>
        <v>1240</v>
      </c>
      <c r="C72" s="140">
        <f>VLOOKUP($A72,'Data shares'!$C:$FB,3)</f>
        <v>1240.9000000000001</v>
      </c>
      <c r="D72" s="140">
        <f>VLOOKUP($A72,'Data shares'!$C:$FB,4)</f>
        <v>1259.8</v>
      </c>
      <c r="E72" s="50">
        <f t="shared" ref="E72:E135" si="3">(C72-D72)/D72*100</f>
        <v>-1.5002381330369792</v>
      </c>
      <c r="F72" s="49">
        <f>VLOOKUP($A72,'Data shares'!$C:$FB,98)</f>
        <v>28465625</v>
      </c>
      <c r="G72" s="49">
        <f>VLOOKUP($A72,'Data shares'!$C:$FB,99)</f>
        <v>27771875</v>
      </c>
      <c r="H72" s="50">
        <f t="shared" ref="H72:H135" si="4">(F72-G72)/G72*100</f>
        <v>2.4980308315517048</v>
      </c>
      <c r="I72" s="49">
        <f>VLOOKUP($A72,'Data shares'!$C:$FB,66)</f>
        <v>14695625</v>
      </c>
      <c r="J72" s="49">
        <f>VLOOKUP($A72,'Data shares'!$C:$FB,67)</f>
        <v>6153125</v>
      </c>
      <c r="K72" s="50">
        <f t="shared" ref="K72:K135" si="5">(I72-J72)/I72*100</f>
        <v>58.129545357887125</v>
      </c>
      <c r="L72" s="50">
        <f>VLOOKUP($A72,'Data shares'!$C:$FB,118)</f>
        <v>0.47</v>
      </c>
      <c r="M72" s="50">
        <f>VLOOKUP($A72,'Data shares'!$C:$FB,119)</f>
        <v>0.46</v>
      </c>
      <c r="N72" s="50">
        <f>VLOOKUP($A72,'Data shares'!$C:$FB,121)*100</f>
        <v>2.17</v>
      </c>
      <c r="O72" s="50">
        <f>VLOOKUP($A72,'Data shares'!$C:$FB,124)</f>
        <v>0.85</v>
      </c>
      <c r="P72" s="50">
        <f>VLOOKUP($A72,'Data shares'!$C:$FB,125)</f>
        <v>0.49</v>
      </c>
      <c r="Q72" s="50">
        <f>VLOOKUP($A72,'Data shares'!$C:$FB,127)*100</f>
        <v>73.47</v>
      </c>
    </row>
    <row r="73" spans="1:17" x14ac:dyDescent="0.25">
      <c r="A73" s="97" t="str">
        <f>'Data Vlaue (Cr)'!C68</f>
        <v>EICHERMOT</v>
      </c>
      <c r="B73" s="140">
        <f>VLOOKUP($A73,'Data shares'!$C:$FB,7)</f>
        <v>5439.5</v>
      </c>
      <c r="C73" s="140">
        <f>VLOOKUP($A73,'Data shares'!$C:$FB,3)</f>
        <v>5455.5</v>
      </c>
      <c r="D73" s="140">
        <f>VLOOKUP($A73,'Data shares'!$C:$FB,4)</f>
        <v>5576</v>
      </c>
      <c r="E73" s="50">
        <f t="shared" si="3"/>
        <v>-2.1610473457675754</v>
      </c>
      <c r="F73" s="49">
        <f>VLOOKUP($A73,'Data shares'!$C:$FB,98)</f>
        <v>5752775</v>
      </c>
      <c r="G73" s="49">
        <f>VLOOKUP($A73,'Data shares'!$C:$FB,99)</f>
        <v>5334175</v>
      </c>
      <c r="H73" s="50">
        <f t="shared" si="4"/>
        <v>7.8475115645812155</v>
      </c>
      <c r="I73" s="49">
        <f>VLOOKUP($A73,'Data shares'!$C:$FB,66)</f>
        <v>3694600</v>
      </c>
      <c r="J73" s="49">
        <f>VLOOKUP($A73,'Data shares'!$C:$FB,67)</f>
        <v>2203075</v>
      </c>
      <c r="K73" s="50">
        <f t="shared" si="5"/>
        <v>40.370405456612353</v>
      </c>
      <c r="L73" s="50">
        <f>VLOOKUP($A73,'Data shares'!$C:$FB,118)</f>
        <v>0.52</v>
      </c>
      <c r="M73" s="50">
        <f>VLOOKUP($A73,'Data shares'!$C:$FB,119)</f>
        <v>0.55000000000000004</v>
      </c>
      <c r="N73" s="50">
        <f>VLOOKUP($A73,'Data shares'!$C:$FB,121)*100</f>
        <v>-5.45</v>
      </c>
      <c r="O73" s="50">
        <f>VLOOKUP($A73,'Data shares'!$C:$FB,124)</f>
        <v>0.62</v>
      </c>
      <c r="P73" s="50">
        <f>VLOOKUP($A73,'Data shares'!$C:$FB,125)</f>
        <v>0.66</v>
      </c>
      <c r="Q73" s="50">
        <f>VLOOKUP($A73,'Data shares'!$C:$FB,127)*100</f>
        <v>-6.0600000000000005</v>
      </c>
    </row>
    <row r="74" spans="1:17" x14ac:dyDescent="0.25">
      <c r="A74" s="97" t="str">
        <f>'Data Vlaue (Cr)'!C69</f>
        <v>ETERNAL</v>
      </c>
      <c r="B74" s="140">
        <f>VLOOKUP($A74,'Data shares'!$C:$FB,7)</f>
        <v>299.8</v>
      </c>
      <c r="C74" s="140">
        <f>VLOOKUP($A74,'Data shares'!$C:$FB,3)</f>
        <v>300.75</v>
      </c>
      <c r="D74" s="140">
        <f>VLOOKUP($A74,'Data shares'!$C:$FB,4)</f>
        <v>271.39999999999998</v>
      </c>
      <c r="E74" s="50">
        <f t="shared" si="3"/>
        <v>10.814296241709663</v>
      </c>
      <c r="F74" s="49">
        <f>VLOOKUP($A74,'Data shares'!$C:$FB,98)</f>
        <v>376903200</v>
      </c>
      <c r="G74" s="49">
        <f>VLOOKUP($A74,'Data shares'!$C:$FB,99)</f>
        <v>283038725</v>
      </c>
      <c r="H74" s="50">
        <f t="shared" si="4"/>
        <v>33.163121053488354</v>
      </c>
      <c r="I74" s="49">
        <f>VLOOKUP($A74,'Data shares'!$C:$FB,66)</f>
        <v>1678182450</v>
      </c>
      <c r="J74" s="49">
        <f>VLOOKUP($A74,'Data shares'!$C:$FB,67)</f>
        <v>621777275</v>
      </c>
      <c r="K74" s="50">
        <f t="shared" si="5"/>
        <v>62.949363759584067</v>
      </c>
      <c r="L74" s="50">
        <f>VLOOKUP($A74,'Data shares'!$C:$FB,118)</f>
        <v>1.06</v>
      </c>
      <c r="M74" s="50">
        <f>VLOOKUP($A74,'Data shares'!$C:$FB,119)</f>
        <v>0.81</v>
      </c>
      <c r="N74" s="50">
        <f>VLOOKUP($A74,'Data shares'!$C:$FB,121)*100</f>
        <v>30.86</v>
      </c>
      <c r="O74" s="50">
        <f>VLOOKUP($A74,'Data shares'!$C:$FB,124)</f>
        <v>0.77</v>
      </c>
      <c r="P74" s="50">
        <f>VLOOKUP($A74,'Data shares'!$C:$FB,125)</f>
        <v>0.62</v>
      </c>
      <c r="Q74" s="50">
        <f>VLOOKUP($A74,'Data shares'!$C:$FB,127)*100</f>
        <v>24.19</v>
      </c>
    </row>
    <row r="75" spans="1:17" x14ac:dyDescent="0.25">
      <c r="A75" s="97" t="str">
        <f>'Data Vlaue (Cr)'!C70</f>
        <v>EXIDEIND</v>
      </c>
      <c r="B75" s="140">
        <f>VLOOKUP($A75,'Data shares'!$C:$FB,7)</f>
        <v>394.25</v>
      </c>
      <c r="C75" s="140">
        <f>VLOOKUP($A75,'Data shares'!$C:$FB,3)</f>
        <v>395.3</v>
      </c>
      <c r="D75" s="140">
        <f>VLOOKUP($A75,'Data shares'!$C:$FB,4)</f>
        <v>390.45</v>
      </c>
      <c r="E75" s="50">
        <f t="shared" si="3"/>
        <v>1.2421564861057812</v>
      </c>
      <c r="F75" s="49">
        <f>VLOOKUP($A75,'Data shares'!$C:$FB,98)</f>
        <v>45567000</v>
      </c>
      <c r="G75" s="49">
        <f>VLOOKUP($A75,'Data shares'!$C:$FB,99)</f>
        <v>43385400</v>
      </c>
      <c r="H75" s="50">
        <f t="shared" si="4"/>
        <v>5.028419698792681</v>
      </c>
      <c r="I75" s="49">
        <f>VLOOKUP($A75,'Data shares'!$C:$FB,66)</f>
        <v>48726000</v>
      </c>
      <c r="J75" s="49">
        <f>VLOOKUP($A75,'Data shares'!$C:$FB,67)</f>
        <v>42395400</v>
      </c>
      <c r="K75" s="50">
        <f t="shared" si="5"/>
        <v>12.992242334687845</v>
      </c>
      <c r="L75" s="50">
        <f>VLOOKUP($A75,'Data shares'!$C:$FB,118)</f>
        <v>0.56999999999999995</v>
      </c>
      <c r="M75" s="50">
        <f>VLOOKUP($A75,'Data shares'!$C:$FB,119)</f>
        <v>0.6</v>
      </c>
      <c r="N75" s="50">
        <f>VLOOKUP($A75,'Data shares'!$C:$FB,121)*100</f>
        <v>-5</v>
      </c>
      <c r="O75" s="50">
        <f>VLOOKUP($A75,'Data shares'!$C:$FB,124)</f>
        <v>0.19</v>
      </c>
      <c r="P75" s="50">
        <f>VLOOKUP($A75,'Data shares'!$C:$FB,125)</f>
        <v>0.24</v>
      </c>
      <c r="Q75" s="50">
        <f>VLOOKUP($A75,'Data shares'!$C:$FB,127)*100</f>
        <v>-20.830000000000002</v>
      </c>
    </row>
    <row r="76" spans="1:17" x14ac:dyDescent="0.25">
      <c r="A76" s="97" t="str">
        <f>'Data Vlaue (Cr)'!C71</f>
        <v>FEDERALBNK</v>
      </c>
      <c r="B76" s="140">
        <f>VLOOKUP($A76,'Data shares'!$C:$FB,7)</f>
        <v>212.4</v>
      </c>
      <c r="C76" s="140">
        <f>VLOOKUP($A76,'Data shares'!$C:$FB,3)</f>
        <v>212.39</v>
      </c>
      <c r="D76" s="140">
        <f>VLOOKUP($A76,'Data shares'!$C:$FB,4)</f>
        <v>212.67</v>
      </c>
      <c r="E76" s="50">
        <f t="shared" si="3"/>
        <v>-0.13165937837964975</v>
      </c>
      <c r="F76" s="49">
        <f>VLOOKUP($A76,'Data shares'!$C:$FB,98)</f>
        <v>162860000</v>
      </c>
      <c r="G76" s="49">
        <f>VLOOKUP($A76,'Data shares'!$C:$FB,99)</f>
        <v>162405000</v>
      </c>
      <c r="H76" s="50">
        <f t="shared" si="4"/>
        <v>0.2801637880607124</v>
      </c>
      <c r="I76" s="49">
        <f>VLOOKUP($A76,'Data shares'!$C:$FB,66)</f>
        <v>60395000</v>
      </c>
      <c r="J76" s="49">
        <f>VLOOKUP($A76,'Data shares'!$C:$FB,67)</f>
        <v>124275000</v>
      </c>
      <c r="K76" s="50">
        <f t="shared" si="5"/>
        <v>-105.7703452272539</v>
      </c>
      <c r="L76" s="50">
        <f>VLOOKUP($A76,'Data shares'!$C:$FB,118)</f>
        <v>0.65</v>
      </c>
      <c r="M76" s="50">
        <f>VLOOKUP($A76,'Data shares'!$C:$FB,119)</f>
        <v>0.66</v>
      </c>
      <c r="N76" s="50">
        <f>VLOOKUP($A76,'Data shares'!$C:$FB,121)*100</f>
        <v>-1.52</v>
      </c>
      <c r="O76" s="50">
        <f>VLOOKUP($A76,'Data shares'!$C:$FB,124)</f>
        <v>0.67</v>
      </c>
      <c r="P76" s="50">
        <f>VLOOKUP($A76,'Data shares'!$C:$FB,125)</f>
        <v>0.62</v>
      </c>
      <c r="Q76" s="50">
        <f>VLOOKUP($A76,'Data shares'!$C:$FB,127)*100</f>
        <v>8.06</v>
      </c>
    </row>
    <row r="77" spans="1:17" x14ac:dyDescent="0.25">
      <c r="A77" s="97" t="str">
        <f>'Data Vlaue (Cr)'!C72</f>
        <v>FINNIFTY</v>
      </c>
      <c r="B77" s="140">
        <f>VLOOKUP($A77,'Data shares'!$C:$FB,7)</f>
        <v>26990.45</v>
      </c>
      <c r="C77" s="140">
        <f>VLOOKUP($A77,'Data shares'!$C:$FB,3)</f>
        <v>27004.7</v>
      </c>
      <c r="D77" s="140">
        <f>VLOOKUP($A77,'Data shares'!$C:$FB,4)</f>
        <v>27012.1</v>
      </c>
      <c r="E77" s="50">
        <f t="shared" si="3"/>
        <v>-2.7395130330473444E-2</v>
      </c>
      <c r="F77" s="49">
        <f>VLOOKUP($A77,'Data shares'!$C:$FB,98)</f>
        <v>2997735</v>
      </c>
      <c r="G77" s="49">
        <f>VLOOKUP($A77,'Data shares'!$C:$FB,99)</f>
        <v>2853435</v>
      </c>
      <c r="H77" s="50">
        <f t="shared" si="4"/>
        <v>5.0570628032529212</v>
      </c>
      <c r="I77" s="49">
        <f>VLOOKUP($A77,'Data shares'!$C:$FB,66)</f>
        <v>6596200</v>
      </c>
      <c r="J77" s="49">
        <f>VLOOKUP($A77,'Data shares'!$C:$FB,67)</f>
        <v>9493315</v>
      </c>
      <c r="K77" s="50">
        <f t="shared" si="5"/>
        <v>-43.92096964919196</v>
      </c>
      <c r="L77" s="50">
        <f>VLOOKUP($A77,'Data shares'!$C:$FB,118)</f>
        <v>0.87</v>
      </c>
      <c r="M77" s="50">
        <f>VLOOKUP($A77,'Data shares'!$C:$FB,119)</f>
        <v>0.86</v>
      </c>
      <c r="N77" s="50">
        <f>VLOOKUP($A77,'Data shares'!$C:$FB,121)*100</f>
        <v>1.1599999999999999</v>
      </c>
      <c r="O77" s="50">
        <f>VLOOKUP($A77,'Data shares'!$C:$FB,124)</f>
        <v>0.9</v>
      </c>
      <c r="P77" s="50">
        <f>VLOOKUP($A77,'Data shares'!$C:$FB,125)</f>
        <v>0.88</v>
      </c>
      <c r="Q77" s="50">
        <f>VLOOKUP($A77,'Data shares'!$C:$FB,127)*100</f>
        <v>2.27</v>
      </c>
    </row>
    <row r="78" spans="1:17" x14ac:dyDescent="0.25">
      <c r="A78" s="97" t="str">
        <f>'Data Vlaue (Cr)'!C73</f>
        <v>FORTIS</v>
      </c>
      <c r="B78" s="140">
        <f>VLOOKUP($A78,'Data shares'!$C:$FB,7)</f>
        <v>809.1</v>
      </c>
      <c r="C78" s="140">
        <f>VLOOKUP($A78,'Data shares'!$C:$FB,3)</f>
        <v>810.25</v>
      </c>
      <c r="D78" s="140">
        <f>VLOOKUP($A78,'Data shares'!$C:$FB,4)</f>
        <v>804.2</v>
      </c>
      <c r="E78" s="50">
        <f t="shared" si="3"/>
        <v>0.75230042278039722</v>
      </c>
      <c r="F78" s="49">
        <f>VLOOKUP($A78,'Data shares'!$C:$FB,98)</f>
        <v>13906600</v>
      </c>
      <c r="G78" s="49">
        <f>VLOOKUP($A78,'Data shares'!$C:$FB,99)</f>
        <v>13099050</v>
      </c>
      <c r="H78" s="50">
        <f t="shared" si="4"/>
        <v>6.1649508933853978</v>
      </c>
      <c r="I78" s="49">
        <f>VLOOKUP($A78,'Data shares'!$C:$FB,66)</f>
        <v>9250400</v>
      </c>
      <c r="J78" s="49">
        <f>VLOOKUP($A78,'Data shares'!$C:$FB,67)</f>
        <v>7712800</v>
      </c>
      <c r="K78" s="50">
        <f t="shared" si="5"/>
        <v>16.621983914209114</v>
      </c>
      <c r="L78" s="50">
        <f>VLOOKUP($A78,'Data shares'!$C:$FB,118)</f>
        <v>0.68</v>
      </c>
      <c r="M78" s="50">
        <f>VLOOKUP($A78,'Data shares'!$C:$FB,119)</f>
        <v>0.74</v>
      </c>
      <c r="N78" s="50">
        <f>VLOOKUP($A78,'Data shares'!$C:$FB,121)*100</f>
        <v>-8.1100000000000012</v>
      </c>
      <c r="O78" s="50">
        <f>VLOOKUP($A78,'Data shares'!$C:$FB,124)</f>
        <v>0.36</v>
      </c>
      <c r="P78" s="50">
        <f>VLOOKUP($A78,'Data shares'!$C:$FB,125)</f>
        <v>0.79</v>
      </c>
      <c r="Q78" s="50">
        <f>VLOOKUP($A78,'Data shares'!$C:$FB,127)*100</f>
        <v>-54.43</v>
      </c>
    </row>
    <row r="79" spans="1:17" x14ac:dyDescent="0.25">
      <c r="A79" s="97" t="str">
        <f>'Data Vlaue (Cr)'!C74</f>
        <v>GAIL</v>
      </c>
      <c r="B79" s="140">
        <f>VLOOKUP($A79,'Data shares'!$C:$FB,7)</f>
        <v>184.03</v>
      </c>
      <c r="C79" s="140">
        <f>VLOOKUP($A79,'Data shares'!$C:$FB,3)</f>
        <v>183.99</v>
      </c>
      <c r="D79" s="140">
        <f>VLOOKUP($A79,'Data shares'!$C:$FB,4)</f>
        <v>184.11</v>
      </c>
      <c r="E79" s="50">
        <f t="shared" si="3"/>
        <v>-6.5178425941015986E-2</v>
      </c>
      <c r="F79" s="49">
        <f>VLOOKUP($A79,'Data shares'!$C:$FB,98)</f>
        <v>187639200</v>
      </c>
      <c r="G79" s="49">
        <f>VLOOKUP($A79,'Data shares'!$C:$FB,99)</f>
        <v>188549550</v>
      </c>
      <c r="H79" s="50">
        <f t="shared" si="4"/>
        <v>-0.48281738142573133</v>
      </c>
      <c r="I79" s="49">
        <f>VLOOKUP($A79,'Data shares'!$C:$FB,66)</f>
        <v>50973300</v>
      </c>
      <c r="J79" s="49">
        <f>VLOOKUP($A79,'Data shares'!$C:$FB,67)</f>
        <v>32615100</v>
      </c>
      <c r="K79" s="50">
        <f t="shared" si="5"/>
        <v>36.015325670498086</v>
      </c>
      <c r="L79" s="50">
        <f>VLOOKUP($A79,'Data shares'!$C:$FB,118)</f>
        <v>0.6</v>
      </c>
      <c r="M79" s="50">
        <f>VLOOKUP($A79,'Data shares'!$C:$FB,119)</f>
        <v>0.59</v>
      </c>
      <c r="N79" s="50">
        <f>VLOOKUP($A79,'Data shares'!$C:$FB,121)*100</f>
        <v>1.69</v>
      </c>
      <c r="O79" s="50">
        <f>VLOOKUP($A79,'Data shares'!$C:$FB,124)</f>
        <v>0.56000000000000005</v>
      </c>
      <c r="P79" s="50">
        <f>VLOOKUP($A79,'Data shares'!$C:$FB,125)</f>
        <v>0.36</v>
      </c>
      <c r="Q79" s="50">
        <f>VLOOKUP($A79,'Data shares'!$C:$FB,127)*100</f>
        <v>55.559999999999995</v>
      </c>
    </row>
    <row r="80" spans="1:17" x14ac:dyDescent="0.25">
      <c r="A80" s="97" t="str">
        <f>'Data Vlaue (Cr)'!C75</f>
        <v>GLENMARK</v>
      </c>
      <c r="B80" s="140">
        <f>VLOOKUP($A80,'Data shares'!$C:$FB,7)</f>
        <v>2157.9</v>
      </c>
      <c r="C80" s="140">
        <f>VLOOKUP($A80,'Data shares'!$C:$FB,3)</f>
        <v>2161.5</v>
      </c>
      <c r="D80" s="140">
        <f>VLOOKUP($A80,'Data shares'!$C:$FB,4)</f>
        <v>2193</v>
      </c>
      <c r="E80" s="50">
        <f t="shared" si="3"/>
        <v>-1.4363885088919288</v>
      </c>
      <c r="F80" s="49">
        <f>VLOOKUP($A80,'Data shares'!$C:$FB,98)</f>
        <v>23221500</v>
      </c>
      <c r="G80" s="49">
        <f>VLOOKUP($A80,'Data shares'!$C:$FB,99)</f>
        <v>24119625</v>
      </c>
      <c r="H80" s="50">
        <f t="shared" si="4"/>
        <v>-3.7236275439605713</v>
      </c>
      <c r="I80" s="49">
        <f>VLOOKUP($A80,'Data shares'!$C:$FB,66)</f>
        <v>10852125</v>
      </c>
      <c r="J80" s="49">
        <f>VLOOKUP($A80,'Data shares'!$C:$FB,67)</f>
        <v>9789375</v>
      </c>
      <c r="K80" s="50">
        <f t="shared" si="5"/>
        <v>9.7930128891806891</v>
      </c>
      <c r="L80" s="50">
        <f>VLOOKUP($A80,'Data shares'!$C:$FB,118)</f>
        <v>0.93</v>
      </c>
      <c r="M80" s="50">
        <f>VLOOKUP($A80,'Data shares'!$C:$FB,119)</f>
        <v>0.96</v>
      </c>
      <c r="N80" s="50">
        <f>VLOOKUP($A80,'Data shares'!$C:$FB,121)*100</f>
        <v>-3.1199999999999997</v>
      </c>
      <c r="O80" s="50">
        <f>VLOOKUP($A80,'Data shares'!$C:$FB,124)</f>
        <v>0.93</v>
      </c>
      <c r="P80" s="50">
        <f>VLOOKUP($A80,'Data shares'!$C:$FB,125)</f>
        <v>1.01</v>
      </c>
      <c r="Q80" s="50">
        <f>VLOOKUP($A80,'Data shares'!$C:$FB,127)*100</f>
        <v>-7.9200000000000008</v>
      </c>
    </row>
    <row r="81" spans="1:17" x14ac:dyDescent="0.25">
      <c r="A81" s="97" t="str">
        <f>'Data Vlaue (Cr)'!C76</f>
        <v>GMRAIRPORT</v>
      </c>
      <c r="B81" s="140">
        <f>VLOOKUP($A81,'Data shares'!$C:$FB,7)</f>
        <v>91.92</v>
      </c>
      <c r="C81" s="140">
        <f>VLOOKUP($A81,'Data shares'!$C:$FB,3)</f>
        <v>91.99</v>
      </c>
      <c r="D81" s="140">
        <f>VLOOKUP($A81,'Data shares'!$C:$FB,4)</f>
        <v>93.77</v>
      </c>
      <c r="E81" s="50">
        <f t="shared" si="3"/>
        <v>-1.8982617041697785</v>
      </c>
      <c r="F81" s="49">
        <f>VLOOKUP($A81,'Data shares'!$C:$FB,98)</f>
        <v>321233625</v>
      </c>
      <c r="G81" s="49">
        <f>VLOOKUP($A81,'Data shares'!$C:$FB,99)</f>
        <v>322000875</v>
      </c>
      <c r="H81" s="50">
        <f t="shared" si="4"/>
        <v>-0.23827575002707679</v>
      </c>
      <c r="I81" s="49">
        <f>VLOOKUP($A81,'Data shares'!$C:$FB,66)</f>
        <v>97629075</v>
      </c>
      <c r="J81" s="49">
        <f>VLOOKUP($A81,'Data shares'!$C:$FB,67)</f>
        <v>75364875</v>
      </c>
      <c r="K81" s="50">
        <f t="shared" si="5"/>
        <v>22.804886761448881</v>
      </c>
      <c r="L81" s="50">
        <f>VLOOKUP($A81,'Data shares'!$C:$FB,118)</f>
        <v>0.5</v>
      </c>
      <c r="M81" s="50">
        <f>VLOOKUP($A81,'Data shares'!$C:$FB,119)</f>
        <v>0.52</v>
      </c>
      <c r="N81" s="50">
        <f>VLOOKUP($A81,'Data shares'!$C:$FB,121)*100</f>
        <v>-3.85</v>
      </c>
      <c r="O81" s="50">
        <f>VLOOKUP($A81,'Data shares'!$C:$FB,124)</f>
        <v>0.37</v>
      </c>
      <c r="P81" s="50">
        <f>VLOOKUP($A81,'Data shares'!$C:$FB,125)</f>
        <v>0.53</v>
      </c>
      <c r="Q81" s="50">
        <f>VLOOKUP($A81,'Data shares'!$C:$FB,127)*100</f>
        <v>-30.19</v>
      </c>
    </row>
    <row r="82" spans="1:17" x14ac:dyDescent="0.25">
      <c r="A82" s="97" t="str">
        <f>'Data Vlaue (Cr)'!C77</f>
        <v>GODREJCP</v>
      </c>
      <c r="B82" s="140">
        <f>VLOOKUP($A82,'Data shares'!$C:$FB,7)</f>
        <v>1242.4000000000001</v>
      </c>
      <c r="C82" s="140">
        <f>VLOOKUP($A82,'Data shares'!$C:$FB,3)</f>
        <v>1248.2</v>
      </c>
      <c r="D82" s="140">
        <f>VLOOKUP($A82,'Data shares'!$C:$FB,4)</f>
        <v>1242.5</v>
      </c>
      <c r="E82" s="50">
        <f t="shared" si="3"/>
        <v>0.45875251509054688</v>
      </c>
      <c r="F82" s="49">
        <f>VLOOKUP($A82,'Data shares'!$C:$FB,98)</f>
        <v>15369000</v>
      </c>
      <c r="G82" s="49">
        <f>VLOOKUP($A82,'Data shares'!$C:$FB,99)</f>
        <v>15284500</v>
      </c>
      <c r="H82" s="50">
        <f t="shared" si="4"/>
        <v>0.55284765612221531</v>
      </c>
      <c r="I82" s="49">
        <f>VLOOKUP($A82,'Data shares'!$C:$FB,66)</f>
        <v>3006000</v>
      </c>
      <c r="J82" s="49">
        <f>VLOOKUP($A82,'Data shares'!$C:$FB,67)</f>
        <v>3135500</v>
      </c>
      <c r="K82" s="50">
        <f t="shared" si="5"/>
        <v>-4.3080505655355958</v>
      </c>
      <c r="L82" s="50">
        <f>VLOOKUP($A82,'Data shares'!$C:$FB,118)</f>
        <v>0.62</v>
      </c>
      <c r="M82" s="50">
        <f>VLOOKUP($A82,'Data shares'!$C:$FB,119)</f>
        <v>0.57999999999999996</v>
      </c>
      <c r="N82" s="50">
        <f>VLOOKUP($A82,'Data shares'!$C:$FB,121)*100</f>
        <v>6.9</v>
      </c>
      <c r="O82" s="50">
        <f>VLOOKUP($A82,'Data shares'!$C:$FB,124)</f>
        <v>0.43</v>
      </c>
      <c r="P82" s="50">
        <f>VLOOKUP($A82,'Data shares'!$C:$FB,125)</f>
        <v>0.49</v>
      </c>
      <c r="Q82" s="50">
        <f>VLOOKUP($A82,'Data shares'!$C:$FB,127)*100</f>
        <v>-12.24</v>
      </c>
    </row>
    <row r="83" spans="1:17" x14ac:dyDescent="0.25">
      <c r="A83" s="97" t="str">
        <f>'Data Vlaue (Cr)'!C78</f>
        <v>GODREJPROP</v>
      </c>
      <c r="B83" s="140">
        <f>VLOOKUP($A83,'Data shares'!$C:$FB,7)</f>
        <v>2363.5</v>
      </c>
      <c r="C83" s="140">
        <f>VLOOKUP($A83,'Data shares'!$C:$FB,3)</f>
        <v>2363.9</v>
      </c>
      <c r="D83" s="140">
        <f>VLOOKUP($A83,'Data shares'!$C:$FB,4)</f>
        <v>2406.3000000000002</v>
      </c>
      <c r="E83" s="50">
        <f t="shared" si="3"/>
        <v>-1.7620413082325599</v>
      </c>
      <c r="F83" s="49">
        <f>VLOOKUP($A83,'Data shares'!$C:$FB,98)</f>
        <v>10830600</v>
      </c>
      <c r="G83" s="49">
        <f>VLOOKUP($A83,'Data shares'!$C:$FB,99)</f>
        <v>10938400</v>
      </c>
      <c r="H83" s="50">
        <f t="shared" si="4"/>
        <v>-0.98551890587288815</v>
      </c>
      <c r="I83" s="49">
        <f>VLOOKUP($A83,'Data shares'!$C:$FB,66)</f>
        <v>4393950</v>
      </c>
      <c r="J83" s="49">
        <f>VLOOKUP($A83,'Data shares'!$C:$FB,67)</f>
        <v>6329400</v>
      </c>
      <c r="K83" s="50">
        <f t="shared" si="5"/>
        <v>-44.048066090874954</v>
      </c>
      <c r="L83" s="50">
        <f>VLOOKUP($A83,'Data shares'!$C:$FB,118)</f>
        <v>0.64</v>
      </c>
      <c r="M83" s="50">
        <f>VLOOKUP($A83,'Data shares'!$C:$FB,119)</f>
        <v>0.71</v>
      </c>
      <c r="N83" s="50">
        <f>VLOOKUP($A83,'Data shares'!$C:$FB,121)*100</f>
        <v>-9.86</v>
      </c>
      <c r="O83" s="50">
        <f>VLOOKUP($A83,'Data shares'!$C:$FB,124)</f>
        <v>0.72</v>
      </c>
      <c r="P83" s="50">
        <f>VLOOKUP($A83,'Data shares'!$C:$FB,125)</f>
        <v>0.64</v>
      </c>
      <c r="Q83" s="50">
        <f>VLOOKUP($A83,'Data shares'!$C:$FB,127)*100</f>
        <v>12.5</v>
      </c>
    </row>
    <row r="84" spans="1:17" x14ac:dyDescent="0.25">
      <c r="A84" s="97" t="str">
        <f>'Data Vlaue (Cr)'!C79</f>
        <v>GRANULES</v>
      </c>
      <c r="B84" s="140">
        <f>VLOOKUP($A84,'Data shares'!$C:$FB,7)</f>
        <v>477.1</v>
      </c>
      <c r="C84" s="140">
        <f>VLOOKUP($A84,'Data shares'!$C:$FB,3)</f>
        <v>476.65</v>
      </c>
      <c r="D84" s="140">
        <f>VLOOKUP($A84,'Data shares'!$C:$FB,4)</f>
        <v>494.1</v>
      </c>
      <c r="E84" s="50">
        <f t="shared" si="3"/>
        <v>-3.531673750252994</v>
      </c>
      <c r="F84" s="49">
        <f>VLOOKUP($A84,'Data shares'!$C:$FB,98)</f>
        <v>20233650</v>
      </c>
      <c r="G84" s="49">
        <f>VLOOKUP($A84,'Data shares'!$C:$FB,99)</f>
        <v>19827300</v>
      </c>
      <c r="H84" s="50">
        <f t="shared" si="4"/>
        <v>2.0494469746258943</v>
      </c>
      <c r="I84" s="49">
        <f>VLOOKUP($A84,'Data shares'!$C:$FB,66)</f>
        <v>8131300</v>
      </c>
      <c r="J84" s="49">
        <f>VLOOKUP($A84,'Data shares'!$C:$FB,67)</f>
        <v>3502350</v>
      </c>
      <c r="K84" s="50">
        <f t="shared" si="5"/>
        <v>56.927551560021151</v>
      </c>
      <c r="L84" s="50">
        <f>VLOOKUP($A84,'Data shares'!$C:$FB,118)</f>
        <v>0.51</v>
      </c>
      <c r="M84" s="50">
        <f>VLOOKUP($A84,'Data shares'!$C:$FB,119)</f>
        <v>0.53</v>
      </c>
      <c r="N84" s="50">
        <f>VLOOKUP($A84,'Data shares'!$C:$FB,121)*100</f>
        <v>-3.7699999999999996</v>
      </c>
      <c r="O84" s="50">
        <f>VLOOKUP($A84,'Data shares'!$C:$FB,124)</f>
        <v>0.6</v>
      </c>
      <c r="P84" s="50">
        <f>VLOOKUP($A84,'Data shares'!$C:$FB,125)</f>
        <v>0.36</v>
      </c>
      <c r="Q84" s="50">
        <f>VLOOKUP($A84,'Data shares'!$C:$FB,127)*100</f>
        <v>66.67</v>
      </c>
    </row>
    <row r="85" spans="1:17" x14ac:dyDescent="0.25">
      <c r="A85" s="97" t="str">
        <f>'Data Vlaue (Cr)'!C80</f>
        <v>GRASIM</v>
      </c>
      <c r="B85" s="140">
        <f>VLOOKUP($A85,'Data shares'!$C:$FB,7)</f>
        <v>2722.7</v>
      </c>
      <c r="C85" s="140">
        <f>VLOOKUP($A85,'Data shares'!$C:$FB,3)</f>
        <v>2730</v>
      </c>
      <c r="D85" s="140">
        <f>VLOOKUP($A85,'Data shares'!$C:$FB,4)</f>
        <v>2750.2</v>
      </c>
      <c r="E85" s="50">
        <f t="shared" si="3"/>
        <v>-0.73449203694276122</v>
      </c>
      <c r="F85" s="49">
        <f>VLOOKUP($A85,'Data shares'!$C:$FB,98)</f>
        <v>16166250</v>
      </c>
      <c r="G85" s="49">
        <f>VLOOKUP($A85,'Data shares'!$C:$FB,99)</f>
        <v>15949000</v>
      </c>
      <c r="H85" s="50">
        <f t="shared" si="4"/>
        <v>1.3621543670449558</v>
      </c>
      <c r="I85" s="49">
        <f>VLOOKUP($A85,'Data shares'!$C:$FB,66)</f>
        <v>3134500</v>
      </c>
      <c r="J85" s="49">
        <f>VLOOKUP($A85,'Data shares'!$C:$FB,67)</f>
        <v>3371500</v>
      </c>
      <c r="K85" s="50">
        <f t="shared" si="5"/>
        <v>-7.5610145158717499</v>
      </c>
      <c r="L85" s="50">
        <f>VLOOKUP($A85,'Data shares'!$C:$FB,118)</f>
        <v>0.46</v>
      </c>
      <c r="M85" s="50">
        <f>VLOOKUP($A85,'Data shares'!$C:$FB,119)</f>
        <v>0.48</v>
      </c>
      <c r="N85" s="50">
        <f>VLOOKUP($A85,'Data shares'!$C:$FB,121)*100</f>
        <v>-4.17</v>
      </c>
      <c r="O85" s="50">
        <f>VLOOKUP($A85,'Data shares'!$C:$FB,124)</f>
        <v>0.38</v>
      </c>
      <c r="P85" s="50">
        <f>VLOOKUP($A85,'Data shares'!$C:$FB,125)</f>
        <v>0.28000000000000003</v>
      </c>
      <c r="Q85" s="50">
        <f>VLOOKUP($A85,'Data shares'!$C:$FB,127)*100</f>
        <v>35.709999999999994</v>
      </c>
    </row>
    <row r="86" spans="1:17" x14ac:dyDescent="0.25">
      <c r="A86" s="97" t="str">
        <f>'Data Vlaue (Cr)'!C81</f>
        <v>HAL</v>
      </c>
      <c r="B86" s="140">
        <f>VLOOKUP($A86,'Data shares'!$C:$FB,7)</f>
        <v>4758.2</v>
      </c>
      <c r="C86" s="140">
        <f>VLOOKUP($A86,'Data shares'!$C:$FB,3)</f>
        <v>4768.7</v>
      </c>
      <c r="D86" s="140">
        <f>VLOOKUP($A86,'Data shares'!$C:$FB,4)</f>
        <v>4758.3</v>
      </c>
      <c r="E86" s="50">
        <f t="shared" si="3"/>
        <v>0.21856545404870723</v>
      </c>
      <c r="F86" s="49">
        <f>VLOOKUP($A86,'Data shares'!$C:$FB,98)</f>
        <v>20104650</v>
      </c>
      <c r="G86" s="49">
        <f>VLOOKUP($A86,'Data shares'!$C:$FB,99)</f>
        <v>20205600</v>
      </c>
      <c r="H86" s="50">
        <f t="shared" si="4"/>
        <v>-0.49961396840479866</v>
      </c>
      <c r="I86" s="49">
        <f>VLOOKUP($A86,'Data shares'!$C:$FB,66)</f>
        <v>13200000</v>
      </c>
      <c r="J86" s="49">
        <f>VLOOKUP($A86,'Data shares'!$C:$FB,67)</f>
        <v>18745050</v>
      </c>
      <c r="K86" s="50">
        <f t="shared" si="5"/>
        <v>-42.007954545454545</v>
      </c>
      <c r="L86" s="50">
        <f>VLOOKUP($A86,'Data shares'!$C:$FB,118)</f>
        <v>0.52</v>
      </c>
      <c r="M86" s="50">
        <f>VLOOKUP($A86,'Data shares'!$C:$FB,119)</f>
        <v>0.5</v>
      </c>
      <c r="N86" s="50">
        <f>VLOOKUP($A86,'Data shares'!$C:$FB,121)*100</f>
        <v>4</v>
      </c>
      <c r="O86" s="50">
        <f>VLOOKUP($A86,'Data shares'!$C:$FB,124)</f>
        <v>0.36</v>
      </c>
      <c r="P86" s="50">
        <f>VLOOKUP($A86,'Data shares'!$C:$FB,125)</f>
        <v>0.4</v>
      </c>
      <c r="Q86" s="50">
        <f>VLOOKUP($A86,'Data shares'!$C:$FB,127)*100</f>
        <v>-10</v>
      </c>
    </row>
    <row r="87" spans="1:17" x14ac:dyDescent="0.25">
      <c r="A87" s="97" t="str">
        <f>'Data Vlaue (Cr)'!C82</f>
        <v>HAVELLS</v>
      </c>
      <c r="B87" s="140">
        <f>VLOOKUP($A87,'Data shares'!$C:$FB,7)</f>
        <v>1578.6</v>
      </c>
      <c r="C87" s="140">
        <f>VLOOKUP($A87,'Data shares'!$C:$FB,3)</f>
        <v>1581.2</v>
      </c>
      <c r="D87" s="140">
        <f>VLOOKUP($A87,'Data shares'!$C:$FB,4)</f>
        <v>1533.2</v>
      </c>
      <c r="E87" s="50">
        <f t="shared" si="3"/>
        <v>3.1307070180015653</v>
      </c>
      <c r="F87" s="49">
        <f>VLOOKUP($A87,'Data shares'!$C:$FB,98)</f>
        <v>16683000</v>
      </c>
      <c r="G87" s="49">
        <f>VLOOKUP($A87,'Data shares'!$C:$FB,99)</f>
        <v>18801000</v>
      </c>
      <c r="H87" s="50">
        <f t="shared" si="4"/>
        <v>-11.265358225626297</v>
      </c>
      <c r="I87" s="49">
        <f>VLOOKUP($A87,'Data shares'!$C:$FB,66)</f>
        <v>71440000</v>
      </c>
      <c r="J87" s="49">
        <f>VLOOKUP($A87,'Data shares'!$C:$FB,67)</f>
        <v>18631000</v>
      </c>
      <c r="K87" s="50">
        <f t="shared" si="5"/>
        <v>73.920772676371783</v>
      </c>
      <c r="L87" s="50">
        <f>VLOOKUP($A87,'Data shares'!$C:$FB,118)</f>
        <v>1.03</v>
      </c>
      <c r="M87" s="50">
        <f>VLOOKUP($A87,'Data shares'!$C:$FB,119)</f>
        <v>0.89</v>
      </c>
      <c r="N87" s="50">
        <f>VLOOKUP($A87,'Data shares'!$C:$FB,121)*100</f>
        <v>15.73</v>
      </c>
      <c r="O87" s="50">
        <f>VLOOKUP($A87,'Data shares'!$C:$FB,124)</f>
        <v>0.57999999999999996</v>
      </c>
      <c r="P87" s="50">
        <f>VLOOKUP($A87,'Data shares'!$C:$FB,125)</f>
        <v>0.72</v>
      </c>
      <c r="Q87" s="50">
        <f>VLOOKUP($A87,'Data shares'!$C:$FB,127)*100</f>
        <v>-19.439999999999998</v>
      </c>
    </row>
    <row r="88" spans="1:17" x14ac:dyDescent="0.25">
      <c r="A88" s="97" t="str">
        <f>'Data Vlaue (Cr)'!C83</f>
        <v>HCLTECH</v>
      </c>
      <c r="B88" s="140">
        <f>VLOOKUP($A88,'Data shares'!$C:$FB,7)</f>
        <v>1520.1</v>
      </c>
      <c r="C88" s="140">
        <f>VLOOKUP($A88,'Data shares'!$C:$FB,3)</f>
        <v>1524.9</v>
      </c>
      <c r="D88" s="140">
        <f>VLOOKUP($A88,'Data shares'!$C:$FB,4)</f>
        <v>1535.6</v>
      </c>
      <c r="E88" s="50">
        <f t="shared" si="3"/>
        <v>-0.69679604063557044</v>
      </c>
      <c r="F88" s="140">
        <f>VLOOKUP($A88,'Data shares'!$C:$FB,98)</f>
        <v>43713950</v>
      </c>
      <c r="G88" s="140">
        <f>VLOOKUP($A88,'Data shares'!$C:$FB,99)</f>
        <v>43776600</v>
      </c>
      <c r="H88" s="50">
        <f t="shared" si="4"/>
        <v>-0.14311298730371935</v>
      </c>
      <c r="I88" s="49">
        <f>VLOOKUP($A88,'Data shares'!$C:$FB,66)</f>
        <v>17588550</v>
      </c>
      <c r="J88" s="49">
        <f>VLOOKUP($A88,'Data shares'!$C:$FB,67)</f>
        <v>23830450</v>
      </c>
      <c r="K88" s="50">
        <f t="shared" si="5"/>
        <v>-35.48842855152926</v>
      </c>
      <c r="L88" s="50">
        <f>VLOOKUP($A88,'Data shares'!$C:$FB,118)</f>
        <v>0.38</v>
      </c>
      <c r="M88" s="50">
        <f>VLOOKUP($A88,'Data shares'!$C:$FB,119)</f>
        <v>0.39</v>
      </c>
      <c r="N88" s="50">
        <f>VLOOKUP($A88,'Data shares'!$C:$FB,121)*100</f>
        <v>-2.56</v>
      </c>
      <c r="O88" s="50">
        <f>VLOOKUP($A88,'Data shares'!$C:$FB,124)</f>
        <v>0.34</v>
      </c>
      <c r="P88" s="50">
        <f>VLOOKUP($A88,'Data shares'!$C:$FB,125)</f>
        <v>0.35</v>
      </c>
      <c r="Q88" s="50">
        <f>VLOOKUP($A88,'Data shares'!$C:$FB,127)*100</f>
        <v>-2.86</v>
      </c>
    </row>
    <row r="89" spans="1:17" x14ac:dyDescent="0.25">
      <c r="A89" s="97" t="str">
        <f>'Data Vlaue (Cr)'!C84</f>
        <v>HDFCAMC</v>
      </c>
      <c r="B89" s="140">
        <f>VLOOKUP($A89,'Data shares'!$C:$FB,7)</f>
        <v>5592.5</v>
      </c>
      <c r="C89" s="140">
        <f>VLOOKUP($A89,'Data shares'!$C:$FB,3)</f>
        <v>5593.5</v>
      </c>
      <c r="D89" s="140">
        <f>VLOOKUP($A89,'Data shares'!$C:$FB,4)</f>
        <v>5626.5</v>
      </c>
      <c r="E89" s="50">
        <f t="shared" si="3"/>
        <v>-0.5865102639296188</v>
      </c>
      <c r="F89" s="49">
        <f>VLOOKUP($A89,'Data shares'!$C:$FB,98)</f>
        <v>6207450</v>
      </c>
      <c r="G89" s="49">
        <f>VLOOKUP($A89,'Data shares'!$C:$FB,99)</f>
        <v>6402750</v>
      </c>
      <c r="H89" s="50">
        <f t="shared" si="4"/>
        <v>-3.0502518449103899</v>
      </c>
      <c r="I89" s="49">
        <f>VLOOKUP($A89,'Data shares'!$C:$FB,66)</f>
        <v>3433350</v>
      </c>
      <c r="J89" s="49">
        <f>VLOOKUP($A89,'Data shares'!$C:$FB,67)</f>
        <v>6442800</v>
      </c>
      <c r="K89" s="50">
        <f t="shared" si="5"/>
        <v>-87.65345799292237</v>
      </c>
      <c r="L89" s="50">
        <f>VLOOKUP($A89,'Data shares'!$C:$FB,118)</f>
        <v>0.7</v>
      </c>
      <c r="M89" s="50">
        <f>VLOOKUP($A89,'Data shares'!$C:$FB,119)</f>
        <v>0.72</v>
      </c>
      <c r="N89" s="50">
        <f>VLOOKUP($A89,'Data shares'!$C:$FB,121)*100</f>
        <v>-2.78</v>
      </c>
      <c r="O89" s="50">
        <f>VLOOKUP($A89,'Data shares'!$C:$FB,124)</f>
        <v>0.77</v>
      </c>
      <c r="P89" s="50">
        <f>VLOOKUP($A89,'Data shares'!$C:$FB,125)</f>
        <v>0.56999999999999995</v>
      </c>
      <c r="Q89" s="50">
        <f>VLOOKUP($A89,'Data shares'!$C:$FB,127)*100</f>
        <v>35.089999999999996</v>
      </c>
    </row>
    <row r="90" spans="1:17" x14ac:dyDescent="0.25">
      <c r="A90" s="97" t="str">
        <f>'Data Vlaue (Cr)'!C85</f>
        <v>HDFCBANK</v>
      </c>
      <c r="B90" s="140">
        <f>VLOOKUP($A90,'Data shares'!$C:$FB,7)</f>
        <v>2007.1</v>
      </c>
      <c r="C90" s="140">
        <f>VLOOKUP($A90,'Data shares'!$C:$FB,3)</f>
        <v>2004</v>
      </c>
      <c r="D90" s="140">
        <f>VLOOKUP($A90,'Data shares'!$C:$FB,4)</f>
        <v>1997.3</v>
      </c>
      <c r="E90" s="50">
        <f t="shared" si="3"/>
        <v>0.33545286136284214</v>
      </c>
      <c r="F90" s="49">
        <f>VLOOKUP($A90,'Data shares'!$C:$FB,98)</f>
        <v>162228550</v>
      </c>
      <c r="G90" s="49">
        <f>VLOOKUP($A90,'Data shares'!$C:$FB,99)</f>
        <v>165111100</v>
      </c>
      <c r="H90" s="50">
        <f t="shared" si="4"/>
        <v>-1.745824478184689</v>
      </c>
      <c r="I90" s="49">
        <f>VLOOKUP($A90,'Data shares'!$C:$FB,66)</f>
        <v>106014150</v>
      </c>
      <c r="J90" s="49">
        <f>VLOOKUP($A90,'Data shares'!$C:$FB,67)</f>
        <v>253475200</v>
      </c>
      <c r="K90" s="50">
        <f t="shared" si="5"/>
        <v>-139.09563015880425</v>
      </c>
      <c r="L90" s="50">
        <f>VLOOKUP($A90,'Data shares'!$C:$FB,118)</f>
        <v>0.59</v>
      </c>
      <c r="M90" s="50">
        <f>VLOOKUP($A90,'Data shares'!$C:$FB,119)</f>
        <v>0.55000000000000004</v>
      </c>
      <c r="N90" s="50">
        <f>VLOOKUP($A90,'Data shares'!$C:$FB,121)*100</f>
        <v>7.2700000000000005</v>
      </c>
      <c r="O90" s="50">
        <f>VLOOKUP($A90,'Data shares'!$C:$FB,124)</f>
        <v>0.69</v>
      </c>
      <c r="P90" s="50">
        <f>VLOOKUP($A90,'Data shares'!$C:$FB,125)</f>
        <v>0.76</v>
      </c>
      <c r="Q90" s="50">
        <f>VLOOKUP($A90,'Data shares'!$C:$FB,127)*100</f>
        <v>-9.2100000000000009</v>
      </c>
    </row>
    <row r="91" spans="1:17" x14ac:dyDescent="0.25">
      <c r="A91" s="97" t="str">
        <f>'Data Vlaue (Cr)'!C86</f>
        <v>HDFCLIFE</v>
      </c>
      <c r="B91" s="140">
        <f>VLOOKUP($A91,'Data shares'!$C:$FB,7)</f>
        <v>763.3</v>
      </c>
      <c r="C91" s="140">
        <f>VLOOKUP($A91,'Data shares'!$C:$FB,3)</f>
        <v>763.8</v>
      </c>
      <c r="D91" s="140">
        <f>VLOOKUP($A91,'Data shares'!$C:$FB,4)</f>
        <v>752.95</v>
      </c>
      <c r="E91" s="50">
        <f t="shared" si="3"/>
        <v>1.4409987382960234</v>
      </c>
      <c r="F91" s="49">
        <f>VLOOKUP($A91,'Data shares'!$C:$FB,98)</f>
        <v>60084200</v>
      </c>
      <c r="G91" s="49">
        <f>VLOOKUP($A91,'Data shares'!$C:$FB,99)</f>
        <v>64322500</v>
      </c>
      <c r="H91" s="50">
        <f t="shared" si="4"/>
        <v>-6.5891406584010257</v>
      </c>
      <c r="I91" s="49">
        <f>VLOOKUP($A91,'Data shares'!$C:$FB,66)</f>
        <v>63276400</v>
      </c>
      <c r="J91" s="49">
        <f>VLOOKUP($A91,'Data shares'!$C:$FB,67)</f>
        <v>30145500</v>
      </c>
      <c r="K91" s="50">
        <f t="shared" si="5"/>
        <v>52.359015367498785</v>
      </c>
      <c r="L91" s="50">
        <f>VLOOKUP($A91,'Data shares'!$C:$FB,118)</f>
        <v>0.51</v>
      </c>
      <c r="M91" s="50">
        <f>VLOOKUP($A91,'Data shares'!$C:$FB,119)</f>
        <v>0.47</v>
      </c>
      <c r="N91" s="50">
        <f>VLOOKUP($A91,'Data shares'!$C:$FB,121)*100</f>
        <v>8.51</v>
      </c>
      <c r="O91" s="50">
        <f>VLOOKUP($A91,'Data shares'!$C:$FB,124)</f>
        <v>0.38</v>
      </c>
      <c r="P91" s="50">
        <f>VLOOKUP($A91,'Data shares'!$C:$FB,125)</f>
        <v>0.43</v>
      </c>
      <c r="Q91" s="50">
        <f>VLOOKUP($A91,'Data shares'!$C:$FB,127)*100</f>
        <v>-11.63</v>
      </c>
    </row>
    <row r="92" spans="1:17" x14ac:dyDescent="0.25">
      <c r="A92" s="97" t="str">
        <f>'Data Vlaue (Cr)'!C87</f>
        <v>HEROMOTOCO</v>
      </c>
      <c r="B92" s="140">
        <f>VLOOKUP($A92,'Data shares'!$C:$FB,7)</f>
        <v>4342.3999999999996</v>
      </c>
      <c r="C92" s="140">
        <f>VLOOKUP($A92,'Data shares'!$C:$FB,3)</f>
        <v>4262.8</v>
      </c>
      <c r="D92" s="140">
        <f>VLOOKUP($A92,'Data shares'!$C:$FB,4)</f>
        <v>4342.2</v>
      </c>
      <c r="E92" s="50">
        <f t="shared" si="3"/>
        <v>-1.8285661646170059</v>
      </c>
      <c r="F92" s="49">
        <f>VLOOKUP($A92,'Data shares'!$C:$FB,98)</f>
        <v>13135950</v>
      </c>
      <c r="G92" s="49">
        <f>VLOOKUP($A92,'Data shares'!$C:$FB,99)</f>
        <v>12509700</v>
      </c>
      <c r="H92" s="50">
        <f t="shared" si="4"/>
        <v>5.0061152545624594</v>
      </c>
      <c r="I92" s="49">
        <f>VLOOKUP($A92,'Data shares'!$C:$FB,66)</f>
        <v>9512850</v>
      </c>
      <c r="J92" s="49">
        <f>VLOOKUP($A92,'Data shares'!$C:$FB,67)</f>
        <v>7107750</v>
      </c>
      <c r="K92" s="50">
        <f t="shared" si="5"/>
        <v>25.282644002585975</v>
      </c>
      <c r="L92" s="50">
        <f>VLOOKUP($A92,'Data shares'!$C:$FB,118)</f>
        <v>0.54</v>
      </c>
      <c r="M92" s="50">
        <f>VLOOKUP($A92,'Data shares'!$C:$FB,119)</f>
        <v>0.57999999999999996</v>
      </c>
      <c r="N92" s="50">
        <f>VLOOKUP($A92,'Data shares'!$C:$FB,121)*100</f>
        <v>-6.9</v>
      </c>
      <c r="O92" s="50">
        <f>VLOOKUP($A92,'Data shares'!$C:$FB,124)</f>
        <v>0.37</v>
      </c>
      <c r="P92" s="50">
        <f>VLOOKUP($A92,'Data shares'!$C:$FB,125)</f>
        <v>0.36</v>
      </c>
      <c r="Q92" s="50">
        <f>VLOOKUP($A92,'Data shares'!$C:$FB,127)*100</f>
        <v>2.78</v>
      </c>
    </row>
    <row r="93" spans="1:17" x14ac:dyDescent="0.25">
      <c r="A93" s="97" t="str">
        <f>'Data Vlaue (Cr)'!C88</f>
        <v>HFCL</v>
      </c>
      <c r="B93" s="140">
        <f>VLOOKUP($A93,'Data shares'!$C:$FB,7)</f>
        <v>80.319999999999993</v>
      </c>
      <c r="C93" s="140">
        <f>VLOOKUP($A93,'Data shares'!$C:$FB,3)</f>
        <v>80.69</v>
      </c>
      <c r="D93" s="140">
        <f>VLOOKUP($A93,'Data shares'!$C:$FB,4)</f>
        <v>81.98</v>
      </c>
      <c r="E93" s="50">
        <f t="shared" si="3"/>
        <v>-1.5735545254940304</v>
      </c>
      <c r="F93" s="49">
        <f>VLOOKUP($A93,'Data shares'!$C:$FB,98)</f>
        <v>137443050</v>
      </c>
      <c r="G93" s="49">
        <f>VLOOKUP($A93,'Data shares'!$C:$FB,99)</f>
        <v>132283050</v>
      </c>
      <c r="H93" s="50">
        <f t="shared" si="4"/>
        <v>3.9007265103125457</v>
      </c>
      <c r="I93" s="49">
        <f>VLOOKUP($A93,'Data shares'!$C:$FB,66)</f>
        <v>44169600</v>
      </c>
      <c r="J93" s="49">
        <f>VLOOKUP($A93,'Data shares'!$C:$FB,67)</f>
        <v>20369100</v>
      </c>
      <c r="K93" s="50">
        <f t="shared" si="5"/>
        <v>53.884345794392516</v>
      </c>
      <c r="L93" s="50">
        <f>VLOOKUP($A93,'Data shares'!$C:$FB,118)</f>
        <v>0.65</v>
      </c>
      <c r="M93" s="50">
        <f>VLOOKUP($A93,'Data shares'!$C:$FB,119)</f>
        <v>0.64</v>
      </c>
      <c r="N93" s="50">
        <f>VLOOKUP($A93,'Data shares'!$C:$FB,121)*100</f>
        <v>1.5599999999999998</v>
      </c>
      <c r="O93" s="50">
        <f>VLOOKUP($A93,'Data shares'!$C:$FB,124)</f>
        <v>0.41</v>
      </c>
      <c r="P93" s="50">
        <f>VLOOKUP($A93,'Data shares'!$C:$FB,125)</f>
        <v>0.47</v>
      </c>
      <c r="Q93" s="50">
        <f>VLOOKUP($A93,'Data shares'!$C:$FB,127)*100</f>
        <v>-12.770000000000001</v>
      </c>
    </row>
    <row r="94" spans="1:17" x14ac:dyDescent="0.25">
      <c r="A94" s="97" t="str">
        <f>'Data Vlaue (Cr)'!C89</f>
        <v>HINDALCO</v>
      </c>
      <c r="B94" s="140">
        <f>VLOOKUP($A94,'Data shares'!$C:$FB,7)</f>
        <v>690.05</v>
      </c>
      <c r="C94" s="140">
        <f>VLOOKUP($A94,'Data shares'!$C:$FB,3)</f>
        <v>690</v>
      </c>
      <c r="D94" s="140">
        <f>VLOOKUP($A94,'Data shares'!$C:$FB,4)</f>
        <v>684.9</v>
      </c>
      <c r="E94" s="50">
        <f t="shared" si="3"/>
        <v>0.74463425317564946</v>
      </c>
      <c r="F94" s="49">
        <f>VLOOKUP($A94,'Data shares'!$C:$FB,98)</f>
        <v>82874400</v>
      </c>
      <c r="G94" s="49">
        <f>VLOOKUP($A94,'Data shares'!$C:$FB,99)</f>
        <v>81629800</v>
      </c>
      <c r="H94" s="50">
        <f t="shared" si="4"/>
        <v>1.5246882878556605</v>
      </c>
      <c r="I94" s="49">
        <f>VLOOKUP($A94,'Data shares'!$C:$FB,66)</f>
        <v>46520600</v>
      </c>
      <c r="J94" s="49">
        <f>VLOOKUP($A94,'Data shares'!$C:$FB,67)</f>
        <v>49245000</v>
      </c>
      <c r="K94" s="50">
        <f t="shared" si="5"/>
        <v>-5.8563303138824523</v>
      </c>
      <c r="L94" s="50">
        <f>VLOOKUP($A94,'Data shares'!$C:$FB,118)</f>
        <v>0.55000000000000004</v>
      </c>
      <c r="M94" s="50">
        <f>VLOOKUP($A94,'Data shares'!$C:$FB,119)</f>
        <v>0.56000000000000005</v>
      </c>
      <c r="N94" s="50">
        <f>VLOOKUP($A94,'Data shares'!$C:$FB,121)*100</f>
        <v>-1.79</v>
      </c>
      <c r="O94" s="50">
        <f>VLOOKUP($A94,'Data shares'!$C:$FB,124)</f>
        <v>0.44</v>
      </c>
      <c r="P94" s="50">
        <f>VLOOKUP($A94,'Data shares'!$C:$FB,125)</f>
        <v>0.5</v>
      </c>
      <c r="Q94" s="50">
        <f>VLOOKUP($A94,'Data shares'!$C:$FB,127)*100</f>
        <v>-12</v>
      </c>
    </row>
    <row r="95" spans="1:17" x14ac:dyDescent="0.25">
      <c r="A95" s="97" t="str">
        <f>'Data Vlaue (Cr)'!C90</f>
        <v>HINDCOPPER</v>
      </c>
      <c r="B95" s="140">
        <f>VLOOKUP($A95,'Data shares'!$C:$FB,7)</f>
        <v>271.95</v>
      </c>
      <c r="C95" s="140">
        <f>VLOOKUP($A95,'Data shares'!$C:$FB,3)</f>
        <v>273.05</v>
      </c>
      <c r="D95" s="140">
        <f>VLOOKUP($A95,'Data shares'!$C:$FB,4)</f>
        <v>274.10000000000002</v>
      </c>
      <c r="E95" s="50">
        <f t="shared" si="3"/>
        <v>-0.3830718715797195</v>
      </c>
      <c r="F95" s="49">
        <f>VLOOKUP($A95,'Data shares'!$C:$FB,98)</f>
        <v>49464900</v>
      </c>
      <c r="G95" s="49">
        <f>VLOOKUP($A95,'Data shares'!$C:$FB,99)</f>
        <v>52154650</v>
      </c>
      <c r="H95" s="50">
        <f t="shared" si="4"/>
        <v>-5.1572582693968805</v>
      </c>
      <c r="I95" s="49">
        <f>VLOOKUP($A95,'Data shares'!$C:$FB,66)</f>
        <v>33845800</v>
      </c>
      <c r="J95" s="49">
        <f>VLOOKUP($A95,'Data shares'!$C:$FB,67)</f>
        <v>2840800</v>
      </c>
      <c r="K95" s="50">
        <f t="shared" si="5"/>
        <v>91.606639523958648</v>
      </c>
      <c r="L95" s="50">
        <f>VLOOKUP($A95,'Data shares'!$C:$FB,118)</f>
        <v>0.48</v>
      </c>
      <c r="M95" s="50">
        <f>VLOOKUP($A95,'Data shares'!$C:$FB,119)</f>
        <v>0.56000000000000005</v>
      </c>
      <c r="N95" s="50">
        <f>VLOOKUP($A95,'Data shares'!$C:$FB,121)*100</f>
        <v>-14.29</v>
      </c>
      <c r="O95" s="50">
        <f>VLOOKUP($A95,'Data shares'!$C:$FB,124)</f>
        <v>0.38</v>
      </c>
      <c r="P95" s="50">
        <f>VLOOKUP($A95,'Data shares'!$C:$FB,125)</f>
        <v>0.42</v>
      </c>
      <c r="Q95" s="50">
        <f>VLOOKUP($A95,'Data shares'!$C:$FB,127)*100</f>
        <v>-9.5200000000000014</v>
      </c>
    </row>
    <row r="96" spans="1:17" x14ac:dyDescent="0.25">
      <c r="A96" s="97" t="str">
        <f>'Data Vlaue (Cr)'!C91</f>
        <v>HINDPETRO</v>
      </c>
      <c r="B96" s="140">
        <f>VLOOKUP($A96,'Data shares'!$C:$FB,7)</f>
        <v>429.25</v>
      </c>
      <c r="C96" s="140">
        <f>VLOOKUP($A96,'Data shares'!$C:$FB,3)</f>
        <v>429.6</v>
      </c>
      <c r="D96" s="140">
        <f>VLOOKUP($A96,'Data shares'!$C:$FB,4)</f>
        <v>432.8</v>
      </c>
      <c r="E96" s="50">
        <f t="shared" si="3"/>
        <v>-0.73937153419593082</v>
      </c>
      <c r="F96" s="49">
        <f>VLOOKUP($A96,'Data shares'!$C:$FB,98)</f>
        <v>83006775</v>
      </c>
      <c r="G96" s="49">
        <f>VLOOKUP($A96,'Data shares'!$C:$FB,99)</f>
        <v>82696950</v>
      </c>
      <c r="H96" s="50">
        <f t="shared" si="4"/>
        <v>0.37465106028698764</v>
      </c>
      <c r="I96" s="49">
        <f>VLOOKUP($A96,'Data shares'!$C:$FB,66)</f>
        <v>18056925</v>
      </c>
      <c r="J96" s="49">
        <f>VLOOKUP($A96,'Data shares'!$C:$FB,67)</f>
        <v>18405225</v>
      </c>
      <c r="K96" s="50">
        <f t="shared" si="5"/>
        <v>-1.9288998542110576</v>
      </c>
      <c r="L96" s="50">
        <f>VLOOKUP($A96,'Data shares'!$C:$FB,118)</f>
        <v>0.69</v>
      </c>
      <c r="M96" s="50">
        <f>VLOOKUP($A96,'Data shares'!$C:$FB,119)</f>
        <v>0.71</v>
      </c>
      <c r="N96" s="50">
        <f>VLOOKUP($A96,'Data shares'!$C:$FB,121)*100</f>
        <v>-2.82</v>
      </c>
      <c r="O96" s="50">
        <f>VLOOKUP($A96,'Data shares'!$C:$FB,124)</f>
        <v>0.57999999999999996</v>
      </c>
      <c r="P96" s="50">
        <f>VLOOKUP($A96,'Data shares'!$C:$FB,125)</f>
        <v>0.72</v>
      </c>
      <c r="Q96" s="50">
        <f>VLOOKUP($A96,'Data shares'!$C:$FB,127)*100</f>
        <v>-19.439999999999998</v>
      </c>
    </row>
    <row r="97" spans="1:17" x14ac:dyDescent="0.25">
      <c r="A97" s="97" t="str">
        <f>'Data Vlaue (Cr)'!C92</f>
        <v>HINDUNILVR</v>
      </c>
      <c r="B97" s="140">
        <f>VLOOKUP($A97,'Data shares'!$C:$FB,7)</f>
        <v>2479.6999999999998</v>
      </c>
      <c r="C97" s="140">
        <f>VLOOKUP($A97,'Data shares'!$C:$FB,3)</f>
        <v>2480.6999999999998</v>
      </c>
      <c r="D97" s="140">
        <f>VLOOKUP($A97,'Data shares'!$C:$FB,4)</f>
        <v>2467.1</v>
      </c>
      <c r="E97" s="50">
        <f t="shared" si="3"/>
        <v>0.55125450934294962</v>
      </c>
      <c r="F97" s="49">
        <f>VLOOKUP($A97,'Data shares'!$C:$FB,98)</f>
        <v>33282600</v>
      </c>
      <c r="G97" s="49">
        <f>VLOOKUP($A97,'Data shares'!$C:$FB,99)</f>
        <v>33682500</v>
      </c>
      <c r="H97" s="50">
        <f t="shared" si="4"/>
        <v>-1.1872634157203295</v>
      </c>
      <c r="I97" s="49">
        <f>VLOOKUP($A97,'Data shares'!$C:$FB,66)</f>
        <v>10554900</v>
      </c>
      <c r="J97" s="49">
        <f>VLOOKUP($A97,'Data shares'!$C:$FB,67)</f>
        <v>17748000</v>
      </c>
      <c r="K97" s="50">
        <f t="shared" si="5"/>
        <v>-68.149390330557367</v>
      </c>
      <c r="L97" s="50">
        <f>VLOOKUP($A97,'Data shares'!$C:$FB,118)</f>
        <v>0.71</v>
      </c>
      <c r="M97" s="50">
        <f>VLOOKUP($A97,'Data shares'!$C:$FB,119)</f>
        <v>0.7</v>
      </c>
      <c r="N97" s="50">
        <f>VLOOKUP($A97,'Data shares'!$C:$FB,121)*100</f>
        <v>1.43</v>
      </c>
      <c r="O97" s="50">
        <f>VLOOKUP($A97,'Data shares'!$C:$FB,124)</f>
        <v>0.47</v>
      </c>
      <c r="P97" s="50">
        <f>VLOOKUP($A97,'Data shares'!$C:$FB,125)</f>
        <v>0.85</v>
      </c>
      <c r="Q97" s="50">
        <f>VLOOKUP($A97,'Data shares'!$C:$FB,127)*100</f>
        <v>-44.71</v>
      </c>
    </row>
    <row r="98" spans="1:17" x14ac:dyDescent="0.25">
      <c r="A98" s="97" t="str">
        <f>'Data Vlaue (Cr)'!C93</f>
        <v>HINDZINC</v>
      </c>
      <c r="B98" s="140">
        <f>VLOOKUP($A98,'Data shares'!$C:$FB,7)</f>
        <v>443.2</v>
      </c>
      <c r="C98" s="140">
        <f>VLOOKUP($A98,'Data shares'!$C:$FB,3)</f>
        <v>443.4</v>
      </c>
      <c r="D98" s="140">
        <f>VLOOKUP($A98,'Data shares'!$C:$FB,4)</f>
        <v>445.05</v>
      </c>
      <c r="E98" s="50">
        <f t="shared" si="3"/>
        <v>-0.37074486012808316</v>
      </c>
      <c r="F98" s="49">
        <f>VLOOKUP($A98,'Data shares'!$C:$FB,98)</f>
        <v>72994075</v>
      </c>
      <c r="G98" s="49">
        <f>VLOOKUP($A98,'Data shares'!$C:$FB,99)</f>
        <v>74668650</v>
      </c>
      <c r="H98" s="50">
        <f t="shared" si="4"/>
        <v>-2.24267480395052</v>
      </c>
      <c r="I98" s="49">
        <f>VLOOKUP($A98,'Data shares'!$C:$FB,66)</f>
        <v>13143025</v>
      </c>
      <c r="J98" s="49">
        <f>VLOOKUP($A98,'Data shares'!$C:$FB,67)</f>
        <v>36061550</v>
      </c>
      <c r="K98" s="50">
        <f t="shared" si="5"/>
        <v>-174.37785441327244</v>
      </c>
      <c r="L98" s="50">
        <f>VLOOKUP($A98,'Data shares'!$C:$FB,118)</f>
        <v>0.59</v>
      </c>
      <c r="M98" s="50">
        <f>VLOOKUP($A98,'Data shares'!$C:$FB,119)</f>
        <v>0.61</v>
      </c>
      <c r="N98" s="50">
        <f>VLOOKUP($A98,'Data shares'!$C:$FB,121)*100</f>
        <v>-3.2800000000000002</v>
      </c>
      <c r="O98" s="50">
        <f>VLOOKUP($A98,'Data shares'!$C:$FB,124)</f>
        <v>0.51</v>
      </c>
      <c r="P98" s="50">
        <f>VLOOKUP($A98,'Data shares'!$C:$FB,125)</f>
        <v>0.65</v>
      </c>
      <c r="Q98" s="50">
        <f>VLOOKUP($A98,'Data shares'!$C:$FB,127)*100</f>
        <v>-21.54</v>
      </c>
    </row>
    <row r="99" spans="1:17" x14ac:dyDescent="0.25">
      <c r="A99" s="97" t="str">
        <f>'Data Vlaue (Cr)'!C94</f>
        <v>HUDCO</v>
      </c>
      <c r="B99" s="140">
        <f>VLOOKUP($A99,'Data shares'!$C:$FB,7)</f>
        <v>225.46</v>
      </c>
      <c r="C99" s="140">
        <f>VLOOKUP($A99,'Data shares'!$C:$FB,3)</f>
        <v>225.45</v>
      </c>
      <c r="D99" s="140">
        <f>VLOOKUP($A99,'Data shares'!$C:$FB,4)</f>
        <v>228.5</v>
      </c>
      <c r="E99" s="50">
        <f t="shared" si="3"/>
        <v>-1.3347921225382982</v>
      </c>
      <c r="F99" s="49">
        <f>VLOOKUP($A99,'Data shares'!$C:$FB,98)</f>
        <v>68861625</v>
      </c>
      <c r="G99" s="49">
        <f>VLOOKUP($A99,'Data shares'!$C:$FB,99)</f>
        <v>69164100</v>
      </c>
      <c r="H99" s="50">
        <f t="shared" si="4"/>
        <v>-0.43732948162413737</v>
      </c>
      <c r="I99" s="49">
        <f>VLOOKUP($A99,'Data shares'!$C:$FB,66)</f>
        <v>17080125</v>
      </c>
      <c r="J99" s="49">
        <f>VLOOKUP($A99,'Data shares'!$C:$FB,67)</f>
        <v>21189900</v>
      </c>
      <c r="K99" s="50">
        <f t="shared" si="5"/>
        <v>-24.061738424045494</v>
      </c>
      <c r="L99" s="50">
        <f>VLOOKUP($A99,'Data shares'!$C:$FB,118)</f>
        <v>0.54</v>
      </c>
      <c r="M99" s="50">
        <f>VLOOKUP($A99,'Data shares'!$C:$FB,119)</f>
        <v>0.55000000000000004</v>
      </c>
      <c r="N99" s="50">
        <f>VLOOKUP($A99,'Data shares'!$C:$FB,121)*100</f>
        <v>-1.82</v>
      </c>
      <c r="O99" s="50">
        <f>VLOOKUP($A99,'Data shares'!$C:$FB,124)</f>
        <v>0.45</v>
      </c>
      <c r="P99" s="50">
        <f>VLOOKUP($A99,'Data shares'!$C:$FB,125)</f>
        <v>0.46</v>
      </c>
      <c r="Q99" s="50">
        <f>VLOOKUP($A99,'Data shares'!$C:$FB,127)*100</f>
        <v>-2.17</v>
      </c>
    </row>
    <row r="100" spans="1:17" x14ac:dyDescent="0.25">
      <c r="A100" s="97" t="str">
        <f>'Data Vlaue (Cr)'!C95</f>
        <v>ICICIBANK</v>
      </c>
      <c r="B100" s="140">
        <f>VLOOKUP($A100,'Data shares'!$C:$FB,7)</f>
        <v>1473.6</v>
      </c>
      <c r="C100" s="140">
        <f>VLOOKUP($A100,'Data shares'!$C:$FB,3)</f>
        <v>1474.3</v>
      </c>
      <c r="D100" s="140">
        <f>VLOOKUP($A100,'Data shares'!$C:$FB,4)</f>
        <v>1467.2</v>
      </c>
      <c r="E100" s="50">
        <f t="shared" si="3"/>
        <v>0.48391494002180402</v>
      </c>
      <c r="F100" s="49">
        <f>VLOOKUP($A100,'Data shares'!$C:$FB,98)</f>
        <v>154910000</v>
      </c>
      <c r="G100" s="49">
        <f>VLOOKUP($A100,'Data shares'!$C:$FB,99)</f>
        <v>156051000</v>
      </c>
      <c r="H100" s="50">
        <f t="shared" si="4"/>
        <v>-0.7311712196653658</v>
      </c>
      <c r="I100" s="49">
        <f>VLOOKUP($A100,'Data shares'!$C:$FB,66)</f>
        <v>122846500</v>
      </c>
      <c r="J100" s="49">
        <f>VLOOKUP($A100,'Data shares'!$C:$FB,67)</f>
        <v>261034200</v>
      </c>
      <c r="K100" s="50">
        <f t="shared" si="5"/>
        <v>-112.48810507421865</v>
      </c>
      <c r="L100" s="50">
        <f>VLOOKUP($A100,'Data shares'!$C:$FB,118)</f>
        <v>0.89</v>
      </c>
      <c r="M100" s="50">
        <f>VLOOKUP($A100,'Data shares'!$C:$FB,119)</f>
        <v>0.82</v>
      </c>
      <c r="N100" s="50">
        <f>VLOOKUP($A100,'Data shares'!$C:$FB,121)*100</f>
        <v>8.5400000000000009</v>
      </c>
      <c r="O100" s="50">
        <f>VLOOKUP($A100,'Data shares'!$C:$FB,124)</f>
        <v>0.64</v>
      </c>
      <c r="P100" s="50">
        <f>VLOOKUP($A100,'Data shares'!$C:$FB,125)</f>
        <v>0.56000000000000005</v>
      </c>
      <c r="Q100" s="50">
        <f>VLOOKUP($A100,'Data shares'!$C:$FB,127)*100</f>
        <v>14.29</v>
      </c>
    </row>
    <row r="101" spans="1:17" x14ac:dyDescent="0.25">
      <c r="A101" s="97" t="str">
        <f>'Data Vlaue (Cr)'!C96</f>
        <v>ICICIGI</v>
      </c>
      <c r="B101" s="140">
        <f>VLOOKUP($A101,'Data shares'!$C:$FB,7)</f>
        <v>1962.3</v>
      </c>
      <c r="C101" s="140">
        <f>VLOOKUP($A101,'Data shares'!$C:$FB,3)</f>
        <v>1961.9</v>
      </c>
      <c r="D101" s="140">
        <f>VLOOKUP($A101,'Data shares'!$C:$FB,4)</f>
        <v>1954.4</v>
      </c>
      <c r="E101" s="50">
        <f t="shared" si="3"/>
        <v>0.38374948833401551</v>
      </c>
      <c r="F101" s="49">
        <f>VLOOKUP($A101,'Data shares'!$C:$FB,98)</f>
        <v>9319050</v>
      </c>
      <c r="G101" s="49">
        <f>VLOOKUP($A101,'Data shares'!$C:$FB,99)</f>
        <v>9838400</v>
      </c>
      <c r="H101" s="50">
        <f t="shared" si="4"/>
        <v>-5.2788054968287526</v>
      </c>
      <c r="I101" s="49">
        <f>VLOOKUP($A101,'Data shares'!$C:$FB,66)</f>
        <v>3296150</v>
      </c>
      <c r="J101" s="49">
        <f>VLOOKUP($A101,'Data shares'!$C:$FB,67)</f>
        <v>4005950</v>
      </c>
      <c r="K101" s="50">
        <f t="shared" si="5"/>
        <v>-21.534214158943008</v>
      </c>
      <c r="L101" s="50">
        <f>VLOOKUP($A101,'Data shares'!$C:$FB,118)</f>
        <v>0.38</v>
      </c>
      <c r="M101" s="50">
        <f>VLOOKUP($A101,'Data shares'!$C:$FB,119)</f>
        <v>0.37</v>
      </c>
      <c r="N101" s="50">
        <f>VLOOKUP($A101,'Data shares'!$C:$FB,121)*100</f>
        <v>2.7</v>
      </c>
      <c r="O101" s="50">
        <f>VLOOKUP($A101,'Data shares'!$C:$FB,124)</f>
        <v>0.38</v>
      </c>
      <c r="P101" s="50">
        <f>VLOOKUP($A101,'Data shares'!$C:$FB,125)</f>
        <v>0.26</v>
      </c>
      <c r="Q101" s="50">
        <f>VLOOKUP($A101,'Data shares'!$C:$FB,127)*100</f>
        <v>46.150000000000006</v>
      </c>
    </row>
    <row r="102" spans="1:17" x14ac:dyDescent="0.25">
      <c r="A102" s="97" t="str">
        <f>'Data Vlaue (Cr)'!C97</f>
        <v>ICICIPRULI</v>
      </c>
      <c r="B102" s="140">
        <f>VLOOKUP($A102,'Data shares'!$C:$FB,7)</f>
        <v>625.1</v>
      </c>
      <c r="C102" s="140">
        <f>VLOOKUP($A102,'Data shares'!$C:$FB,3)</f>
        <v>627.54999999999995</v>
      </c>
      <c r="D102" s="140">
        <f>VLOOKUP($A102,'Data shares'!$C:$FB,4)</f>
        <v>637.15</v>
      </c>
      <c r="E102" s="50">
        <f t="shared" si="3"/>
        <v>-1.5067095660362588</v>
      </c>
      <c r="F102" s="49">
        <f>VLOOKUP($A102,'Data shares'!$C:$FB,98)</f>
        <v>26969300</v>
      </c>
      <c r="G102" s="49">
        <f>VLOOKUP($A102,'Data shares'!$C:$FB,99)</f>
        <v>26384700</v>
      </c>
      <c r="H102" s="50">
        <f t="shared" si="4"/>
        <v>2.2156780255223674</v>
      </c>
      <c r="I102" s="49">
        <f>VLOOKUP($A102,'Data shares'!$C:$FB,66)</f>
        <v>17146725</v>
      </c>
      <c r="J102" s="49">
        <f>VLOOKUP($A102,'Data shares'!$C:$FB,67)</f>
        <v>11217475</v>
      </c>
      <c r="K102" s="50">
        <f t="shared" si="5"/>
        <v>34.579489669310028</v>
      </c>
      <c r="L102" s="50">
        <f>VLOOKUP($A102,'Data shares'!$C:$FB,118)</f>
        <v>0.38</v>
      </c>
      <c r="M102" s="50">
        <f>VLOOKUP($A102,'Data shares'!$C:$FB,119)</f>
        <v>0.39</v>
      </c>
      <c r="N102" s="50">
        <f>VLOOKUP($A102,'Data shares'!$C:$FB,121)*100</f>
        <v>-2.56</v>
      </c>
      <c r="O102" s="50">
        <f>VLOOKUP($A102,'Data shares'!$C:$FB,124)</f>
        <v>0.26</v>
      </c>
      <c r="P102" s="50">
        <f>VLOOKUP($A102,'Data shares'!$C:$FB,125)</f>
        <v>0.3</v>
      </c>
      <c r="Q102" s="50">
        <f>VLOOKUP($A102,'Data shares'!$C:$FB,127)*100</f>
        <v>-13.33</v>
      </c>
    </row>
    <row r="103" spans="1:17" x14ac:dyDescent="0.25">
      <c r="A103" s="97" t="str">
        <f>'Data Vlaue (Cr)'!C98</f>
        <v>IDEA</v>
      </c>
      <c r="B103" s="140">
        <f>VLOOKUP($A103,'Data shares'!$C:$FB,7)</f>
        <v>7.37</v>
      </c>
      <c r="C103" s="140">
        <f>VLOOKUP($A103,'Data shares'!$C:$FB,3)</f>
        <v>7.39</v>
      </c>
      <c r="D103" s="140">
        <f>VLOOKUP($A103,'Data shares'!$C:$FB,4)</f>
        <v>7.65</v>
      </c>
      <c r="E103" s="50">
        <f t="shared" si="3"/>
        <v>-3.3986928104575251</v>
      </c>
      <c r="F103" s="49">
        <f>VLOOKUP($A103,'Data shares'!$C:$FB,98)</f>
        <v>7501015350</v>
      </c>
      <c r="G103" s="49">
        <f>VLOOKUP($A103,'Data shares'!$C:$FB,99)</f>
        <v>7393302525</v>
      </c>
      <c r="H103" s="50">
        <f t="shared" si="4"/>
        <v>1.456897301791394</v>
      </c>
      <c r="I103" s="49">
        <f>VLOOKUP($A103,'Data shares'!$C:$FB,66)</f>
        <v>1205640300</v>
      </c>
      <c r="J103" s="49">
        <f>VLOOKUP($A103,'Data shares'!$C:$FB,67)</f>
        <v>921098325</v>
      </c>
      <c r="K103" s="50">
        <f t="shared" si="5"/>
        <v>23.600901114536398</v>
      </c>
      <c r="L103" s="50">
        <f>VLOOKUP($A103,'Data shares'!$C:$FB,118)</f>
        <v>0.52</v>
      </c>
      <c r="M103" s="50">
        <f>VLOOKUP($A103,'Data shares'!$C:$FB,119)</f>
        <v>0.54</v>
      </c>
      <c r="N103" s="50">
        <f>VLOOKUP($A103,'Data shares'!$C:$FB,121)*100</f>
        <v>-3.6999999999999997</v>
      </c>
      <c r="O103" s="50">
        <f>VLOOKUP($A103,'Data shares'!$C:$FB,124)</f>
        <v>0.16</v>
      </c>
      <c r="P103" s="50">
        <f>VLOOKUP($A103,'Data shares'!$C:$FB,125)</f>
        <v>0.25</v>
      </c>
      <c r="Q103" s="50">
        <f>VLOOKUP($A103,'Data shares'!$C:$FB,127)*100</f>
        <v>-36</v>
      </c>
    </row>
    <row r="104" spans="1:17" x14ac:dyDescent="0.25">
      <c r="A104" s="97" t="str">
        <f>'Data Vlaue (Cr)'!C99</f>
        <v>IDFCFIRSTB</v>
      </c>
      <c r="B104" s="140">
        <f>VLOOKUP($A104,'Data shares'!$C:$FB,7)</f>
        <v>72.44</v>
      </c>
      <c r="C104" s="140">
        <f>VLOOKUP($A104,'Data shares'!$C:$FB,3)</f>
        <v>72.56</v>
      </c>
      <c r="D104" s="140">
        <f>VLOOKUP($A104,'Data shares'!$C:$FB,4)</f>
        <v>74.06</v>
      </c>
      <c r="E104" s="50">
        <f t="shared" si="3"/>
        <v>-2.0253848231163918</v>
      </c>
      <c r="F104" s="49">
        <f>VLOOKUP($A104,'Data shares'!$C:$FB,98)</f>
        <v>618067450</v>
      </c>
      <c r="G104" s="49">
        <f>VLOOKUP($A104,'Data shares'!$C:$FB,99)</f>
        <v>609914725</v>
      </c>
      <c r="H104" s="50">
        <f t="shared" si="4"/>
        <v>1.3366991590504722</v>
      </c>
      <c r="I104" s="49">
        <f>VLOOKUP($A104,'Data shares'!$C:$FB,66)</f>
        <v>176178625</v>
      </c>
      <c r="J104" s="49">
        <f>VLOOKUP($A104,'Data shares'!$C:$FB,67)</f>
        <v>361919775</v>
      </c>
      <c r="K104" s="50">
        <f t="shared" si="5"/>
        <v>-105.42774414319558</v>
      </c>
      <c r="L104" s="50">
        <f>VLOOKUP($A104,'Data shares'!$C:$FB,118)</f>
        <v>0.63</v>
      </c>
      <c r="M104" s="50">
        <f>VLOOKUP($A104,'Data shares'!$C:$FB,119)</f>
        <v>0.65</v>
      </c>
      <c r="N104" s="50">
        <f>VLOOKUP($A104,'Data shares'!$C:$FB,121)*100</f>
        <v>-3.08</v>
      </c>
      <c r="O104" s="50">
        <f>VLOOKUP($A104,'Data shares'!$C:$FB,124)</f>
        <v>0.42</v>
      </c>
      <c r="P104" s="50">
        <f>VLOOKUP($A104,'Data shares'!$C:$FB,125)</f>
        <v>0.43</v>
      </c>
      <c r="Q104" s="50">
        <f>VLOOKUP($A104,'Data shares'!$C:$FB,127)*100</f>
        <v>-2.33</v>
      </c>
    </row>
    <row r="105" spans="1:17" x14ac:dyDescent="0.25">
      <c r="A105" s="97" t="str">
        <f>'Data Vlaue (Cr)'!C100</f>
        <v>IEX</v>
      </c>
      <c r="B105" s="140">
        <f>VLOOKUP($A105,'Data shares'!$C:$FB,7)</f>
        <v>192.56</v>
      </c>
      <c r="C105" s="140">
        <f>VLOOKUP($A105,'Data shares'!$C:$FB,3)</f>
        <v>192.61</v>
      </c>
      <c r="D105" s="140">
        <f>VLOOKUP($A105,'Data shares'!$C:$FB,4)</f>
        <v>196.33</v>
      </c>
      <c r="E105" s="50">
        <f t="shared" si="3"/>
        <v>-1.8947690113584263</v>
      </c>
      <c r="F105" s="49">
        <f>VLOOKUP($A105,'Data shares'!$C:$FB,98)</f>
        <v>202252500</v>
      </c>
      <c r="G105" s="49">
        <f>VLOOKUP($A105,'Data shares'!$C:$FB,99)</f>
        <v>131775000</v>
      </c>
      <c r="H105" s="50">
        <f t="shared" si="4"/>
        <v>53.483210017074555</v>
      </c>
      <c r="I105" s="49">
        <f>VLOOKUP($A105,'Data shares'!$C:$FB,66)</f>
        <v>418826250</v>
      </c>
      <c r="J105" s="49">
        <f>VLOOKUP($A105,'Data shares'!$C:$FB,67)</f>
        <v>241057500</v>
      </c>
      <c r="K105" s="50">
        <f t="shared" si="5"/>
        <v>42.444510104130295</v>
      </c>
      <c r="L105" s="50">
        <f>VLOOKUP($A105,'Data shares'!$C:$FB,118)</f>
        <v>2.2999999999999998</v>
      </c>
      <c r="M105" s="50">
        <f>VLOOKUP($A105,'Data shares'!$C:$FB,119)</f>
        <v>1.72</v>
      </c>
      <c r="N105" s="50">
        <f>VLOOKUP($A105,'Data shares'!$C:$FB,121)*100</f>
        <v>33.72</v>
      </c>
      <c r="O105" s="50">
        <f>VLOOKUP($A105,'Data shares'!$C:$FB,124)</f>
        <v>2.16</v>
      </c>
      <c r="P105" s="50">
        <f>VLOOKUP($A105,'Data shares'!$C:$FB,125)</f>
        <v>2.61</v>
      </c>
      <c r="Q105" s="50">
        <f>VLOOKUP($A105,'Data shares'!$C:$FB,127)*100</f>
        <v>-17.239999999999998</v>
      </c>
    </row>
    <row r="106" spans="1:17" x14ac:dyDescent="0.25">
      <c r="A106" s="97" t="str">
        <f>'Data Vlaue (Cr)'!C101</f>
        <v>IGL</v>
      </c>
      <c r="B106" s="140">
        <f>VLOOKUP($A106,'Data shares'!$C:$FB,7)</f>
        <v>212.88</v>
      </c>
      <c r="C106" s="140">
        <f>VLOOKUP($A106,'Data shares'!$C:$FB,3)</f>
        <v>213.5</v>
      </c>
      <c r="D106" s="140">
        <f>VLOOKUP($A106,'Data shares'!$C:$FB,4)</f>
        <v>213.86</v>
      </c>
      <c r="E106" s="50">
        <f t="shared" si="3"/>
        <v>-0.16833442438979407</v>
      </c>
      <c r="F106" s="49">
        <f>VLOOKUP($A106,'Data shares'!$C:$FB,98)</f>
        <v>44002750</v>
      </c>
      <c r="G106" s="49">
        <f>VLOOKUP($A106,'Data shares'!$C:$FB,99)</f>
        <v>40727500</v>
      </c>
      <c r="H106" s="50">
        <f t="shared" si="4"/>
        <v>8.0418636056718444</v>
      </c>
      <c r="I106" s="49">
        <f>VLOOKUP($A106,'Data shares'!$C:$FB,66)</f>
        <v>61998750</v>
      </c>
      <c r="J106" s="49">
        <f>VLOOKUP($A106,'Data shares'!$C:$FB,67)</f>
        <v>38777750</v>
      </c>
      <c r="K106" s="50">
        <f t="shared" si="5"/>
        <v>37.45398092703482</v>
      </c>
      <c r="L106" s="50">
        <f>VLOOKUP($A106,'Data shares'!$C:$FB,118)</f>
        <v>0.68</v>
      </c>
      <c r="M106" s="50">
        <f>VLOOKUP($A106,'Data shares'!$C:$FB,119)</f>
        <v>0.61</v>
      </c>
      <c r="N106" s="50">
        <f>VLOOKUP($A106,'Data shares'!$C:$FB,121)*100</f>
        <v>11.48</v>
      </c>
      <c r="O106" s="50">
        <f>VLOOKUP($A106,'Data shares'!$C:$FB,124)</f>
        <v>1.07</v>
      </c>
      <c r="P106" s="50">
        <f>VLOOKUP($A106,'Data shares'!$C:$FB,125)</f>
        <v>1.61</v>
      </c>
      <c r="Q106" s="50">
        <f>VLOOKUP($A106,'Data shares'!$C:$FB,127)*100</f>
        <v>-33.54</v>
      </c>
    </row>
    <row r="107" spans="1:17" x14ac:dyDescent="0.25">
      <c r="A107" s="97" t="str">
        <f>'Data Vlaue (Cr)'!C102</f>
        <v>IIFL</v>
      </c>
      <c r="B107" s="140">
        <f>VLOOKUP($A107,'Data shares'!$C:$FB,7)</f>
        <v>529.79999999999995</v>
      </c>
      <c r="C107" s="140">
        <f>VLOOKUP($A107,'Data shares'!$C:$FB,3)</f>
        <v>530</v>
      </c>
      <c r="D107" s="140">
        <f>VLOOKUP($A107,'Data shares'!$C:$FB,4)</f>
        <v>538.29999999999995</v>
      </c>
      <c r="E107" s="50">
        <f t="shared" si="3"/>
        <v>-1.5418911387701941</v>
      </c>
      <c r="F107" s="49">
        <f>VLOOKUP($A107,'Data shares'!$C:$FB,98)</f>
        <v>23642850</v>
      </c>
      <c r="G107" s="49">
        <f>VLOOKUP($A107,'Data shares'!$C:$FB,99)</f>
        <v>24570150</v>
      </c>
      <c r="H107" s="50">
        <f t="shared" si="4"/>
        <v>-3.7740917332617014</v>
      </c>
      <c r="I107" s="49">
        <f>VLOOKUP($A107,'Data shares'!$C:$FB,66)</f>
        <v>7854000</v>
      </c>
      <c r="J107" s="49">
        <f>VLOOKUP($A107,'Data shares'!$C:$FB,67)</f>
        <v>6098400</v>
      </c>
      <c r="K107" s="50">
        <f t="shared" si="5"/>
        <v>22.352941176470591</v>
      </c>
      <c r="L107" s="50">
        <f>VLOOKUP($A107,'Data shares'!$C:$FB,118)</f>
        <v>0.8</v>
      </c>
      <c r="M107" s="50">
        <f>VLOOKUP($A107,'Data shares'!$C:$FB,119)</f>
        <v>0.83</v>
      </c>
      <c r="N107" s="50">
        <f>VLOOKUP($A107,'Data shares'!$C:$FB,121)*100</f>
        <v>-3.61</v>
      </c>
      <c r="O107" s="50">
        <f>VLOOKUP($A107,'Data shares'!$C:$FB,124)</f>
        <v>0.72</v>
      </c>
      <c r="P107" s="50">
        <f>VLOOKUP($A107,'Data shares'!$C:$FB,125)</f>
        <v>0.66</v>
      </c>
      <c r="Q107" s="50">
        <f>VLOOKUP($A107,'Data shares'!$C:$FB,127)*100</f>
        <v>9.09</v>
      </c>
    </row>
    <row r="108" spans="1:17" x14ac:dyDescent="0.25">
      <c r="A108" s="97" t="str">
        <f>'Data Vlaue (Cr)'!C103</f>
        <v>INDHOTEL</v>
      </c>
      <c r="B108" s="140">
        <f>VLOOKUP($A108,'Data shares'!$C:$FB,7)</f>
        <v>756.3</v>
      </c>
      <c r="C108" s="140">
        <f>VLOOKUP($A108,'Data shares'!$C:$FB,3)</f>
        <v>757.55</v>
      </c>
      <c r="D108" s="140">
        <f>VLOOKUP($A108,'Data shares'!$C:$FB,4)</f>
        <v>773.4</v>
      </c>
      <c r="E108" s="50">
        <f t="shared" si="3"/>
        <v>-2.0493922937677813</v>
      </c>
      <c r="F108" s="49">
        <f>VLOOKUP($A108,'Data shares'!$C:$FB,98)</f>
        <v>46989000</v>
      </c>
      <c r="G108" s="49">
        <f>VLOOKUP($A108,'Data shares'!$C:$FB,99)</f>
        <v>45952000</v>
      </c>
      <c r="H108" s="50">
        <f t="shared" si="4"/>
        <v>2.2567026462395541</v>
      </c>
      <c r="I108" s="49">
        <f>VLOOKUP($A108,'Data shares'!$C:$FB,66)</f>
        <v>25180000</v>
      </c>
      <c r="J108" s="49">
        <f>VLOOKUP($A108,'Data shares'!$C:$FB,67)</f>
        <v>35432000</v>
      </c>
      <c r="K108" s="50">
        <f t="shared" si="5"/>
        <v>-40.714853057982523</v>
      </c>
      <c r="L108" s="50">
        <f>VLOOKUP($A108,'Data shares'!$C:$FB,118)</f>
        <v>0.62</v>
      </c>
      <c r="M108" s="50">
        <f>VLOOKUP($A108,'Data shares'!$C:$FB,119)</f>
        <v>0.68</v>
      </c>
      <c r="N108" s="50">
        <f>VLOOKUP($A108,'Data shares'!$C:$FB,121)*100</f>
        <v>-8.82</v>
      </c>
      <c r="O108" s="50">
        <f>VLOOKUP($A108,'Data shares'!$C:$FB,124)</f>
        <v>0.49</v>
      </c>
      <c r="P108" s="50">
        <f>VLOOKUP($A108,'Data shares'!$C:$FB,125)</f>
        <v>0.46</v>
      </c>
      <c r="Q108" s="50">
        <f>VLOOKUP($A108,'Data shares'!$C:$FB,127)*100</f>
        <v>6.52</v>
      </c>
    </row>
    <row r="109" spans="1:17" x14ac:dyDescent="0.25">
      <c r="A109" s="97" t="str">
        <f>'Data Vlaue (Cr)'!C104</f>
        <v>INDIANB</v>
      </c>
      <c r="B109" s="140">
        <f>VLOOKUP($A109,'Data shares'!$C:$FB,7)</f>
        <v>627.9</v>
      </c>
      <c r="C109" s="140">
        <f>VLOOKUP($A109,'Data shares'!$C:$FB,3)</f>
        <v>628.95000000000005</v>
      </c>
      <c r="D109" s="140">
        <f>VLOOKUP($A109,'Data shares'!$C:$FB,4)</f>
        <v>635.65</v>
      </c>
      <c r="E109" s="50">
        <f t="shared" si="3"/>
        <v>-1.0540391725005793</v>
      </c>
      <c r="F109" s="49">
        <f>VLOOKUP($A109,'Data shares'!$C:$FB,98)</f>
        <v>11232000</v>
      </c>
      <c r="G109" s="49">
        <f>VLOOKUP($A109,'Data shares'!$C:$FB,99)</f>
        <v>11208000</v>
      </c>
      <c r="H109" s="50">
        <f t="shared" si="4"/>
        <v>0.21413276231263384</v>
      </c>
      <c r="I109" s="49">
        <f>VLOOKUP($A109,'Data shares'!$C:$FB,66)</f>
        <v>2174000</v>
      </c>
      <c r="J109" s="49">
        <f>VLOOKUP($A109,'Data shares'!$C:$FB,67)</f>
        <v>2917000</v>
      </c>
      <c r="K109" s="50">
        <f t="shared" si="5"/>
        <v>-34.176632934682608</v>
      </c>
      <c r="L109" s="50">
        <f>VLOOKUP($A109,'Data shares'!$C:$FB,118)</f>
        <v>0.67</v>
      </c>
      <c r="M109" s="50">
        <f>VLOOKUP($A109,'Data shares'!$C:$FB,119)</f>
        <v>0.66</v>
      </c>
      <c r="N109" s="50">
        <f>VLOOKUP($A109,'Data shares'!$C:$FB,121)*100</f>
        <v>1.52</v>
      </c>
      <c r="O109" s="50">
        <f>VLOOKUP($A109,'Data shares'!$C:$FB,124)</f>
        <v>0.54</v>
      </c>
      <c r="P109" s="50">
        <f>VLOOKUP($A109,'Data shares'!$C:$FB,125)</f>
        <v>0.51</v>
      </c>
      <c r="Q109" s="50">
        <f>VLOOKUP($A109,'Data shares'!$C:$FB,127)*100</f>
        <v>5.88</v>
      </c>
    </row>
    <row r="110" spans="1:17" x14ac:dyDescent="0.25">
      <c r="A110" s="97" t="str">
        <f>'Data Vlaue (Cr)'!C105</f>
        <v>INDIAVIX</v>
      </c>
      <c r="B110" s="140">
        <f>VLOOKUP($A110,'Data shares'!$C:$FB,7)</f>
        <v>10.75</v>
      </c>
      <c r="C110" s="140">
        <f>VLOOKUP($A110,'Data shares'!$C:$FB,3)</f>
        <v>10.75</v>
      </c>
      <c r="D110" s="140">
        <f>VLOOKUP($A110,'Data shares'!$C:$FB,4)</f>
        <v>11.2</v>
      </c>
      <c r="E110" s="50">
        <f t="shared" si="3"/>
        <v>-4.017857142857137</v>
      </c>
      <c r="F110" s="49">
        <f>VLOOKUP($A110,'Data shares'!$C:$FB,98)</f>
        <v>0</v>
      </c>
      <c r="G110" s="49">
        <f>VLOOKUP($A110,'Data shares'!$C:$FB,99)</f>
        <v>0</v>
      </c>
      <c r="H110" s="50" t="e">
        <f t="shared" si="4"/>
        <v>#DIV/0!</v>
      </c>
      <c r="I110" s="49">
        <f>VLOOKUP($A110,'Data shares'!$C:$FB,66)</f>
        <v>0</v>
      </c>
      <c r="J110" s="49">
        <f>VLOOKUP($A110,'Data shares'!$C:$FB,67)</f>
        <v>0</v>
      </c>
      <c r="K110" s="50" t="e">
        <f t="shared" si="5"/>
        <v>#DIV/0!</v>
      </c>
      <c r="L110" s="50">
        <f>VLOOKUP($A110,'Data shares'!$C:$FB,118)</f>
        <v>0</v>
      </c>
      <c r="M110" s="50">
        <f>VLOOKUP($A110,'Data shares'!$C:$FB,119)</f>
        <v>0</v>
      </c>
      <c r="N110" s="50">
        <f>VLOOKUP($A110,'Data shares'!$C:$FB,121)*100</f>
        <v>0</v>
      </c>
      <c r="O110" s="50">
        <f>VLOOKUP($A110,'Data shares'!$C:$FB,124)</f>
        <v>0</v>
      </c>
      <c r="P110" s="50">
        <f>VLOOKUP($A110,'Data shares'!$C:$FB,125)</f>
        <v>0</v>
      </c>
      <c r="Q110" s="50">
        <f>VLOOKUP($A110,'Data shares'!$C:$FB,127)*100</f>
        <v>0</v>
      </c>
    </row>
    <row r="111" spans="1:17" x14ac:dyDescent="0.25">
      <c r="A111" s="97" t="str">
        <f>'Data Vlaue (Cr)'!C106</f>
        <v>INDIGO</v>
      </c>
      <c r="B111" s="140">
        <f>VLOOKUP($A111,'Data shares'!$C:$FB,7)</f>
        <v>5948</v>
      </c>
      <c r="C111" s="140">
        <f>VLOOKUP($A111,'Data shares'!$C:$FB,3)</f>
        <v>5938.5</v>
      </c>
      <c r="D111" s="140">
        <f>VLOOKUP($A111,'Data shares'!$C:$FB,4)</f>
        <v>5871.5</v>
      </c>
      <c r="E111" s="50">
        <f t="shared" si="3"/>
        <v>1.1411053393511028</v>
      </c>
      <c r="F111" s="49">
        <f>VLOOKUP($A111,'Data shares'!$C:$FB,98)</f>
        <v>13502400</v>
      </c>
      <c r="G111" s="49">
        <f>VLOOKUP($A111,'Data shares'!$C:$FB,99)</f>
        <v>13419900</v>
      </c>
      <c r="H111" s="50">
        <f t="shared" si="4"/>
        <v>0.61475867927480832</v>
      </c>
      <c r="I111" s="49">
        <f>VLOOKUP($A111,'Data shares'!$C:$FB,66)</f>
        <v>5527950</v>
      </c>
      <c r="J111" s="49">
        <f>VLOOKUP($A111,'Data shares'!$C:$FB,67)</f>
        <v>3783600</v>
      </c>
      <c r="K111" s="50">
        <f t="shared" si="5"/>
        <v>31.555097278376255</v>
      </c>
      <c r="L111" s="50">
        <f>VLOOKUP($A111,'Data shares'!$C:$FB,118)</f>
        <v>0.82</v>
      </c>
      <c r="M111" s="50">
        <f>VLOOKUP($A111,'Data shares'!$C:$FB,119)</f>
        <v>0.79</v>
      </c>
      <c r="N111" s="50">
        <f>VLOOKUP($A111,'Data shares'!$C:$FB,121)*100</f>
        <v>3.8</v>
      </c>
      <c r="O111" s="50">
        <f>VLOOKUP($A111,'Data shares'!$C:$FB,124)</f>
        <v>0.41</v>
      </c>
      <c r="P111" s="50">
        <f>VLOOKUP($A111,'Data shares'!$C:$FB,125)</f>
        <v>0.49</v>
      </c>
      <c r="Q111" s="50">
        <f>VLOOKUP($A111,'Data shares'!$C:$FB,127)*100</f>
        <v>-16.329999999999998</v>
      </c>
    </row>
    <row r="112" spans="1:17" x14ac:dyDescent="0.25">
      <c r="A112" s="97" t="str">
        <f>'Data Vlaue (Cr)'!C107</f>
        <v>INDUSINDBK</v>
      </c>
      <c r="B112" s="140">
        <f>VLOOKUP($A112,'Data shares'!$C:$FB,7)</f>
        <v>843.2</v>
      </c>
      <c r="C112" s="140">
        <f>VLOOKUP($A112,'Data shares'!$C:$FB,3)</f>
        <v>845.4</v>
      </c>
      <c r="D112" s="140">
        <f>VLOOKUP($A112,'Data shares'!$C:$FB,4)</f>
        <v>858.9</v>
      </c>
      <c r="E112" s="50">
        <f t="shared" si="3"/>
        <v>-1.5717778553964372</v>
      </c>
      <c r="F112" s="49">
        <f>VLOOKUP($A112,'Data shares'!$C:$FB,98)</f>
        <v>74508000</v>
      </c>
      <c r="G112" s="49">
        <f>VLOOKUP($A112,'Data shares'!$C:$FB,99)</f>
        <v>71789200</v>
      </c>
      <c r="H112" s="50">
        <f t="shared" si="4"/>
        <v>3.7871991887359102</v>
      </c>
      <c r="I112" s="49">
        <f>VLOOKUP($A112,'Data shares'!$C:$FB,66)</f>
        <v>75797400</v>
      </c>
      <c r="J112" s="49">
        <f>VLOOKUP($A112,'Data shares'!$C:$FB,67)</f>
        <v>106350300</v>
      </c>
      <c r="K112" s="50">
        <f t="shared" si="5"/>
        <v>-40.308638554884467</v>
      </c>
      <c r="L112" s="50">
        <f>VLOOKUP($A112,'Data shares'!$C:$FB,118)</f>
        <v>0.52</v>
      </c>
      <c r="M112" s="50">
        <f>VLOOKUP($A112,'Data shares'!$C:$FB,119)</f>
        <v>0.56000000000000005</v>
      </c>
      <c r="N112" s="50">
        <f>VLOOKUP($A112,'Data shares'!$C:$FB,121)*100</f>
        <v>-7.1400000000000006</v>
      </c>
      <c r="O112" s="50">
        <f>VLOOKUP($A112,'Data shares'!$C:$FB,124)</f>
        <v>0.67</v>
      </c>
      <c r="P112" s="50">
        <f>VLOOKUP($A112,'Data shares'!$C:$FB,125)</f>
        <v>0.75</v>
      </c>
      <c r="Q112" s="50">
        <f>VLOOKUP($A112,'Data shares'!$C:$FB,127)*100</f>
        <v>-10.67</v>
      </c>
    </row>
    <row r="113" spans="1:17" x14ac:dyDescent="0.25">
      <c r="A113" s="97" t="str">
        <f>'Data Vlaue (Cr)'!C108</f>
        <v>INDUSTOWER</v>
      </c>
      <c r="B113" s="140">
        <f>VLOOKUP($A113,'Data shares'!$C:$FB,7)</f>
        <v>396.3</v>
      </c>
      <c r="C113" s="140">
        <f>VLOOKUP($A113,'Data shares'!$C:$FB,3)</f>
        <v>396.65</v>
      </c>
      <c r="D113" s="140">
        <f>VLOOKUP($A113,'Data shares'!$C:$FB,4)</f>
        <v>405.15</v>
      </c>
      <c r="E113" s="50">
        <f t="shared" si="3"/>
        <v>-2.0979883993582624</v>
      </c>
      <c r="F113" s="49">
        <f>VLOOKUP($A113,'Data shares'!$C:$FB,98)</f>
        <v>88146700</v>
      </c>
      <c r="G113" s="49">
        <f>VLOOKUP($A113,'Data shares'!$C:$FB,99)</f>
        <v>87398700</v>
      </c>
      <c r="H113" s="50">
        <f t="shared" si="4"/>
        <v>0.85584797027873416</v>
      </c>
      <c r="I113" s="49">
        <f>VLOOKUP($A113,'Data shares'!$C:$FB,66)</f>
        <v>21175200</v>
      </c>
      <c r="J113" s="49">
        <f>VLOOKUP($A113,'Data shares'!$C:$FB,67)</f>
        <v>19725100</v>
      </c>
      <c r="K113" s="50">
        <f t="shared" si="5"/>
        <v>6.8481053307642901</v>
      </c>
      <c r="L113" s="50">
        <f>VLOOKUP($A113,'Data shares'!$C:$FB,118)</f>
        <v>0.57999999999999996</v>
      </c>
      <c r="M113" s="50">
        <f>VLOOKUP($A113,'Data shares'!$C:$FB,119)</f>
        <v>0.56999999999999995</v>
      </c>
      <c r="N113" s="50">
        <f>VLOOKUP($A113,'Data shares'!$C:$FB,121)*100</f>
        <v>1.7500000000000002</v>
      </c>
      <c r="O113" s="50">
        <f>VLOOKUP($A113,'Data shares'!$C:$FB,124)</f>
        <v>0.43</v>
      </c>
      <c r="P113" s="50">
        <f>VLOOKUP($A113,'Data shares'!$C:$FB,125)</f>
        <v>0.42</v>
      </c>
      <c r="Q113" s="50">
        <f>VLOOKUP($A113,'Data shares'!$C:$FB,127)*100</f>
        <v>2.3800000000000003</v>
      </c>
    </row>
    <row r="114" spans="1:17" x14ac:dyDescent="0.25">
      <c r="A114" s="97" t="str">
        <f>'Data Vlaue (Cr)'!C109</f>
        <v>INFY</v>
      </c>
      <c r="B114" s="140">
        <f>VLOOKUP($A114,'Data shares'!$C:$FB,7)</f>
        <v>1570.9</v>
      </c>
      <c r="C114" s="140">
        <f>VLOOKUP($A114,'Data shares'!$C:$FB,3)</f>
        <v>1576.5</v>
      </c>
      <c r="D114" s="140">
        <f>VLOOKUP($A114,'Data shares'!$C:$FB,4)</f>
        <v>1588.3</v>
      </c>
      <c r="E114" s="50">
        <f t="shared" si="3"/>
        <v>-0.74293269533463169</v>
      </c>
      <c r="F114" s="49">
        <f>VLOOKUP($A114,'Data shares'!$C:$FB,98)</f>
        <v>119963200</v>
      </c>
      <c r="G114" s="49">
        <f>VLOOKUP($A114,'Data shares'!$C:$FB,99)</f>
        <v>114298800</v>
      </c>
      <c r="H114" s="50">
        <f t="shared" si="4"/>
        <v>4.9557825628965482</v>
      </c>
      <c r="I114" s="49">
        <f>VLOOKUP($A114,'Data shares'!$C:$FB,66)</f>
        <v>50698800</v>
      </c>
      <c r="J114" s="49">
        <f>VLOOKUP($A114,'Data shares'!$C:$FB,67)</f>
        <v>31849600</v>
      </c>
      <c r="K114" s="50">
        <f t="shared" si="5"/>
        <v>37.178789241559954</v>
      </c>
      <c r="L114" s="50">
        <f>VLOOKUP($A114,'Data shares'!$C:$FB,118)</f>
        <v>0.53</v>
      </c>
      <c r="M114" s="50">
        <f>VLOOKUP($A114,'Data shares'!$C:$FB,119)</f>
        <v>0.52</v>
      </c>
      <c r="N114" s="50">
        <f>VLOOKUP($A114,'Data shares'!$C:$FB,121)*100</f>
        <v>1.92</v>
      </c>
      <c r="O114" s="50">
        <f>VLOOKUP($A114,'Data shares'!$C:$FB,124)</f>
        <v>0.55000000000000004</v>
      </c>
      <c r="P114" s="50">
        <f>VLOOKUP($A114,'Data shares'!$C:$FB,125)</f>
        <v>0.53</v>
      </c>
      <c r="Q114" s="50">
        <f>VLOOKUP($A114,'Data shares'!$C:$FB,127)*100</f>
        <v>3.7699999999999996</v>
      </c>
    </row>
    <row r="115" spans="1:17" x14ac:dyDescent="0.25">
      <c r="A115" s="97" t="str">
        <f>'Data Vlaue (Cr)'!C110</f>
        <v>INOXWIND</v>
      </c>
      <c r="B115" s="140">
        <f>VLOOKUP($A115,'Data shares'!$C:$FB,7)</f>
        <v>165.53</v>
      </c>
      <c r="C115" s="140">
        <f>VLOOKUP($A115,'Data shares'!$C:$FB,3)</f>
        <v>165.8</v>
      </c>
      <c r="D115" s="140">
        <f>VLOOKUP($A115,'Data shares'!$C:$FB,4)</f>
        <v>167.51</v>
      </c>
      <c r="E115" s="50">
        <f t="shared" si="3"/>
        <v>-1.0208345770401646</v>
      </c>
      <c r="F115" s="49">
        <f>VLOOKUP($A115,'Data shares'!$C:$FB,98)</f>
        <v>74474925</v>
      </c>
      <c r="G115" s="49">
        <f>VLOOKUP($A115,'Data shares'!$C:$FB,99)</f>
        <v>74300775</v>
      </c>
      <c r="H115" s="50">
        <f t="shared" si="4"/>
        <v>0.23438517296757674</v>
      </c>
      <c r="I115" s="49">
        <f>VLOOKUP($A115,'Data shares'!$C:$FB,66)</f>
        <v>15441300</v>
      </c>
      <c r="J115" s="49">
        <f>VLOOKUP($A115,'Data shares'!$C:$FB,67)</f>
        <v>18969450</v>
      </c>
      <c r="K115" s="50">
        <f t="shared" si="5"/>
        <v>-22.84878863826232</v>
      </c>
      <c r="L115" s="50">
        <f>VLOOKUP($A115,'Data shares'!$C:$FB,118)</f>
        <v>0.52</v>
      </c>
      <c r="M115" s="50">
        <f>VLOOKUP($A115,'Data shares'!$C:$FB,119)</f>
        <v>0.46</v>
      </c>
      <c r="N115" s="50">
        <f>VLOOKUP($A115,'Data shares'!$C:$FB,121)*100</f>
        <v>13.04</v>
      </c>
      <c r="O115" s="50">
        <f>VLOOKUP($A115,'Data shares'!$C:$FB,124)</f>
        <v>0.88</v>
      </c>
      <c r="P115" s="50">
        <f>VLOOKUP($A115,'Data shares'!$C:$FB,125)</f>
        <v>0.53</v>
      </c>
      <c r="Q115" s="50">
        <f>VLOOKUP($A115,'Data shares'!$C:$FB,127)*100</f>
        <v>66.039999999999992</v>
      </c>
    </row>
    <row r="116" spans="1:17" x14ac:dyDescent="0.25">
      <c r="A116" s="97" t="str">
        <f>'Data Vlaue (Cr)'!C111</f>
        <v>IOC</v>
      </c>
      <c r="B116" s="140">
        <f>VLOOKUP($A116,'Data shares'!$C:$FB,7)</f>
        <v>151.97999999999999</v>
      </c>
      <c r="C116" s="140">
        <f>VLOOKUP($A116,'Data shares'!$C:$FB,3)</f>
        <v>152.01</v>
      </c>
      <c r="D116" s="140">
        <f>VLOOKUP($A116,'Data shares'!$C:$FB,4)</f>
        <v>151.19</v>
      </c>
      <c r="E116" s="50">
        <f t="shared" si="3"/>
        <v>0.54236391295720165</v>
      </c>
      <c r="F116" s="49">
        <f>VLOOKUP($A116,'Data shares'!$C:$FB,98)</f>
        <v>206792625</v>
      </c>
      <c r="G116" s="49">
        <f>VLOOKUP($A116,'Data shares'!$C:$FB,99)</f>
        <v>206982750</v>
      </c>
      <c r="H116" s="50">
        <f t="shared" si="4"/>
        <v>-9.1855480710349047E-2</v>
      </c>
      <c r="I116" s="49">
        <f>VLOOKUP($A116,'Data shares'!$C:$FB,66)</f>
        <v>96910125</v>
      </c>
      <c r="J116" s="49">
        <f>VLOOKUP($A116,'Data shares'!$C:$FB,67)</f>
        <v>54234375</v>
      </c>
      <c r="K116" s="50">
        <f t="shared" si="5"/>
        <v>44.036420343075605</v>
      </c>
      <c r="L116" s="50">
        <f>VLOOKUP($A116,'Data shares'!$C:$FB,118)</f>
        <v>0.69</v>
      </c>
      <c r="M116" s="50">
        <f>VLOOKUP($A116,'Data shares'!$C:$FB,119)</f>
        <v>0.68</v>
      </c>
      <c r="N116" s="50">
        <f>VLOOKUP($A116,'Data shares'!$C:$FB,121)*100</f>
        <v>1.47</v>
      </c>
      <c r="O116" s="50">
        <f>VLOOKUP($A116,'Data shares'!$C:$FB,124)</f>
        <v>0.75</v>
      </c>
      <c r="P116" s="50">
        <f>VLOOKUP($A116,'Data shares'!$C:$FB,125)</f>
        <v>0.56999999999999995</v>
      </c>
      <c r="Q116" s="50">
        <f>VLOOKUP($A116,'Data shares'!$C:$FB,127)*100</f>
        <v>31.580000000000002</v>
      </c>
    </row>
    <row r="117" spans="1:17" x14ac:dyDescent="0.25">
      <c r="A117" s="97" t="str">
        <f>'Data Vlaue (Cr)'!C112</f>
        <v>IRB</v>
      </c>
      <c r="B117" s="140">
        <f>VLOOKUP($A117,'Data shares'!$C:$FB,7)</f>
        <v>48.36</v>
      </c>
      <c r="C117" s="140">
        <f>VLOOKUP($A117,'Data shares'!$C:$FB,3)</f>
        <v>48.37</v>
      </c>
      <c r="D117" s="140">
        <f>VLOOKUP($A117,'Data shares'!$C:$FB,4)</f>
        <v>48.54</v>
      </c>
      <c r="E117" s="50">
        <f t="shared" si="3"/>
        <v>-0.35022661722291248</v>
      </c>
      <c r="F117" s="49">
        <f>VLOOKUP($A117,'Data shares'!$C:$FB,98)</f>
        <v>146813125</v>
      </c>
      <c r="G117" s="49">
        <f>VLOOKUP($A117,'Data shares'!$C:$FB,99)</f>
        <v>151226275</v>
      </c>
      <c r="H117" s="50">
        <f t="shared" si="4"/>
        <v>-2.9182428780977379</v>
      </c>
      <c r="I117" s="49">
        <f>VLOOKUP($A117,'Data shares'!$C:$FB,66)</f>
        <v>33402175</v>
      </c>
      <c r="J117" s="49">
        <f>VLOOKUP($A117,'Data shares'!$C:$FB,67)</f>
        <v>31172250</v>
      </c>
      <c r="K117" s="50">
        <f t="shared" si="5"/>
        <v>6.6759874169870672</v>
      </c>
      <c r="L117" s="50">
        <f>VLOOKUP($A117,'Data shares'!$C:$FB,118)</f>
        <v>0.43</v>
      </c>
      <c r="M117" s="50">
        <f>VLOOKUP($A117,'Data shares'!$C:$FB,119)</f>
        <v>0.37</v>
      </c>
      <c r="N117" s="50">
        <f>VLOOKUP($A117,'Data shares'!$C:$FB,121)*100</f>
        <v>16.220000000000002</v>
      </c>
      <c r="O117" s="50">
        <f>VLOOKUP($A117,'Data shares'!$C:$FB,124)</f>
        <v>0.1</v>
      </c>
      <c r="P117" s="50">
        <f>VLOOKUP($A117,'Data shares'!$C:$FB,125)</f>
        <v>0.24</v>
      </c>
      <c r="Q117" s="50">
        <f>VLOOKUP($A117,'Data shares'!$C:$FB,127)*100</f>
        <v>-58.330000000000005</v>
      </c>
    </row>
    <row r="118" spans="1:17" x14ac:dyDescent="0.25">
      <c r="A118" s="97" t="str">
        <f>'Data Vlaue (Cr)'!C113</f>
        <v>IRCTC</v>
      </c>
      <c r="B118" s="140">
        <f>VLOOKUP($A118,'Data shares'!$C:$FB,7)</f>
        <v>760.6</v>
      </c>
      <c r="C118" s="140">
        <f>VLOOKUP($A118,'Data shares'!$C:$FB,3)</f>
        <v>760.8</v>
      </c>
      <c r="D118" s="140">
        <f>VLOOKUP($A118,'Data shares'!$C:$FB,4)</f>
        <v>772</v>
      </c>
      <c r="E118" s="50">
        <f t="shared" si="3"/>
        <v>-1.4507772020725447</v>
      </c>
      <c r="F118" s="49">
        <f>VLOOKUP($A118,'Data shares'!$C:$FB,98)</f>
        <v>28792750</v>
      </c>
      <c r="G118" s="49">
        <f>VLOOKUP($A118,'Data shares'!$C:$FB,99)</f>
        <v>27926500</v>
      </c>
      <c r="H118" s="50">
        <f t="shared" si="4"/>
        <v>3.1018924677277857</v>
      </c>
      <c r="I118" s="49">
        <f>VLOOKUP($A118,'Data shares'!$C:$FB,66)</f>
        <v>8662500</v>
      </c>
      <c r="J118" s="49">
        <f>VLOOKUP($A118,'Data shares'!$C:$FB,67)</f>
        <v>9023875</v>
      </c>
      <c r="K118" s="50">
        <f t="shared" si="5"/>
        <v>-4.1717171717171713</v>
      </c>
      <c r="L118" s="50">
        <f>VLOOKUP($A118,'Data shares'!$C:$FB,118)</f>
        <v>0.7</v>
      </c>
      <c r="M118" s="50">
        <f>VLOOKUP($A118,'Data shares'!$C:$FB,119)</f>
        <v>0.68</v>
      </c>
      <c r="N118" s="50">
        <f>VLOOKUP($A118,'Data shares'!$C:$FB,121)*100</f>
        <v>2.94</v>
      </c>
      <c r="O118" s="50">
        <f>VLOOKUP($A118,'Data shares'!$C:$FB,124)</f>
        <v>0.46</v>
      </c>
      <c r="P118" s="50">
        <f>VLOOKUP($A118,'Data shares'!$C:$FB,125)</f>
        <v>0.6</v>
      </c>
      <c r="Q118" s="50">
        <f>VLOOKUP($A118,'Data shares'!$C:$FB,127)*100</f>
        <v>-23.330000000000002</v>
      </c>
    </row>
    <row r="119" spans="1:17" x14ac:dyDescent="0.25">
      <c r="A119" s="97" t="str">
        <f>'Data Vlaue (Cr)'!C114</f>
        <v>IREDA</v>
      </c>
      <c r="B119" s="140">
        <f>VLOOKUP($A119,'Data shares'!$C:$FB,7)</f>
        <v>156.22</v>
      </c>
      <c r="C119" s="140">
        <f>VLOOKUP($A119,'Data shares'!$C:$FB,3)</f>
        <v>156.28</v>
      </c>
      <c r="D119" s="140">
        <f>VLOOKUP($A119,'Data shares'!$C:$FB,4)</f>
        <v>157.79</v>
      </c>
      <c r="E119" s="50">
        <f t="shared" si="3"/>
        <v>-0.9569681221877121</v>
      </c>
      <c r="F119" s="49">
        <f>VLOOKUP($A119,'Data shares'!$C:$FB,98)</f>
        <v>102351150</v>
      </c>
      <c r="G119" s="49">
        <f>VLOOKUP($A119,'Data shares'!$C:$FB,99)</f>
        <v>101454150</v>
      </c>
      <c r="H119" s="50">
        <f t="shared" si="4"/>
        <v>0.88414323120345495</v>
      </c>
      <c r="I119" s="49">
        <f>VLOOKUP($A119,'Data shares'!$C:$FB,66)</f>
        <v>29407800</v>
      </c>
      <c r="J119" s="49">
        <f>VLOOKUP($A119,'Data shares'!$C:$FB,67)</f>
        <v>29601000</v>
      </c>
      <c r="K119" s="50">
        <f t="shared" si="5"/>
        <v>-0.65696855936180198</v>
      </c>
      <c r="L119" s="50">
        <f>VLOOKUP($A119,'Data shares'!$C:$FB,118)</f>
        <v>0.48</v>
      </c>
      <c r="M119" s="50">
        <f>VLOOKUP($A119,'Data shares'!$C:$FB,119)</f>
        <v>0.47</v>
      </c>
      <c r="N119" s="50">
        <f>VLOOKUP($A119,'Data shares'!$C:$FB,121)*100</f>
        <v>2.13</v>
      </c>
      <c r="O119" s="50">
        <f>VLOOKUP($A119,'Data shares'!$C:$FB,124)</f>
        <v>0.21</v>
      </c>
      <c r="P119" s="50">
        <f>VLOOKUP($A119,'Data shares'!$C:$FB,125)</f>
        <v>0.26</v>
      </c>
      <c r="Q119" s="50">
        <f>VLOOKUP($A119,'Data shares'!$C:$FB,127)*100</f>
        <v>-19.23</v>
      </c>
    </row>
    <row r="120" spans="1:17" x14ac:dyDescent="0.25">
      <c r="A120" s="97" t="str">
        <f>'Data Vlaue (Cr)'!C115</f>
        <v>IRFC</v>
      </c>
      <c r="B120" s="140">
        <f>VLOOKUP($A120,'Data shares'!$C:$FB,7)</f>
        <v>130.77000000000001</v>
      </c>
      <c r="C120" s="140">
        <f>VLOOKUP($A120,'Data shares'!$C:$FB,3)</f>
        <v>130.13999999999999</v>
      </c>
      <c r="D120" s="140">
        <f>VLOOKUP($A120,'Data shares'!$C:$FB,4)</f>
        <v>134.79</v>
      </c>
      <c r="E120" s="50">
        <f t="shared" si="3"/>
        <v>-3.4498108168261785</v>
      </c>
      <c r="F120" s="49">
        <f>VLOOKUP($A120,'Data shares'!$C:$FB,98)</f>
        <v>124010750</v>
      </c>
      <c r="G120" s="49">
        <f>VLOOKUP($A120,'Data shares'!$C:$FB,99)</f>
        <v>100988500</v>
      </c>
      <c r="H120" s="50">
        <f t="shared" si="4"/>
        <v>22.796902617624777</v>
      </c>
      <c r="I120" s="49">
        <f>VLOOKUP($A120,'Data shares'!$C:$FB,66)</f>
        <v>113424000</v>
      </c>
      <c r="J120" s="49">
        <f>VLOOKUP($A120,'Data shares'!$C:$FB,67)</f>
        <v>45067000</v>
      </c>
      <c r="K120" s="50">
        <f t="shared" si="5"/>
        <v>60.266786570743406</v>
      </c>
      <c r="L120" s="50">
        <f>VLOOKUP($A120,'Data shares'!$C:$FB,118)</f>
        <v>0.44</v>
      </c>
      <c r="M120" s="50">
        <f>VLOOKUP($A120,'Data shares'!$C:$FB,119)</f>
        <v>0.43</v>
      </c>
      <c r="N120" s="50">
        <f>VLOOKUP($A120,'Data shares'!$C:$FB,121)*100</f>
        <v>2.33</v>
      </c>
      <c r="O120" s="50">
        <f>VLOOKUP($A120,'Data shares'!$C:$FB,124)</f>
        <v>0.53</v>
      </c>
      <c r="P120" s="50">
        <f>VLOOKUP($A120,'Data shares'!$C:$FB,125)</f>
        <v>0.45</v>
      </c>
      <c r="Q120" s="50">
        <f>VLOOKUP($A120,'Data shares'!$C:$FB,127)*100</f>
        <v>17.78</v>
      </c>
    </row>
    <row r="121" spans="1:17" x14ac:dyDescent="0.25">
      <c r="A121" s="97" t="str">
        <f>'Data Vlaue (Cr)'!C116</f>
        <v>ITC</v>
      </c>
      <c r="B121" s="140">
        <f>VLOOKUP($A121,'Data shares'!$C:$FB,7)</f>
        <v>416</v>
      </c>
      <c r="C121" s="140">
        <f>VLOOKUP($A121,'Data shares'!$C:$FB,3)</f>
        <v>417.2</v>
      </c>
      <c r="D121" s="140">
        <f>VLOOKUP($A121,'Data shares'!$C:$FB,4)</f>
        <v>420.65</v>
      </c>
      <c r="E121" s="50">
        <f t="shared" si="3"/>
        <v>-0.82015927730892413</v>
      </c>
      <c r="F121" s="49">
        <f>VLOOKUP($A121,'Data shares'!$C:$FB,98)</f>
        <v>197393600</v>
      </c>
      <c r="G121" s="49">
        <f>VLOOKUP($A121,'Data shares'!$C:$FB,99)</f>
        <v>195164800</v>
      </c>
      <c r="H121" s="50">
        <f t="shared" si="4"/>
        <v>1.1420092147764351</v>
      </c>
      <c r="I121" s="49">
        <f>VLOOKUP($A121,'Data shares'!$C:$FB,66)</f>
        <v>80843200</v>
      </c>
      <c r="J121" s="49">
        <f>VLOOKUP($A121,'Data shares'!$C:$FB,67)</f>
        <v>68180800</v>
      </c>
      <c r="K121" s="50">
        <f t="shared" si="5"/>
        <v>15.662912898054508</v>
      </c>
      <c r="L121" s="50">
        <f>VLOOKUP($A121,'Data shares'!$C:$FB,118)</f>
        <v>0.57999999999999996</v>
      </c>
      <c r="M121" s="50">
        <f>VLOOKUP($A121,'Data shares'!$C:$FB,119)</f>
        <v>0.56999999999999995</v>
      </c>
      <c r="N121" s="50">
        <f>VLOOKUP($A121,'Data shares'!$C:$FB,121)*100</f>
        <v>1.7500000000000002</v>
      </c>
      <c r="O121" s="50">
        <f>VLOOKUP($A121,'Data shares'!$C:$FB,124)</f>
        <v>0.55000000000000004</v>
      </c>
      <c r="P121" s="50">
        <f>VLOOKUP($A121,'Data shares'!$C:$FB,125)</f>
        <v>0.43</v>
      </c>
      <c r="Q121" s="50">
        <f>VLOOKUP($A121,'Data shares'!$C:$FB,127)*100</f>
        <v>27.91</v>
      </c>
    </row>
    <row r="122" spans="1:17" x14ac:dyDescent="0.25">
      <c r="A122" s="97" t="str">
        <f>'Data Vlaue (Cr)'!C117</f>
        <v>JINDALSTEL</v>
      </c>
      <c r="B122" s="140">
        <f>VLOOKUP($A122,'Data shares'!$C:$FB,7)</f>
        <v>965</v>
      </c>
      <c r="C122" s="140">
        <f>VLOOKUP($A122,'Data shares'!$C:$FB,3)</f>
        <v>965.25</v>
      </c>
      <c r="D122" s="140">
        <f>VLOOKUP($A122,'Data shares'!$C:$FB,4)</f>
        <v>963.55</v>
      </c>
      <c r="E122" s="50">
        <f t="shared" si="3"/>
        <v>0.1764309065435157</v>
      </c>
      <c r="F122" s="49">
        <f>VLOOKUP($A122,'Data shares'!$C:$FB,98)</f>
        <v>26138125</v>
      </c>
      <c r="G122" s="49">
        <f>VLOOKUP($A122,'Data shares'!$C:$FB,99)</f>
        <v>26485000</v>
      </c>
      <c r="H122" s="50">
        <f t="shared" si="4"/>
        <v>-1.3097036058146121</v>
      </c>
      <c r="I122" s="49">
        <f>VLOOKUP($A122,'Data shares'!$C:$FB,66)</f>
        <v>11070000</v>
      </c>
      <c r="J122" s="49">
        <f>VLOOKUP($A122,'Data shares'!$C:$FB,67)</f>
        <v>10639375</v>
      </c>
      <c r="K122" s="50">
        <f t="shared" si="5"/>
        <v>3.8900180668473352</v>
      </c>
      <c r="L122" s="50">
        <f>VLOOKUP($A122,'Data shares'!$C:$FB,118)</f>
        <v>0.83</v>
      </c>
      <c r="M122" s="50">
        <f>VLOOKUP($A122,'Data shares'!$C:$FB,119)</f>
        <v>0.81</v>
      </c>
      <c r="N122" s="50">
        <f>VLOOKUP($A122,'Data shares'!$C:$FB,121)*100</f>
        <v>2.4699999999999998</v>
      </c>
      <c r="O122" s="50">
        <f>VLOOKUP($A122,'Data shares'!$C:$FB,124)</f>
        <v>0.64</v>
      </c>
      <c r="P122" s="50">
        <f>VLOOKUP($A122,'Data shares'!$C:$FB,125)</f>
        <v>0.56999999999999995</v>
      </c>
      <c r="Q122" s="50">
        <f>VLOOKUP($A122,'Data shares'!$C:$FB,127)*100</f>
        <v>12.280000000000001</v>
      </c>
    </row>
    <row r="123" spans="1:17" x14ac:dyDescent="0.25">
      <c r="A123" s="97" t="str">
        <f>'Data Vlaue (Cr)'!C118</f>
        <v>JIOFIN</v>
      </c>
      <c r="B123" s="140">
        <f>VLOOKUP($A123,'Data shares'!$C:$FB,7)</f>
        <v>310.8</v>
      </c>
      <c r="C123" s="140">
        <f>VLOOKUP($A123,'Data shares'!$C:$FB,3)</f>
        <v>311.45</v>
      </c>
      <c r="D123" s="140">
        <f>VLOOKUP($A123,'Data shares'!$C:$FB,4)</f>
        <v>318.35000000000002</v>
      </c>
      <c r="E123" s="50">
        <f t="shared" si="3"/>
        <v>-2.1674257892257054</v>
      </c>
      <c r="F123" s="49">
        <f>VLOOKUP($A123,'Data shares'!$C:$FB,98)</f>
        <v>266008250</v>
      </c>
      <c r="G123" s="49">
        <f>VLOOKUP($A123,'Data shares'!$C:$FB,99)</f>
        <v>256213450</v>
      </c>
      <c r="H123" s="50">
        <f t="shared" si="4"/>
        <v>3.822906252579636</v>
      </c>
      <c r="I123" s="49">
        <f>VLOOKUP($A123,'Data shares'!$C:$FB,66)</f>
        <v>188507600</v>
      </c>
      <c r="J123" s="49">
        <f>VLOOKUP($A123,'Data shares'!$C:$FB,67)</f>
        <v>165797200</v>
      </c>
      <c r="K123" s="50">
        <f t="shared" si="5"/>
        <v>12.047471826069613</v>
      </c>
      <c r="L123" s="50">
        <f>VLOOKUP($A123,'Data shares'!$C:$FB,118)</f>
        <v>0.51</v>
      </c>
      <c r="M123" s="50">
        <f>VLOOKUP($A123,'Data shares'!$C:$FB,119)</f>
        <v>0.53</v>
      </c>
      <c r="N123" s="50">
        <f>VLOOKUP($A123,'Data shares'!$C:$FB,121)*100</f>
        <v>-3.7699999999999996</v>
      </c>
      <c r="O123" s="50">
        <f>VLOOKUP($A123,'Data shares'!$C:$FB,124)</f>
        <v>0.44</v>
      </c>
      <c r="P123" s="50">
        <f>VLOOKUP($A123,'Data shares'!$C:$FB,125)</f>
        <v>0.46</v>
      </c>
      <c r="Q123" s="50">
        <f>VLOOKUP($A123,'Data shares'!$C:$FB,127)*100</f>
        <v>-4.3499999999999996</v>
      </c>
    </row>
    <row r="124" spans="1:17" x14ac:dyDescent="0.25">
      <c r="A124" s="97" t="str">
        <f>'Data Vlaue (Cr)'!C119</f>
        <v>JSL</v>
      </c>
      <c r="B124" s="140">
        <f>VLOOKUP($A124,'Data shares'!$C:$FB,7)</f>
        <v>688.9</v>
      </c>
      <c r="C124" s="140">
        <f>VLOOKUP($A124,'Data shares'!$C:$FB,3)</f>
        <v>690.45</v>
      </c>
      <c r="D124" s="140">
        <f>VLOOKUP($A124,'Data shares'!$C:$FB,4)</f>
        <v>700.35</v>
      </c>
      <c r="E124" s="50">
        <f t="shared" si="3"/>
        <v>-1.4135789248232995</v>
      </c>
      <c r="F124" s="49">
        <f>VLOOKUP($A124,'Data shares'!$C:$FB,98)</f>
        <v>10374250</v>
      </c>
      <c r="G124" s="49">
        <f>VLOOKUP($A124,'Data shares'!$C:$FB,99)</f>
        <v>10433750</v>
      </c>
      <c r="H124" s="50">
        <f t="shared" si="4"/>
        <v>-0.57026476578411411</v>
      </c>
      <c r="I124" s="49">
        <f>VLOOKUP($A124,'Data shares'!$C:$FB,66)</f>
        <v>3893000</v>
      </c>
      <c r="J124" s="49">
        <f>VLOOKUP($A124,'Data shares'!$C:$FB,67)</f>
        <v>13018600</v>
      </c>
      <c r="K124" s="50">
        <f t="shared" si="5"/>
        <v>-234.41048034934497</v>
      </c>
      <c r="L124" s="50">
        <f>VLOOKUP($A124,'Data shares'!$C:$FB,118)</f>
        <v>0.57999999999999996</v>
      </c>
      <c r="M124" s="50">
        <f>VLOOKUP($A124,'Data shares'!$C:$FB,119)</f>
        <v>0.61</v>
      </c>
      <c r="N124" s="50">
        <f>VLOOKUP($A124,'Data shares'!$C:$FB,121)*100</f>
        <v>-4.92</v>
      </c>
      <c r="O124" s="50">
        <f>VLOOKUP($A124,'Data shares'!$C:$FB,124)</f>
        <v>0.83</v>
      </c>
      <c r="P124" s="50">
        <f>VLOOKUP($A124,'Data shares'!$C:$FB,125)</f>
        <v>0.23</v>
      </c>
      <c r="Q124" s="50">
        <f>VLOOKUP($A124,'Data shares'!$C:$FB,127)*100</f>
        <v>260.87</v>
      </c>
    </row>
    <row r="125" spans="1:17" x14ac:dyDescent="0.25">
      <c r="A125" s="97" t="str">
        <f>'Data Vlaue (Cr)'!C120</f>
        <v>JSWENERGY</v>
      </c>
      <c r="B125" s="140">
        <f>VLOOKUP($A125,'Data shares'!$C:$FB,7)</f>
        <v>531.54999999999995</v>
      </c>
      <c r="C125" s="140">
        <f>VLOOKUP($A125,'Data shares'!$C:$FB,3)</f>
        <v>531.9</v>
      </c>
      <c r="D125" s="140">
        <f>VLOOKUP($A125,'Data shares'!$C:$FB,4)</f>
        <v>533.54999999999995</v>
      </c>
      <c r="E125" s="50">
        <f t="shared" si="3"/>
        <v>-0.30924936744447146</v>
      </c>
      <c r="F125" s="49">
        <f>VLOOKUP($A125,'Data shares'!$C:$FB,98)</f>
        <v>63684000</v>
      </c>
      <c r="G125" s="49">
        <f>VLOOKUP($A125,'Data shares'!$C:$FB,99)</f>
        <v>63317000</v>
      </c>
      <c r="H125" s="50">
        <f t="shared" si="4"/>
        <v>0.5796231659743829</v>
      </c>
      <c r="I125" s="49">
        <f>VLOOKUP($A125,'Data shares'!$C:$FB,66)</f>
        <v>12014000</v>
      </c>
      <c r="J125" s="49">
        <f>VLOOKUP($A125,'Data shares'!$C:$FB,67)</f>
        <v>18444000</v>
      </c>
      <c r="K125" s="50">
        <f t="shared" si="5"/>
        <v>-53.52089229232562</v>
      </c>
      <c r="L125" s="50">
        <f>VLOOKUP($A125,'Data shares'!$C:$FB,118)</f>
        <v>0.51</v>
      </c>
      <c r="M125" s="50">
        <f>VLOOKUP($A125,'Data shares'!$C:$FB,119)</f>
        <v>0.52</v>
      </c>
      <c r="N125" s="50">
        <f>VLOOKUP($A125,'Data shares'!$C:$FB,121)*100</f>
        <v>-1.92</v>
      </c>
      <c r="O125" s="50">
        <f>VLOOKUP($A125,'Data shares'!$C:$FB,124)</f>
        <v>0.28000000000000003</v>
      </c>
      <c r="P125" s="50">
        <f>VLOOKUP($A125,'Data shares'!$C:$FB,125)</f>
        <v>0.28000000000000003</v>
      </c>
      <c r="Q125" s="50">
        <f>VLOOKUP($A125,'Data shares'!$C:$FB,127)*100</f>
        <v>0</v>
      </c>
    </row>
    <row r="126" spans="1:17" x14ac:dyDescent="0.25">
      <c r="A126" s="97" t="str">
        <f>'Data Vlaue (Cr)'!C121</f>
        <v>JSWSTEEL</v>
      </c>
      <c r="B126" s="140">
        <f>VLOOKUP($A126,'Data shares'!$C:$FB,7)</f>
        <v>1030.7</v>
      </c>
      <c r="C126" s="140">
        <f>VLOOKUP($A126,'Data shares'!$C:$FB,3)</f>
        <v>1033.4000000000001</v>
      </c>
      <c r="D126" s="140">
        <f>VLOOKUP($A126,'Data shares'!$C:$FB,4)</f>
        <v>1035.5</v>
      </c>
      <c r="E126" s="50">
        <f t="shared" si="3"/>
        <v>-0.20280057943021815</v>
      </c>
      <c r="F126" s="49">
        <f>VLOOKUP($A126,'Data shares'!$C:$FB,98)</f>
        <v>54355725</v>
      </c>
      <c r="G126" s="49">
        <f>VLOOKUP($A126,'Data shares'!$C:$FB,99)</f>
        <v>56067525</v>
      </c>
      <c r="H126" s="50">
        <f t="shared" si="4"/>
        <v>-3.0531042702526996</v>
      </c>
      <c r="I126" s="49">
        <f>VLOOKUP($A126,'Data shares'!$C:$FB,66)</f>
        <v>18256725</v>
      </c>
      <c r="J126" s="49">
        <f>VLOOKUP($A126,'Data shares'!$C:$FB,67)</f>
        <v>47549025</v>
      </c>
      <c r="K126" s="50">
        <f t="shared" si="5"/>
        <v>-160.446629940474</v>
      </c>
      <c r="L126" s="50">
        <f>VLOOKUP($A126,'Data shares'!$C:$FB,118)</f>
        <v>0.64</v>
      </c>
      <c r="M126" s="50">
        <f>VLOOKUP($A126,'Data shares'!$C:$FB,119)</f>
        <v>0.62</v>
      </c>
      <c r="N126" s="50">
        <f>VLOOKUP($A126,'Data shares'!$C:$FB,121)*100</f>
        <v>3.2300000000000004</v>
      </c>
      <c r="O126" s="50">
        <f>VLOOKUP($A126,'Data shares'!$C:$FB,124)</f>
        <v>0.42</v>
      </c>
      <c r="P126" s="50">
        <f>VLOOKUP($A126,'Data shares'!$C:$FB,125)</f>
        <v>0.33</v>
      </c>
      <c r="Q126" s="50">
        <f>VLOOKUP($A126,'Data shares'!$C:$FB,127)*100</f>
        <v>27.27</v>
      </c>
    </row>
    <row r="127" spans="1:17" x14ac:dyDescent="0.25">
      <c r="A127" s="97" t="str">
        <f>'Data Vlaue (Cr)'!C122</f>
        <v>JUBLFOOD</v>
      </c>
      <c r="B127" s="140">
        <f>VLOOKUP($A127,'Data shares'!$C:$FB,7)</f>
        <v>662.1</v>
      </c>
      <c r="C127" s="140">
        <f>VLOOKUP($A127,'Data shares'!$C:$FB,3)</f>
        <v>662.9</v>
      </c>
      <c r="D127" s="140">
        <f>VLOOKUP($A127,'Data shares'!$C:$FB,4)</f>
        <v>680.55</v>
      </c>
      <c r="E127" s="50">
        <f t="shared" si="3"/>
        <v>-2.5934905591066015</v>
      </c>
      <c r="F127" s="49">
        <f>VLOOKUP($A127,'Data shares'!$C:$FB,98)</f>
        <v>34127500</v>
      </c>
      <c r="G127" s="49">
        <f>VLOOKUP($A127,'Data shares'!$C:$FB,99)</f>
        <v>33705000</v>
      </c>
      <c r="H127" s="50">
        <f t="shared" si="4"/>
        <v>1.2535232161400387</v>
      </c>
      <c r="I127" s="49">
        <f>VLOOKUP($A127,'Data shares'!$C:$FB,66)</f>
        <v>14871250</v>
      </c>
      <c r="J127" s="49">
        <f>VLOOKUP($A127,'Data shares'!$C:$FB,67)</f>
        <v>7490000</v>
      </c>
      <c r="K127" s="50">
        <f t="shared" si="5"/>
        <v>49.634361603765655</v>
      </c>
      <c r="L127" s="50">
        <f>VLOOKUP($A127,'Data shares'!$C:$FB,118)</f>
        <v>0.41</v>
      </c>
      <c r="M127" s="50">
        <f>VLOOKUP($A127,'Data shares'!$C:$FB,119)</f>
        <v>0.42</v>
      </c>
      <c r="N127" s="50">
        <f>VLOOKUP($A127,'Data shares'!$C:$FB,121)*100</f>
        <v>-2.3800000000000003</v>
      </c>
      <c r="O127" s="50">
        <f>VLOOKUP($A127,'Data shares'!$C:$FB,124)</f>
        <v>0.44</v>
      </c>
      <c r="P127" s="50">
        <f>VLOOKUP($A127,'Data shares'!$C:$FB,125)</f>
        <v>0.4</v>
      </c>
      <c r="Q127" s="50">
        <f>VLOOKUP($A127,'Data shares'!$C:$FB,127)*100</f>
        <v>10</v>
      </c>
    </row>
    <row r="128" spans="1:17" x14ac:dyDescent="0.25">
      <c r="A128" s="97" t="str">
        <f>'Data Vlaue (Cr)'!C123</f>
        <v>KALYANKJIL</v>
      </c>
      <c r="B128" s="140">
        <f>VLOOKUP($A128,'Data shares'!$C:$FB,7)</f>
        <v>593.04999999999995</v>
      </c>
      <c r="C128" s="140">
        <f>VLOOKUP($A128,'Data shares'!$C:$FB,3)</f>
        <v>595.1</v>
      </c>
      <c r="D128" s="140">
        <f>VLOOKUP($A128,'Data shares'!$C:$FB,4)</f>
        <v>592.65</v>
      </c>
      <c r="E128" s="50">
        <f t="shared" si="3"/>
        <v>0.41339745212183338</v>
      </c>
      <c r="F128" s="49">
        <f>VLOOKUP($A128,'Data shares'!$C:$FB,98)</f>
        <v>32017575</v>
      </c>
      <c r="G128" s="49">
        <f>VLOOKUP($A128,'Data shares'!$C:$FB,99)</f>
        <v>32628575</v>
      </c>
      <c r="H128" s="50">
        <f t="shared" si="4"/>
        <v>-1.8725917389895208</v>
      </c>
      <c r="I128" s="49">
        <f>VLOOKUP($A128,'Data shares'!$C:$FB,66)</f>
        <v>10083850</v>
      </c>
      <c r="J128" s="49">
        <f>VLOOKUP($A128,'Data shares'!$C:$FB,67)</f>
        <v>15139875</v>
      </c>
      <c r="K128" s="50">
        <f t="shared" si="5"/>
        <v>-50.139827546026574</v>
      </c>
      <c r="L128" s="50">
        <f>VLOOKUP($A128,'Data shares'!$C:$FB,118)</f>
        <v>0.67</v>
      </c>
      <c r="M128" s="50">
        <f>VLOOKUP($A128,'Data shares'!$C:$FB,119)</f>
        <v>0.65</v>
      </c>
      <c r="N128" s="50">
        <f>VLOOKUP($A128,'Data shares'!$C:$FB,121)*100</f>
        <v>3.08</v>
      </c>
      <c r="O128" s="50">
        <f>VLOOKUP($A128,'Data shares'!$C:$FB,124)</f>
        <v>0.38</v>
      </c>
      <c r="P128" s="50">
        <f>VLOOKUP($A128,'Data shares'!$C:$FB,125)</f>
        <v>0.39</v>
      </c>
      <c r="Q128" s="50">
        <f>VLOOKUP($A128,'Data shares'!$C:$FB,127)*100</f>
        <v>-2.56</v>
      </c>
    </row>
    <row r="129" spans="1:17" x14ac:dyDescent="0.25">
      <c r="A129" s="97" t="str">
        <f>'Data Vlaue (Cr)'!C124</f>
        <v>KAYNES</v>
      </c>
      <c r="B129" s="140">
        <f>VLOOKUP($A129,'Data shares'!$C:$FB,7)</f>
        <v>5783</v>
      </c>
      <c r="C129" s="140">
        <f>VLOOKUP($A129,'Data shares'!$C:$FB,3)</f>
        <v>5797</v>
      </c>
      <c r="D129" s="140">
        <f>VLOOKUP($A129,'Data shares'!$C:$FB,4)</f>
        <v>5919.5</v>
      </c>
      <c r="E129" s="50">
        <f t="shared" si="3"/>
        <v>-2.0694315398259988</v>
      </c>
      <c r="F129" s="49">
        <f>VLOOKUP($A129,'Data shares'!$C:$FB,98)</f>
        <v>1469800</v>
      </c>
      <c r="G129" s="49">
        <f>VLOOKUP($A129,'Data shares'!$C:$FB,99)</f>
        <v>1456200</v>
      </c>
      <c r="H129" s="50">
        <f t="shared" si="4"/>
        <v>0.9339376459277573</v>
      </c>
      <c r="I129" s="49">
        <f>VLOOKUP($A129,'Data shares'!$C:$FB,66)</f>
        <v>612200</v>
      </c>
      <c r="J129" s="49">
        <f>VLOOKUP($A129,'Data shares'!$C:$FB,67)</f>
        <v>762500</v>
      </c>
      <c r="K129" s="50">
        <f t="shared" si="5"/>
        <v>-24.550800392028748</v>
      </c>
      <c r="L129" s="50">
        <f>VLOOKUP($A129,'Data shares'!$C:$FB,118)</f>
        <v>0.42</v>
      </c>
      <c r="M129" s="50">
        <f>VLOOKUP($A129,'Data shares'!$C:$FB,119)</f>
        <v>0.42</v>
      </c>
      <c r="N129" s="50">
        <f>VLOOKUP($A129,'Data shares'!$C:$FB,121)*100</f>
        <v>0</v>
      </c>
      <c r="O129" s="50">
        <f>VLOOKUP($A129,'Data shares'!$C:$FB,124)</f>
        <v>0.21</v>
      </c>
      <c r="P129" s="50">
        <f>VLOOKUP($A129,'Data shares'!$C:$FB,125)</f>
        <v>0.2</v>
      </c>
      <c r="Q129" s="50">
        <f>VLOOKUP($A129,'Data shares'!$C:$FB,127)*100</f>
        <v>5</v>
      </c>
    </row>
    <row r="130" spans="1:17" x14ac:dyDescent="0.25">
      <c r="A130" s="97" t="str">
        <f>'Data Vlaue (Cr)'!C125</f>
        <v>KEI</v>
      </c>
      <c r="B130" s="140">
        <f>VLOOKUP($A130,'Data shares'!$C:$FB,7)</f>
        <v>3990.3</v>
      </c>
      <c r="C130" s="140">
        <f>VLOOKUP($A130,'Data shares'!$C:$FB,3)</f>
        <v>3992.5</v>
      </c>
      <c r="D130" s="140">
        <f>VLOOKUP($A130,'Data shares'!$C:$FB,4)</f>
        <v>3978</v>
      </c>
      <c r="E130" s="50">
        <f t="shared" si="3"/>
        <v>0.36450477626948213</v>
      </c>
      <c r="F130" s="49">
        <f>VLOOKUP($A130,'Data shares'!$C:$FB,98)</f>
        <v>2509675</v>
      </c>
      <c r="G130" s="49">
        <f>VLOOKUP($A130,'Data shares'!$C:$FB,99)</f>
        <v>2187500</v>
      </c>
      <c r="H130" s="50">
        <f t="shared" si="4"/>
        <v>14.728</v>
      </c>
      <c r="I130" s="49">
        <f>VLOOKUP($A130,'Data shares'!$C:$FB,66)</f>
        <v>4078900</v>
      </c>
      <c r="J130" s="49">
        <f>VLOOKUP($A130,'Data shares'!$C:$FB,67)</f>
        <v>2123625</v>
      </c>
      <c r="K130" s="50">
        <f t="shared" si="5"/>
        <v>47.936330873519822</v>
      </c>
      <c r="L130" s="50">
        <f>VLOOKUP($A130,'Data shares'!$C:$FB,118)</f>
        <v>0.62</v>
      </c>
      <c r="M130" s="50">
        <f>VLOOKUP($A130,'Data shares'!$C:$FB,119)</f>
        <v>0.63</v>
      </c>
      <c r="N130" s="50">
        <f>VLOOKUP($A130,'Data shares'!$C:$FB,121)*100</f>
        <v>-1.59</v>
      </c>
      <c r="O130" s="50">
        <f>VLOOKUP($A130,'Data shares'!$C:$FB,124)</f>
        <v>0.34</v>
      </c>
      <c r="P130" s="50">
        <f>VLOOKUP($A130,'Data shares'!$C:$FB,125)</f>
        <v>0.38</v>
      </c>
      <c r="Q130" s="50">
        <f>VLOOKUP($A130,'Data shares'!$C:$FB,127)*100</f>
        <v>-10.530000000000001</v>
      </c>
    </row>
    <row r="131" spans="1:17" x14ac:dyDescent="0.25">
      <c r="A131" s="97" t="str">
        <f>'Data Vlaue (Cr)'!C126</f>
        <v>KFINTECH</v>
      </c>
      <c r="B131" s="140">
        <f>VLOOKUP($A131,'Data shares'!$C:$FB,7)</f>
        <v>1282.4000000000001</v>
      </c>
      <c r="C131" s="140">
        <f>VLOOKUP($A131,'Data shares'!$C:$FB,3)</f>
        <v>1283.0999999999999</v>
      </c>
      <c r="D131" s="140">
        <f>VLOOKUP($A131,'Data shares'!$C:$FB,4)</f>
        <v>1276.5</v>
      </c>
      <c r="E131" s="50">
        <f t="shared" si="3"/>
        <v>0.51703877790833597</v>
      </c>
      <c r="F131" s="49">
        <f>VLOOKUP($A131,'Data shares'!$C:$FB,98)</f>
        <v>2234250</v>
      </c>
      <c r="G131" s="49">
        <f>VLOOKUP($A131,'Data shares'!$C:$FB,99)</f>
        <v>2340900</v>
      </c>
      <c r="H131" s="50">
        <f t="shared" si="4"/>
        <v>-4.5559400230680511</v>
      </c>
      <c r="I131" s="49">
        <f>VLOOKUP($A131,'Data shares'!$C:$FB,66)</f>
        <v>1168650</v>
      </c>
      <c r="J131" s="49">
        <f>VLOOKUP($A131,'Data shares'!$C:$FB,67)</f>
        <v>1002600</v>
      </c>
      <c r="K131" s="50">
        <f t="shared" si="5"/>
        <v>14.208702348864074</v>
      </c>
      <c r="L131" s="50">
        <f>VLOOKUP($A131,'Data shares'!$C:$FB,118)</f>
        <v>0.34</v>
      </c>
      <c r="M131" s="50">
        <f>VLOOKUP($A131,'Data shares'!$C:$FB,119)</f>
        <v>0.37</v>
      </c>
      <c r="N131" s="50">
        <f>VLOOKUP($A131,'Data shares'!$C:$FB,121)*100</f>
        <v>-8.1100000000000012</v>
      </c>
      <c r="O131" s="50">
        <f>VLOOKUP($A131,'Data shares'!$C:$FB,124)</f>
        <v>0.18</v>
      </c>
      <c r="P131" s="50">
        <f>VLOOKUP($A131,'Data shares'!$C:$FB,125)</f>
        <v>0.23</v>
      </c>
      <c r="Q131" s="50">
        <f>VLOOKUP($A131,'Data shares'!$C:$FB,127)*100</f>
        <v>-21.740000000000002</v>
      </c>
    </row>
    <row r="132" spans="1:17" x14ac:dyDescent="0.25">
      <c r="A132" s="97" t="str">
        <f>'Data Vlaue (Cr)'!C127</f>
        <v>KOTAKBANK</v>
      </c>
      <c r="B132" s="140">
        <f>VLOOKUP($A132,'Data shares'!$C:$FB,7)</f>
        <v>2160.1999999999998</v>
      </c>
      <c r="C132" s="140">
        <f>VLOOKUP($A132,'Data shares'!$C:$FB,3)</f>
        <v>2161.8000000000002</v>
      </c>
      <c r="D132" s="140">
        <f>VLOOKUP($A132,'Data shares'!$C:$FB,4)</f>
        <v>2166.8000000000002</v>
      </c>
      <c r="E132" s="50">
        <f t="shared" si="3"/>
        <v>-0.23075503045966397</v>
      </c>
      <c r="F132" s="49">
        <f>VLOOKUP($A132,'Data shares'!$C:$FB,98)</f>
        <v>48760800</v>
      </c>
      <c r="G132" s="49">
        <f>VLOOKUP($A132,'Data shares'!$C:$FB,99)</f>
        <v>48281200</v>
      </c>
      <c r="H132" s="50">
        <f t="shared" si="4"/>
        <v>0.99334730702633733</v>
      </c>
      <c r="I132" s="49">
        <f>VLOOKUP($A132,'Data shares'!$C:$FB,66)</f>
        <v>12791600</v>
      </c>
      <c r="J132" s="49">
        <f>VLOOKUP($A132,'Data shares'!$C:$FB,67)</f>
        <v>18993200</v>
      </c>
      <c r="K132" s="50">
        <f t="shared" si="5"/>
        <v>-48.481816191875922</v>
      </c>
      <c r="L132" s="50">
        <f>VLOOKUP($A132,'Data shares'!$C:$FB,118)</f>
        <v>0.82</v>
      </c>
      <c r="M132" s="50">
        <f>VLOOKUP($A132,'Data shares'!$C:$FB,119)</f>
        <v>0.83</v>
      </c>
      <c r="N132" s="50">
        <f>VLOOKUP($A132,'Data shares'!$C:$FB,121)*100</f>
        <v>-1.2</v>
      </c>
      <c r="O132" s="50">
        <f>VLOOKUP($A132,'Data shares'!$C:$FB,124)</f>
        <v>0.61</v>
      </c>
      <c r="P132" s="50">
        <f>VLOOKUP($A132,'Data shares'!$C:$FB,125)</f>
        <v>0.56000000000000005</v>
      </c>
      <c r="Q132" s="50">
        <f>VLOOKUP($A132,'Data shares'!$C:$FB,127)*100</f>
        <v>8.93</v>
      </c>
    </row>
    <row r="133" spans="1:17" x14ac:dyDescent="0.25">
      <c r="A133" s="97" t="str">
        <f>'Data Vlaue (Cr)'!C128</f>
        <v>KPITTECH</v>
      </c>
      <c r="B133" s="140">
        <f>VLOOKUP($A133,'Data shares'!$C:$FB,7)</f>
        <v>1256</v>
      </c>
      <c r="C133" s="140">
        <f>VLOOKUP($A133,'Data shares'!$C:$FB,3)</f>
        <v>1252.5999999999999</v>
      </c>
      <c r="D133" s="140">
        <f>VLOOKUP($A133,'Data shares'!$C:$FB,4)</f>
        <v>1263.9000000000001</v>
      </c>
      <c r="E133" s="50">
        <f t="shared" si="3"/>
        <v>-0.89405807421474648</v>
      </c>
      <c r="F133" s="49">
        <f>VLOOKUP($A133,'Data shares'!$C:$FB,98)</f>
        <v>10659200</v>
      </c>
      <c r="G133" s="49">
        <f>VLOOKUP($A133,'Data shares'!$C:$FB,99)</f>
        <v>10450000</v>
      </c>
      <c r="H133" s="50">
        <f t="shared" si="4"/>
        <v>2.0019138755980861</v>
      </c>
      <c r="I133" s="49">
        <f>VLOOKUP($A133,'Data shares'!$C:$FB,66)</f>
        <v>1929200</v>
      </c>
      <c r="J133" s="49">
        <f>VLOOKUP($A133,'Data shares'!$C:$FB,67)</f>
        <v>2305600</v>
      </c>
      <c r="K133" s="50">
        <f t="shared" si="5"/>
        <v>-19.510678001244038</v>
      </c>
      <c r="L133" s="50">
        <f>VLOOKUP($A133,'Data shares'!$C:$FB,118)</f>
        <v>0.67</v>
      </c>
      <c r="M133" s="50">
        <f>VLOOKUP($A133,'Data shares'!$C:$FB,119)</f>
        <v>0.64</v>
      </c>
      <c r="N133" s="50">
        <f>VLOOKUP($A133,'Data shares'!$C:$FB,121)*100</f>
        <v>4.6899999999999995</v>
      </c>
      <c r="O133" s="50">
        <f>VLOOKUP($A133,'Data shares'!$C:$FB,124)</f>
        <v>0.47</v>
      </c>
      <c r="P133" s="50">
        <f>VLOOKUP($A133,'Data shares'!$C:$FB,125)</f>
        <v>0.28999999999999998</v>
      </c>
      <c r="Q133" s="50">
        <f>VLOOKUP($A133,'Data shares'!$C:$FB,127)*100</f>
        <v>62.07</v>
      </c>
    </row>
    <row r="134" spans="1:17" x14ac:dyDescent="0.25">
      <c r="A134" s="97" t="str">
        <f>'Data Vlaue (Cr)'!C129</f>
        <v>LAURUSLABS</v>
      </c>
      <c r="B134" s="140">
        <f>VLOOKUP($A134,'Data shares'!$C:$FB,7)</f>
        <v>823.35</v>
      </c>
      <c r="C134" s="140">
        <f>VLOOKUP($A134,'Data shares'!$C:$FB,3)</f>
        <v>824.75</v>
      </c>
      <c r="D134" s="140">
        <f>VLOOKUP($A134,'Data shares'!$C:$FB,4)</f>
        <v>830.25</v>
      </c>
      <c r="E134" s="50">
        <f t="shared" si="3"/>
        <v>-0.66245106895513395</v>
      </c>
      <c r="F134" s="49">
        <f>VLOOKUP($A134,'Data shares'!$C:$FB,98)</f>
        <v>57468500</v>
      </c>
      <c r="G134" s="49">
        <f>VLOOKUP($A134,'Data shares'!$C:$FB,99)</f>
        <v>57745600</v>
      </c>
      <c r="H134" s="50">
        <f t="shared" si="4"/>
        <v>-0.47986340084785684</v>
      </c>
      <c r="I134" s="49">
        <f>VLOOKUP($A134,'Data shares'!$C:$FB,66)</f>
        <v>17634100</v>
      </c>
      <c r="J134" s="49">
        <f>VLOOKUP($A134,'Data shares'!$C:$FB,67)</f>
        <v>18144100</v>
      </c>
      <c r="K134" s="50">
        <f t="shared" si="5"/>
        <v>-2.8921237828979081</v>
      </c>
      <c r="L134" s="50">
        <f>VLOOKUP($A134,'Data shares'!$C:$FB,118)</f>
        <v>1.1599999999999999</v>
      </c>
      <c r="M134" s="50">
        <f>VLOOKUP($A134,'Data shares'!$C:$FB,119)</f>
        <v>1.1599999999999999</v>
      </c>
      <c r="N134" s="50">
        <f>VLOOKUP($A134,'Data shares'!$C:$FB,121)*100</f>
        <v>0</v>
      </c>
      <c r="O134" s="50">
        <f>VLOOKUP($A134,'Data shares'!$C:$FB,124)</f>
        <v>0.79</v>
      </c>
      <c r="P134" s="50">
        <f>VLOOKUP($A134,'Data shares'!$C:$FB,125)</f>
        <v>0.84</v>
      </c>
      <c r="Q134" s="50">
        <f>VLOOKUP($A134,'Data shares'!$C:$FB,127)*100</f>
        <v>-5.9499999999999993</v>
      </c>
    </row>
    <row r="135" spans="1:17" x14ac:dyDescent="0.25">
      <c r="A135" s="97" t="str">
        <f>'Data Vlaue (Cr)'!C130</f>
        <v>LICHSGFIN</v>
      </c>
      <c r="B135" s="140">
        <f>VLOOKUP($A135,'Data shares'!$C:$FB,7)</f>
        <v>620.20000000000005</v>
      </c>
      <c r="C135" s="140">
        <f>VLOOKUP($A135,'Data shares'!$C:$FB,3)</f>
        <v>621.9</v>
      </c>
      <c r="D135" s="140">
        <f>VLOOKUP($A135,'Data shares'!$C:$FB,4)</f>
        <v>625.79999999999995</v>
      </c>
      <c r="E135" s="50">
        <f t="shared" si="3"/>
        <v>-0.62320230105464647</v>
      </c>
      <c r="F135" s="49">
        <f>VLOOKUP($A135,'Data shares'!$C:$FB,98)</f>
        <v>43808000</v>
      </c>
      <c r="G135" s="49">
        <f>VLOOKUP($A135,'Data shares'!$C:$FB,99)</f>
        <v>43136000</v>
      </c>
      <c r="H135" s="50">
        <f t="shared" si="4"/>
        <v>1.5578635014836795</v>
      </c>
      <c r="I135" s="49">
        <f>VLOOKUP($A135,'Data shares'!$C:$FB,66)</f>
        <v>16813000</v>
      </c>
      <c r="J135" s="49">
        <f>VLOOKUP($A135,'Data shares'!$C:$FB,67)</f>
        <v>17100000</v>
      </c>
      <c r="K135" s="50">
        <f t="shared" si="5"/>
        <v>-1.7070124308570749</v>
      </c>
      <c r="L135" s="50">
        <f>VLOOKUP($A135,'Data shares'!$C:$FB,118)</f>
        <v>0.85</v>
      </c>
      <c r="M135" s="50">
        <f>VLOOKUP($A135,'Data shares'!$C:$FB,119)</f>
        <v>0.88</v>
      </c>
      <c r="N135" s="50">
        <f>VLOOKUP($A135,'Data shares'!$C:$FB,121)*100</f>
        <v>-3.4099999999999997</v>
      </c>
      <c r="O135" s="50">
        <f>VLOOKUP($A135,'Data shares'!$C:$FB,124)</f>
        <v>0.32</v>
      </c>
      <c r="P135" s="50">
        <f>VLOOKUP($A135,'Data shares'!$C:$FB,125)</f>
        <v>0.34</v>
      </c>
      <c r="Q135" s="50">
        <f>VLOOKUP($A135,'Data shares'!$C:$FB,127)*100</f>
        <v>-5.88</v>
      </c>
    </row>
    <row r="136" spans="1:17" x14ac:dyDescent="0.25">
      <c r="A136" s="97" t="str">
        <f>'Data Vlaue (Cr)'!C131</f>
        <v>LICI</v>
      </c>
      <c r="B136" s="140">
        <f>VLOOKUP($A136,'Data shares'!$C:$FB,7)</f>
        <v>919.05</v>
      </c>
      <c r="C136" s="140">
        <f>VLOOKUP($A136,'Data shares'!$C:$FB,3)</f>
        <v>908.2</v>
      </c>
      <c r="D136" s="140">
        <f>VLOOKUP($A136,'Data shares'!$C:$FB,4)</f>
        <v>916.8</v>
      </c>
      <c r="E136" s="50">
        <f t="shared" ref="E136:E172" si="6">(C136-D136)/D136*100</f>
        <v>-0.93804537521814024</v>
      </c>
      <c r="F136" s="49">
        <f>VLOOKUP($A136,'Data shares'!$C:$FB,98)</f>
        <v>16354800</v>
      </c>
      <c r="G136" s="49">
        <f>VLOOKUP($A136,'Data shares'!$C:$FB,99)</f>
        <v>16229500</v>
      </c>
      <c r="H136" s="50">
        <f t="shared" ref="H136:H172" si="7">(F136-G136)/G136*100</f>
        <v>0.77205089497519952</v>
      </c>
      <c r="I136" s="49">
        <f>VLOOKUP($A136,'Data shares'!$C:$FB,66)</f>
        <v>4340700</v>
      </c>
      <c r="J136" s="49">
        <f>VLOOKUP($A136,'Data shares'!$C:$FB,67)</f>
        <v>3727500</v>
      </c>
      <c r="K136" s="50">
        <f t="shared" ref="K136:K172" si="8">(I136-J136)/I136*100</f>
        <v>14.12675374939526</v>
      </c>
      <c r="L136" s="50">
        <f>VLOOKUP($A136,'Data shares'!$C:$FB,118)</f>
        <v>0.46</v>
      </c>
      <c r="M136" s="50">
        <f>VLOOKUP($A136,'Data shares'!$C:$FB,119)</f>
        <v>0.45</v>
      </c>
      <c r="N136" s="50">
        <f>VLOOKUP($A136,'Data shares'!$C:$FB,121)*100</f>
        <v>2.2200000000000002</v>
      </c>
      <c r="O136" s="50">
        <f>VLOOKUP($A136,'Data shares'!$C:$FB,124)</f>
        <v>0.28000000000000003</v>
      </c>
      <c r="P136" s="50">
        <f>VLOOKUP($A136,'Data shares'!$C:$FB,125)</f>
        <v>0.3</v>
      </c>
      <c r="Q136" s="50">
        <f>VLOOKUP($A136,'Data shares'!$C:$FB,127)*100</f>
        <v>-6.67</v>
      </c>
    </row>
    <row r="137" spans="1:17" x14ac:dyDescent="0.25">
      <c r="A137" s="97" t="str">
        <f>'Data Vlaue (Cr)'!C132</f>
        <v>LODHA</v>
      </c>
      <c r="B137" s="140">
        <f>VLOOKUP($A137,'Data shares'!$C:$FB,7)</f>
        <v>1442.3</v>
      </c>
      <c r="C137" s="140">
        <f>VLOOKUP($A137,'Data shares'!$C:$FB,3)</f>
        <v>1443</v>
      </c>
      <c r="D137" s="140">
        <f>VLOOKUP($A137,'Data shares'!$C:$FB,4)</f>
        <v>1452.5</v>
      </c>
      <c r="E137" s="50">
        <f t="shared" si="6"/>
        <v>-0.65404475043029264</v>
      </c>
      <c r="F137" s="49">
        <f>VLOOKUP($A137,'Data shares'!$C:$FB,98)</f>
        <v>8023500</v>
      </c>
      <c r="G137" s="49">
        <f>VLOOKUP($A137,'Data shares'!$C:$FB,99)</f>
        <v>7933500</v>
      </c>
      <c r="H137" s="50">
        <f t="shared" si="7"/>
        <v>1.1344299489506522</v>
      </c>
      <c r="I137" s="49">
        <f>VLOOKUP($A137,'Data shares'!$C:$FB,66)</f>
        <v>2290500</v>
      </c>
      <c r="J137" s="49">
        <f>VLOOKUP($A137,'Data shares'!$C:$FB,67)</f>
        <v>1900800</v>
      </c>
      <c r="K137" s="50">
        <f t="shared" si="8"/>
        <v>17.013752455795679</v>
      </c>
      <c r="L137" s="50">
        <f>VLOOKUP($A137,'Data shares'!$C:$FB,118)</f>
        <v>0.67</v>
      </c>
      <c r="M137" s="50">
        <f>VLOOKUP($A137,'Data shares'!$C:$FB,119)</f>
        <v>0.73</v>
      </c>
      <c r="N137" s="50">
        <f>VLOOKUP($A137,'Data shares'!$C:$FB,121)*100</f>
        <v>-8.2199999999999989</v>
      </c>
      <c r="O137" s="50">
        <f>VLOOKUP($A137,'Data shares'!$C:$FB,124)</f>
        <v>0.4</v>
      </c>
      <c r="P137" s="50">
        <f>VLOOKUP($A137,'Data shares'!$C:$FB,125)</f>
        <v>0.54</v>
      </c>
      <c r="Q137" s="50">
        <f>VLOOKUP($A137,'Data shares'!$C:$FB,127)*100</f>
        <v>-25.929999999999996</v>
      </c>
    </row>
    <row r="138" spans="1:17" x14ac:dyDescent="0.25">
      <c r="A138" s="97" t="str">
        <f>'Data Vlaue (Cr)'!C133</f>
        <v>LT</v>
      </c>
      <c r="B138" s="140">
        <f>VLOOKUP($A138,'Data shares'!$C:$FB,7)</f>
        <v>3464.6</v>
      </c>
      <c r="C138" s="140">
        <f>VLOOKUP($A138,'Data shares'!$C:$FB,3)</f>
        <v>3475.2</v>
      </c>
      <c r="D138" s="140">
        <f>VLOOKUP($A138,'Data shares'!$C:$FB,4)</f>
        <v>3510</v>
      </c>
      <c r="E138" s="50">
        <f t="shared" si="6"/>
        <v>-0.99145299145299659</v>
      </c>
      <c r="F138" s="49">
        <f>VLOOKUP($A138,'Data shares'!$C:$FB,98)</f>
        <v>30682225</v>
      </c>
      <c r="G138" s="49">
        <f>VLOOKUP($A138,'Data shares'!$C:$FB,99)</f>
        <v>30085300</v>
      </c>
      <c r="H138" s="50">
        <f t="shared" si="7"/>
        <v>1.9841085181134972</v>
      </c>
      <c r="I138" s="49">
        <f>VLOOKUP($A138,'Data shares'!$C:$FB,66)</f>
        <v>9437575</v>
      </c>
      <c r="J138" s="49">
        <f>VLOOKUP($A138,'Data shares'!$C:$FB,67)</f>
        <v>10905125</v>
      </c>
      <c r="K138" s="50">
        <f t="shared" si="8"/>
        <v>-15.550075098740937</v>
      </c>
      <c r="L138" s="50">
        <f>VLOOKUP($A138,'Data shares'!$C:$FB,118)</f>
        <v>0.39</v>
      </c>
      <c r="M138" s="50">
        <f>VLOOKUP($A138,'Data shares'!$C:$FB,119)</f>
        <v>0.38</v>
      </c>
      <c r="N138" s="50">
        <f>VLOOKUP($A138,'Data shares'!$C:$FB,121)*100</f>
        <v>2.63</v>
      </c>
      <c r="O138" s="50">
        <f>VLOOKUP($A138,'Data shares'!$C:$FB,124)</f>
        <v>0.27</v>
      </c>
      <c r="P138" s="50">
        <f>VLOOKUP($A138,'Data shares'!$C:$FB,125)</f>
        <v>0.33</v>
      </c>
      <c r="Q138" s="50">
        <f>VLOOKUP($A138,'Data shares'!$C:$FB,127)*100</f>
        <v>-18.18</v>
      </c>
    </row>
    <row r="139" spans="1:17" x14ac:dyDescent="0.25">
      <c r="A139" s="97" t="str">
        <f>'Data Vlaue (Cr)'!C134</f>
        <v>LTF</v>
      </c>
      <c r="B139" s="140">
        <f>VLOOKUP($A139,'Data shares'!$C:$FB,7)</f>
        <v>209.21</v>
      </c>
      <c r="C139" s="140">
        <f>VLOOKUP($A139,'Data shares'!$C:$FB,3)</f>
        <v>209.42</v>
      </c>
      <c r="D139" s="140">
        <f>VLOOKUP($A139,'Data shares'!$C:$FB,4)</f>
        <v>211.4</v>
      </c>
      <c r="E139" s="50">
        <f t="shared" si="6"/>
        <v>-0.93661305581836252</v>
      </c>
      <c r="F139" s="49">
        <f>VLOOKUP($A139,'Data shares'!$C:$FB,98)</f>
        <v>132012732</v>
      </c>
      <c r="G139" s="49">
        <f>VLOOKUP($A139,'Data shares'!$C:$FB,99)</f>
        <v>135278916</v>
      </c>
      <c r="H139" s="50">
        <f t="shared" si="7"/>
        <v>-2.414407282802296</v>
      </c>
      <c r="I139" s="49">
        <f>VLOOKUP($A139,'Data shares'!$C:$FB,66)</f>
        <v>149717948</v>
      </c>
      <c r="J139" s="49">
        <f>VLOOKUP($A139,'Data shares'!$C:$FB,67)</f>
        <v>380617524</v>
      </c>
      <c r="K139" s="50">
        <f t="shared" si="8"/>
        <v>-154.22304345234548</v>
      </c>
      <c r="L139" s="50">
        <f>VLOOKUP($A139,'Data shares'!$C:$FB,118)</f>
        <v>0.69</v>
      </c>
      <c r="M139" s="50">
        <f>VLOOKUP($A139,'Data shares'!$C:$FB,119)</f>
        <v>0.8</v>
      </c>
      <c r="N139" s="50">
        <f>VLOOKUP($A139,'Data shares'!$C:$FB,121)*100</f>
        <v>-13.750000000000002</v>
      </c>
      <c r="O139" s="50">
        <f>VLOOKUP($A139,'Data shares'!$C:$FB,124)</f>
        <v>0.52</v>
      </c>
      <c r="P139" s="50">
        <f>VLOOKUP($A139,'Data shares'!$C:$FB,125)</f>
        <v>0.56999999999999995</v>
      </c>
      <c r="Q139" s="50">
        <f>VLOOKUP($A139,'Data shares'!$C:$FB,127)*100</f>
        <v>-8.77</v>
      </c>
    </row>
    <row r="140" spans="1:17" x14ac:dyDescent="0.25">
      <c r="A140" s="97" t="str">
        <f>'Data Vlaue (Cr)'!C135</f>
        <v>LTIM</v>
      </c>
      <c r="B140" s="140">
        <f>VLOOKUP($A140,'Data shares'!$C:$FB,7)</f>
        <v>5175.5</v>
      </c>
      <c r="C140" s="140">
        <f>VLOOKUP($A140,'Data shares'!$C:$FB,3)</f>
        <v>5179</v>
      </c>
      <c r="D140" s="140">
        <f>VLOOKUP($A140,'Data shares'!$C:$FB,4)</f>
        <v>5149.5</v>
      </c>
      <c r="E140" s="50">
        <f t="shared" si="6"/>
        <v>0.57287115253908139</v>
      </c>
      <c r="F140" s="49">
        <f>VLOOKUP($A140,'Data shares'!$C:$FB,98)</f>
        <v>4785750</v>
      </c>
      <c r="G140" s="49">
        <f>VLOOKUP($A140,'Data shares'!$C:$FB,99)</f>
        <v>5132700</v>
      </c>
      <c r="H140" s="50">
        <f t="shared" si="7"/>
        <v>-6.759600210415571</v>
      </c>
      <c r="I140" s="49">
        <f>VLOOKUP($A140,'Data shares'!$C:$FB,66)</f>
        <v>2344650</v>
      </c>
      <c r="J140" s="49">
        <f>VLOOKUP($A140,'Data shares'!$C:$FB,67)</f>
        <v>3001200</v>
      </c>
      <c r="K140" s="50">
        <f t="shared" si="8"/>
        <v>-28.002047213869872</v>
      </c>
      <c r="L140" s="50">
        <f>VLOOKUP($A140,'Data shares'!$C:$FB,118)</f>
        <v>0.61</v>
      </c>
      <c r="M140" s="50">
        <f>VLOOKUP($A140,'Data shares'!$C:$FB,119)</f>
        <v>0.6</v>
      </c>
      <c r="N140" s="50">
        <f>VLOOKUP($A140,'Data shares'!$C:$FB,121)*100</f>
        <v>1.67</v>
      </c>
      <c r="O140" s="50">
        <f>VLOOKUP($A140,'Data shares'!$C:$FB,124)</f>
        <v>0.52</v>
      </c>
      <c r="P140" s="50">
        <f>VLOOKUP($A140,'Data shares'!$C:$FB,125)</f>
        <v>0.46</v>
      </c>
      <c r="Q140" s="50">
        <f>VLOOKUP($A140,'Data shares'!$C:$FB,127)*100</f>
        <v>13.04</v>
      </c>
    </row>
    <row r="141" spans="1:17" x14ac:dyDescent="0.25">
      <c r="A141" s="97" t="str">
        <f>'Data Vlaue (Cr)'!C136</f>
        <v>LUPIN</v>
      </c>
      <c r="B141" s="140">
        <f>VLOOKUP($A141,'Data shares'!$C:$FB,7)</f>
        <v>1903.2</v>
      </c>
      <c r="C141" s="140">
        <f>VLOOKUP($A141,'Data shares'!$C:$FB,3)</f>
        <v>1895.6</v>
      </c>
      <c r="D141" s="140">
        <f>VLOOKUP($A141,'Data shares'!$C:$FB,4)</f>
        <v>1915.3</v>
      </c>
      <c r="E141" s="50">
        <f t="shared" si="6"/>
        <v>-1.0285594945961491</v>
      </c>
      <c r="F141" s="49">
        <f>VLOOKUP($A141,'Data shares'!$C:$FB,98)</f>
        <v>18690225</v>
      </c>
      <c r="G141" s="49">
        <f>VLOOKUP($A141,'Data shares'!$C:$FB,99)</f>
        <v>18228250</v>
      </c>
      <c r="H141" s="50">
        <f t="shared" si="7"/>
        <v>2.53439030076941</v>
      </c>
      <c r="I141" s="49">
        <f>VLOOKUP($A141,'Data shares'!$C:$FB,66)</f>
        <v>11800975</v>
      </c>
      <c r="J141" s="49">
        <f>VLOOKUP($A141,'Data shares'!$C:$FB,67)</f>
        <v>3015375</v>
      </c>
      <c r="K141" s="50">
        <f t="shared" si="8"/>
        <v>74.448085857312634</v>
      </c>
      <c r="L141" s="50">
        <f>VLOOKUP($A141,'Data shares'!$C:$FB,118)</f>
        <v>0.64</v>
      </c>
      <c r="M141" s="50">
        <f>VLOOKUP($A141,'Data shares'!$C:$FB,119)</f>
        <v>0.62</v>
      </c>
      <c r="N141" s="50">
        <f>VLOOKUP($A141,'Data shares'!$C:$FB,121)*100</f>
        <v>3.2300000000000004</v>
      </c>
      <c r="O141" s="50">
        <f>VLOOKUP($A141,'Data shares'!$C:$FB,124)</f>
        <v>0.6</v>
      </c>
      <c r="P141" s="50">
        <f>VLOOKUP($A141,'Data shares'!$C:$FB,125)</f>
        <v>0.34</v>
      </c>
      <c r="Q141" s="50">
        <f>VLOOKUP($A141,'Data shares'!$C:$FB,127)*100</f>
        <v>76.47</v>
      </c>
    </row>
    <row r="142" spans="1:17" x14ac:dyDescent="0.25">
      <c r="A142" s="97" t="str">
        <f>'Data Vlaue (Cr)'!C137</f>
        <v>M&amp;M</v>
      </c>
      <c r="B142" s="140">
        <f>VLOOKUP($A142,'Data shares'!$C:$FB,7)</f>
        <v>3257.2</v>
      </c>
      <c r="C142" s="140">
        <f>VLOOKUP($A142,'Data shares'!$C:$FB,3)</f>
        <v>3261.9</v>
      </c>
      <c r="D142" s="140">
        <f>VLOOKUP($A142,'Data shares'!$C:$FB,4)</f>
        <v>3251.1</v>
      </c>
      <c r="E142" s="50">
        <f t="shared" si="6"/>
        <v>0.33219525698994751</v>
      </c>
      <c r="F142" s="49">
        <f>VLOOKUP($A142,'Data shares'!$C:$FB,98)</f>
        <v>33237800</v>
      </c>
      <c r="G142" s="49">
        <f>VLOOKUP($A142,'Data shares'!$C:$FB,99)</f>
        <v>33249200</v>
      </c>
      <c r="H142" s="50">
        <f t="shared" si="7"/>
        <v>-3.4286539225003909E-2</v>
      </c>
      <c r="I142" s="49">
        <f>VLOOKUP($A142,'Data shares'!$C:$FB,66)</f>
        <v>23837800</v>
      </c>
      <c r="J142" s="49">
        <f>VLOOKUP($A142,'Data shares'!$C:$FB,67)</f>
        <v>23101800</v>
      </c>
      <c r="K142" s="50">
        <f t="shared" si="8"/>
        <v>3.0875332455176232</v>
      </c>
      <c r="L142" s="50">
        <f>VLOOKUP($A142,'Data shares'!$C:$FB,118)</f>
        <v>0.6</v>
      </c>
      <c r="M142" s="50">
        <f>VLOOKUP($A142,'Data shares'!$C:$FB,119)</f>
        <v>0.6</v>
      </c>
      <c r="N142" s="50">
        <f>VLOOKUP($A142,'Data shares'!$C:$FB,121)*100</f>
        <v>0</v>
      </c>
      <c r="O142" s="50">
        <f>VLOOKUP($A142,'Data shares'!$C:$FB,124)</f>
        <v>0.43</v>
      </c>
      <c r="P142" s="50">
        <f>VLOOKUP($A142,'Data shares'!$C:$FB,125)</f>
        <v>0.48</v>
      </c>
      <c r="Q142" s="50">
        <f>VLOOKUP($A142,'Data shares'!$C:$FB,127)*100</f>
        <v>-10.42</v>
      </c>
    </row>
    <row r="143" spans="1:17" x14ac:dyDescent="0.25">
      <c r="A143" s="97" t="str">
        <f>'Data Vlaue (Cr)'!C138</f>
        <v>M&amp;MFIN</v>
      </c>
      <c r="B143" s="140">
        <f>VLOOKUP($A143,'Data shares'!$C:$FB,7)</f>
        <v>265.55</v>
      </c>
      <c r="C143" s="140">
        <f>VLOOKUP($A143,'Data shares'!$C:$FB,3)</f>
        <v>265.7</v>
      </c>
      <c r="D143" s="140">
        <f>VLOOKUP($A143,'Data shares'!$C:$FB,4)</f>
        <v>263.2</v>
      </c>
      <c r="E143" s="50">
        <f t="shared" si="6"/>
        <v>0.94984802431610937</v>
      </c>
      <c r="F143" s="49">
        <f>VLOOKUP($A143,'Data shares'!$C:$FB,98)</f>
        <v>39843224</v>
      </c>
      <c r="G143" s="49">
        <f>VLOOKUP($A143,'Data shares'!$C:$FB,99)</f>
        <v>36981272</v>
      </c>
      <c r="H143" s="50">
        <f t="shared" si="7"/>
        <v>7.7389225551787399</v>
      </c>
      <c r="I143" s="49">
        <f>VLOOKUP($A143,'Data shares'!$C:$FB,66)</f>
        <v>56139080</v>
      </c>
      <c r="J143" s="49">
        <f>VLOOKUP($A143,'Data shares'!$C:$FB,67)</f>
        <v>9998328</v>
      </c>
      <c r="K143" s="50">
        <f t="shared" si="8"/>
        <v>82.190075077824574</v>
      </c>
      <c r="L143" s="50">
        <f>VLOOKUP($A143,'Data shares'!$C:$FB,118)</f>
        <v>0.55000000000000004</v>
      </c>
      <c r="M143" s="50">
        <f>VLOOKUP($A143,'Data shares'!$C:$FB,119)</f>
        <v>0.67</v>
      </c>
      <c r="N143" s="50">
        <f>VLOOKUP($A143,'Data shares'!$C:$FB,121)*100</f>
        <v>-17.91</v>
      </c>
      <c r="O143" s="50">
        <f>VLOOKUP($A143,'Data shares'!$C:$FB,124)</f>
        <v>0.4</v>
      </c>
      <c r="P143" s="50">
        <f>VLOOKUP($A143,'Data shares'!$C:$FB,125)</f>
        <v>0.48</v>
      </c>
      <c r="Q143" s="50">
        <f>VLOOKUP($A143,'Data shares'!$C:$FB,127)*100</f>
        <v>-16.669999999999998</v>
      </c>
    </row>
    <row r="144" spans="1:17" x14ac:dyDescent="0.25">
      <c r="A144" s="97" t="str">
        <f>'Data Vlaue (Cr)'!C139</f>
        <v>MANAPPURAM</v>
      </c>
      <c r="B144" s="140">
        <f>VLOOKUP($A144,'Data shares'!$C:$FB,7)</f>
        <v>272.05</v>
      </c>
      <c r="C144" s="140">
        <f>VLOOKUP($A144,'Data shares'!$C:$FB,3)</f>
        <v>272</v>
      </c>
      <c r="D144" s="140">
        <f>VLOOKUP($A144,'Data shares'!$C:$FB,4)</f>
        <v>270.64999999999998</v>
      </c>
      <c r="E144" s="50">
        <f t="shared" si="6"/>
        <v>0.49879918714207383</v>
      </c>
      <c r="F144" s="49">
        <f>VLOOKUP($A144,'Data shares'!$C:$FB,98)</f>
        <v>50034000</v>
      </c>
      <c r="G144" s="49">
        <f>VLOOKUP($A144,'Data shares'!$C:$FB,99)</f>
        <v>51987000</v>
      </c>
      <c r="H144" s="50">
        <f t="shared" si="7"/>
        <v>-3.7567084078711988</v>
      </c>
      <c r="I144" s="49">
        <f>VLOOKUP($A144,'Data shares'!$C:$FB,66)</f>
        <v>13830000</v>
      </c>
      <c r="J144" s="49">
        <f>VLOOKUP($A144,'Data shares'!$C:$FB,67)</f>
        <v>21360000</v>
      </c>
      <c r="K144" s="50">
        <f t="shared" si="8"/>
        <v>-54.446854663774403</v>
      </c>
      <c r="L144" s="50">
        <f>VLOOKUP($A144,'Data shares'!$C:$FB,118)</f>
        <v>0.65</v>
      </c>
      <c r="M144" s="50">
        <f>VLOOKUP($A144,'Data shares'!$C:$FB,119)</f>
        <v>0.63</v>
      </c>
      <c r="N144" s="50">
        <f>VLOOKUP($A144,'Data shares'!$C:$FB,121)*100</f>
        <v>3.17</v>
      </c>
      <c r="O144" s="50">
        <f>VLOOKUP($A144,'Data shares'!$C:$FB,124)</f>
        <v>0.39</v>
      </c>
      <c r="P144" s="50">
        <f>VLOOKUP($A144,'Data shares'!$C:$FB,125)</f>
        <v>0.52</v>
      </c>
      <c r="Q144" s="50">
        <f>VLOOKUP($A144,'Data shares'!$C:$FB,127)*100</f>
        <v>-25</v>
      </c>
    </row>
    <row r="145" spans="1:17" x14ac:dyDescent="0.25">
      <c r="A145" s="97" t="str">
        <f>'Data Vlaue (Cr)'!C140</f>
        <v>MANKIND</v>
      </c>
      <c r="B145" s="140">
        <f>VLOOKUP($A145,'Data shares'!$C:$FB,7)</f>
        <v>2670.5</v>
      </c>
      <c r="C145" s="140">
        <f>VLOOKUP($A145,'Data shares'!$C:$FB,3)</f>
        <v>2671.9</v>
      </c>
      <c r="D145" s="140">
        <f>VLOOKUP($A145,'Data shares'!$C:$FB,4)</f>
        <v>2653.1</v>
      </c>
      <c r="E145" s="50">
        <f t="shared" si="6"/>
        <v>0.70860502808036574</v>
      </c>
      <c r="F145" s="49">
        <f>VLOOKUP($A145,'Data shares'!$C:$FB,98)</f>
        <v>2873700</v>
      </c>
      <c r="G145" s="49">
        <f>VLOOKUP($A145,'Data shares'!$C:$FB,99)</f>
        <v>3077775</v>
      </c>
      <c r="H145" s="50">
        <f t="shared" si="7"/>
        <v>-6.6306016521675559</v>
      </c>
      <c r="I145" s="49">
        <f>VLOOKUP($A145,'Data shares'!$C:$FB,66)</f>
        <v>2719125</v>
      </c>
      <c r="J145" s="49">
        <f>VLOOKUP($A145,'Data shares'!$C:$FB,67)</f>
        <v>2650950</v>
      </c>
      <c r="K145" s="50">
        <f t="shared" si="8"/>
        <v>2.5072403806371537</v>
      </c>
      <c r="L145" s="50">
        <f>VLOOKUP($A145,'Data shares'!$C:$FB,118)</f>
        <v>0.55000000000000004</v>
      </c>
      <c r="M145" s="50">
        <f>VLOOKUP($A145,'Data shares'!$C:$FB,119)</f>
        <v>0.54</v>
      </c>
      <c r="N145" s="50">
        <f>VLOOKUP($A145,'Data shares'!$C:$FB,121)*100</f>
        <v>1.8499999999999999</v>
      </c>
      <c r="O145" s="50">
        <f>VLOOKUP($A145,'Data shares'!$C:$FB,124)</f>
        <v>0.22</v>
      </c>
      <c r="P145" s="50">
        <f>VLOOKUP($A145,'Data shares'!$C:$FB,125)</f>
        <v>0.28000000000000003</v>
      </c>
      <c r="Q145" s="50">
        <f>VLOOKUP($A145,'Data shares'!$C:$FB,127)*100</f>
        <v>-21.43</v>
      </c>
    </row>
    <row r="146" spans="1:17" x14ac:dyDescent="0.25">
      <c r="A146" s="97" t="str">
        <f>'Data Vlaue (Cr)'!C141</f>
        <v>MARICO</v>
      </c>
      <c r="B146" s="140">
        <f>VLOOKUP($A146,'Data shares'!$C:$FB,7)</f>
        <v>716.35</v>
      </c>
      <c r="C146" s="140">
        <f>VLOOKUP($A146,'Data shares'!$C:$FB,3)</f>
        <v>716.9</v>
      </c>
      <c r="D146" s="140">
        <f>VLOOKUP($A146,'Data shares'!$C:$FB,4)</f>
        <v>719</v>
      </c>
      <c r="E146" s="50">
        <f t="shared" si="6"/>
        <v>-0.29207232267037869</v>
      </c>
      <c r="F146" s="49">
        <f>VLOOKUP($A146,'Data shares'!$C:$FB,98)</f>
        <v>31831200</v>
      </c>
      <c r="G146" s="49">
        <f>VLOOKUP($A146,'Data shares'!$C:$FB,99)</f>
        <v>32272800</v>
      </c>
      <c r="H146" s="50">
        <f t="shared" si="7"/>
        <v>-1.3683349445973079</v>
      </c>
      <c r="I146" s="49">
        <f>VLOOKUP($A146,'Data shares'!$C:$FB,66)</f>
        <v>7600800</v>
      </c>
      <c r="J146" s="49">
        <f>VLOOKUP($A146,'Data shares'!$C:$FB,67)</f>
        <v>10490400</v>
      </c>
      <c r="K146" s="50">
        <f t="shared" si="8"/>
        <v>-38.017050836754024</v>
      </c>
      <c r="L146" s="50">
        <f>VLOOKUP($A146,'Data shares'!$C:$FB,118)</f>
        <v>0.55000000000000004</v>
      </c>
      <c r="M146" s="50">
        <f>VLOOKUP($A146,'Data shares'!$C:$FB,119)</f>
        <v>0.55000000000000004</v>
      </c>
      <c r="N146" s="50">
        <f>VLOOKUP($A146,'Data shares'!$C:$FB,121)*100</f>
        <v>0</v>
      </c>
      <c r="O146" s="50">
        <f>VLOOKUP($A146,'Data shares'!$C:$FB,124)</f>
        <v>0.43</v>
      </c>
      <c r="P146" s="50">
        <f>VLOOKUP($A146,'Data shares'!$C:$FB,125)</f>
        <v>0.41</v>
      </c>
      <c r="Q146" s="50">
        <f>VLOOKUP($A146,'Data shares'!$C:$FB,127)*100</f>
        <v>4.88</v>
      </c>
    </row>
    <row r="147" spans="1:17" x14ac:dyDescent="0.25">
      <c r="A147" s="97" t="str">
        <f>'Data Vlaue (Cr)'!C142</f>
        <v>MARUTI</v>
      </c>
      <c r="B147" s="140">
        <f>VLOOKUP($A147,'Data shares'!$C:$FB,7)</f>
        <v>12492</v>
      </c>
      <c r="C147" s="140">
        <f>VLOOKUP($A147,'Data shares'!$C:$FB,3)</f>
        <v>12514</v>
      </c>
      <c r="D147" s="140">
        <f>VLOOKUP($A147,'Data shares'!$C:$FB,4)</f>
        <v>12436</v>
      </c>
      <c r="E147" s="50">
        <f t="shared" si="6"/>
        <v>0.62721132196847862</v>
      </c>
      <c r="F147" s="49">
        <f>VLOOKUP($A147,'Data shares'!$C:$FB,98)</f>
        <v>7233600</v>
      </c>
      <c r="G147" s="49">
        <f>VLOOKUP($A147,'Data shares'!$C:$FB,99)</f>
        <v>7259300</v>
      </c>
      <c r="H147" s="50">
        <f t="shared" si="7"/>
        <v>-0.3540286253495516</v>
      </c>
      <c r="I147" s="49">
        <f>VLOOKUP($A147,'Data shares'!$C:$FB,66)</f>
        <v>4289350</v>
      </c>
      <c r="J147" s="49">
        <f>VLOOKUP($A147,'Data shares'!$C:$FB,67)</f>
        <v>3785600</v>
      </c>
      <c r="K147" s="50">
        <f t="shared" si="8"/>
        <v>11.744203667222306</v>
      </c>
      <c r="L147" s="50">
        <f>VLOOKUP($A147,'Data shares'!$C:$FB,118)</f>
        <v>0.31</v>
      </c>
      <c r="M147" s="50">
        <f>VLOOKUP($A147,'Data shares'!$C:$FB,119)</f>
        <v>0.3</v>
      </c>
      <c r="N147" s="50">
        <f>VLOOKUP($A147,'Data shares'!$C:$FB,121)*100</f>
        <v>3.3300000000000005</v>
      </c>
      <c r="O147" s="50">
        <f>VLOOKUP($A147,'Data shares'!$C:$FB,124)</f>
        <v>0.5</v>
      </c>
      <c r="P147" s="50">
        <f>VLOOKUP($A147,'Data shares'!$C:$FB,125)</f>
        <v>0.44</v>
      </c>
      <c r="Q147" s="50">
        <f>VLOOKUP($A147,'Data shares'!$C:$FB,127)*100</f>
        <v>13.639999999999999</v>
      </c>
    </row>
    <row r="148" spans="1:17" x14ac:dyDescent="0.25">
      <c r="A148" s="97" t="str">
        <f>'Data Vlaue (Cr)'!C143</f>
        <v>MAXHEALTH</v>
      </c>
      <c r="B148" s="140">
        <f>VLOOKUP($A148,'Data shares'!$C:$FB,7)</f>
        <v>1218.8</v>
      </c>
      <c r="C148" s="140">
        <f>VLOOKUP($A148,'Data shares'!$C:$FB,3)</f>
        <v>1219.4000000000001</v>
      </c>
      <c r="D148" s="140">
        <f>VLOOKUP($A148,'Data shares'!$C:$FB,4)</f>
        <v>1219.5999999999999</v>
      </c>
      <c r="E148" s="50">
        <f t="shared" si="6"/>
        <v>-1.6398819284996567E-2</v>
      </c>
      <c r="F148" s="49">
        <f>VLOOKUP($A148,'Data shares'!$C:$FB,98)</f>
        <v>16380000</v>
      </c>
      <c r="G148" s="49">
        <f>VLOOKUP($A148,'Data shares'!$C:$FB,99)</f>
        <v>16525950</v>
      </c>
      <c r="H148" s="50">
        <f t="shared" si="7"/>
        <v>-0.88315649024715681</v>
      </c>
      <c r="I148" s="49">
        <f>VLOOKUP($A148,'Data shares'!$C:$FB,66)</f>
        <v>4248825</v>
      </c>
      <c r="J148" s="49">
        <f>VLOOKUP($A148,'Data shares'!$C:$FB,67)</f>
        <v>7358925</v>
      </c>
      <c r="K148" s="50">
        <f t="shared" si="8"/>
        <v>-73.199060916841717</v>
      </c>
      <c r="L148" s="50">
        <f>VLOOKUP($A148,'Data shares'!$C:$FB,118)</f>
        <v>0.37</v>
      </c>
      <c r="M148" s="50">
        <f>VLOOKUP($A148,'Data shares'!$C:$FB,119)</f>
        <v>0.36</v>
      </c>
      <c r="N148" s="50">
        <f>VLOOKUP($A148,'Data shares'!$C:$FB,121)*100</f>
        <v>2.78</v>
      </c>
      <c r="O148" s="50">
        <f>VLOOKUP($A148,'Data shares'!$C:$FB,124)</f>
        <v>0.28999999999999998</v>
      </c>
      <c r="P148" s="50">
        <f>VLOOKUP($A148,'Data shares'!$C:$FB,125)</f>
        <v>0.43</v>
      </c>
      <c r="Q148" s="50">
        <f>VLOOKUP($A148,'Data shares'!$C:$FB,127)*100</f>
        <v>-32.56</v>
      </c>
    </row>
    <row r="149" spans="1:17" x14ac:dyDescent="0.25">
      <c r="A149" s="97" t="str">
        <f>'Data Vlaue (Cr)'!C144</f>
        <v>MAZDOCK</v>
      </c>
      <c r="B149" s="140">
        <f>VLOOKUP($A149,'Data shares'!$C:$FB,7)</f>
        <v>2921.8</v>
      </c>
      <c r="C149" s="140">
        <f>VLOOKUP($A149,'Data shares'!$C:$FB,3)</f>
        <v>2931.6</v>
      </c>
      <c r="D149" s="140">
        <f>VLOOKUP($A149,'Data shares'!$C:$FB,4)</f>
        <v>2963.2</v>
      </c>
      <c r="E149" s="50">
        <f t="shared" si="6"/>
        <v>-1.066414686825051</v>
      </c>
      <c r="F149" s="49">
        <f>VLOOKUP($A149,'Data shares'!$C:$FB,98)</f>
        <v>7911400</v>
      </c>
      <c r="G149" s="49">
        <f>VLOOKUP($A149,'Data shares'!$C:$FB,99)</f>
        <v>7521500</v>
      </c>
      <c r="H149" s="50">
        <f t="shared" si="7"/>
        <v>5.1838064215914379</v>
      </c>
      <c r="I149" s="49">
        <f>VLOOKUP($A149,'Data shares'!$C:$FB,66)</f>
        <v>5828375</v>
      </c>
      <c r="J149" s="49">
        <f>VLOOKUP($A149,'Data shares'!$C:$FB,67)</f>
        <v>4972800</v>
      </c>
      <c r="K149" s="50">
        <f t="shared" si="8"/>
        <v>14.679477555922535</v>
      </c>
      <c r="L149" s="50">
        <f>VLOOKUP($A149,'Data shares'!$C:$FB,118)</f>
        <v>0.42</v>
      </c>
      <c r="M149" s="50">
        <f>VLOOKUP($A149,'Data shares'!$C:$FB,119)</f>
        <v>0.45</v>
      </c>
      <c r="N149" s="50">
        <f>VLOOKUP($A149,'Data shares'!$C:$FB,121)*100</f>
        <v>-6.67</v>
      </c>
      <c r="O149" s="50">
        <f>VLOOKUP($A149,'Data shares'!$C:$FB,124)</f>
        <v>0.22</v>
      </c>
      <c r="P149" s="50">
        <f>VLOOKUP($A149,'Data shares'!$C:$FB,125)</f>
        <v>0.25</v>
      </c>
      <c r="Q149" s="50">
        <f>VLOOKUP($A149,'Data shares'!$C:$FB,127)*100</f>
        <v>-12</v>
      </c>
    </row>
    <row r="150" spans="1:17" x14ac:dyDescent="0.25">
      <c r="A150" s="97" t="str">
        <f>'Data Vlaue (Cr)'!C145</f>
        <v>MCX</v>
      </c>
      <c r="B150" s="140">
        <f>VLOOKUP($A150,'Data shares'!$C:$FB,7)</f>
        <v>8153.5</v>
      </c>
      <c r="C150" s="140">
        <f>VLOOKUP($A150,'Data shares'!$C:$FB,3)</f>
        <v>8180</v>
      </c>
      <c r="D150" s="140">
        <f>VLOOKUP($A150,'Data shares'!$C:$FB,4)</f>
        <v>8284.5</v>
      </c>
      <c r="E150" s="50">
        <f t="shared" si="6"/>
        <v>-1.2613917556883336</v>
      </c>
      <c r="F150" s="49">
        <f>VLOOKUP($A150,'Data shares'!$C:$FB,98)</f>
        <v>8129875</v>
      </c>
      <c r="G150" s="49">
        <f>VLOOKUP($A150,'Data shares'!$C:$FB,99)</f>
        <v>7730625</v>
      </c>
      <c r="H150" s="50">
        <f t="shared" si="7"/>
        <v>5.164524213760207</v>
      </c>
      <c r="I150" s="49">
        <f>VLOOKUP($A150,'Data shares'!$C:$FB,66)</f>
        <v>6019500</v>
      </c>
      <c r="J150" s="49">
        <f>VLOOKUP($A150,'Data shares'!$C:$FB,67)</f>
        <v>6146375</v>
      </c>
      <c r="K150" s="50">
        <f t="shared" si="8"/>
        <v>-2.1077332004319294</v>
      </c>
      <c r="L150" s="50">
        <f>VLOOKUP($A150,'Data shares'!$C:$FB,118)</f>
        <v>0.54</v>
      </c>
      <c r="M150" s="50">
        <f>VLOOKUP($A150,'Data shares'!$C:$FB,119)</f>
        <v>0.57999999999999996</v>
      </c>
      <c r="N150" s="50">
        <f>VLOOKUP($A150,'Data shares'!$C:$FB,121)*100</f>
        <v>-6.9</v>
      </c>
      <c r="O150" s="50">
        <f>VLOOKUP($A150,'Data shares'!$C:$FB,124)</f>
        <v>0.39</v>
      </c>
      <c r="P150" s="50">
        <f>VLOOKUP($A150,'Data shares'!$C:$FB,125)</f>
        <v>0.45</v>
      </c>
      <c r="Q150" s="50">
        <f>VLOOKUP($A150,'Data shares'!$C:$FB,127)*100</f>
        <v>-13.33</v>
      </c>
    </row>
    <row r="151" spans="1:17" x14ac:dyDescent="0.25">
      <c r="A151" s="97" t="str">
        <f>'Data Vlaue (Cr)'!C146</f>
        <v>MFSL</v>
      </c>
      <c r="B151" s="140">
        <f>VLOOKUP($A151,'Data shares'!$C:$FB,7)</f>
        <v>1562.4</v>
      </c>
      <c r="C151" s="140">
        <f>VLOOKUP($A151,'Data shares'!$C:$FB,3)</f>
        <v>1566.3</v>
      </c>
      <c r="D151" s="140">
        <f>VLOOKUP($A151,'Data shares'!$C:$FB,4)</f>
        <v>1548.1</v>
      </c>
      <c r="E151" s="50">
        <f t="shared" si="6"/>
        <v>1.1756346489244911</v>
      </c>
      <c r="F151" s="49">
        <f>VLOOKUP($A151,'Data shares'!$C:$FB,98)</f>
        <v>9157600</v>
      </c>
      <c r="G151" s="49">
        <f>VLOOKUP($A151,'Data shares'!$C:$FB,99)</f>
        <v>9018400</v>
      </c>
      <c r="H151" s="50">
        <f t="shared" si="7"/>
        <v>1.5435110440876432</v>
      </c>
      <c r="I151" s="49">
        <f>VLOOKUP($A151,'Data shares'!$C:$FB,66)</f>
        <v>8608800</v>
      </c>
      <c r="J151" s="49">
        <f>VLOOKUP($A151,'Data shares'!$C:$FB,67)</f>
        <v>2521600</v>
      </c>
      <c r="K151" s="50">
        <f t="shared" si="8"/>
        <v>70.709041910603105</v>
      </c>
      <c r="L151" s="50">
        <f>VLOOKUP($A151,'Data shares'!$C:$FB,118)</f>
        <v>0.82</v>
      </c>
      <c r="M151" s="50">
        <f>VLOOKUP($A151,'Data shares'!$C:$FB,119)</f>
        <v>0.81</v>
      </c>
      <c r="N151" s="50">
        <f>VLOOKUP($A151,'Data shares'!$C:$FB,121)*100</f>
        <v>1.23</v>
      </c>
      <c r="O151" s="50">
        <f>VLOOKUP($A151,'Data shares'!$C:$FB,124)</f>
        <v>0.39</v>
      </c>
      <c r="P151" s="50">
        <f>VLOOKUP($A151,'Data shares'!$C:$FB,125)</f>
        <v>0.42</v>
      </c>
      <c r="Q151" s="50">
        <f>VLOOKUP($A151,'Data shares'!$C:$FB,127)*100</f>
        <v>-7.1400000000000006</v>
      </c>
    </row>
    <row r="152" spans="1:17" x14ac:dyDescent="0.25">
      <c r="A152" s="97" t="str">
        <f>'Data Vlaue (Cr)'!C147</f>
        <v>MGL</v>
      </c>
      <c r="B152" s="140">
        <f>VLOOKUP($A152,'Data shares'!$C:$FB,7)</f>
        <v>1486.3</v>
      </c>
      <c r="C152" s="140">
        <f>VLOOKUP($A152,'Data shares'!$C:$FB,3)</f>
        <v>1487.7</v>
      </c>
      <c r="D152" s="140">
        <f>VLOOKUP($A152,'Data shares'!$C:$FB,4)</f>
        <v>1513.1</v>
      </c>
      <c r="E152" s="50">
        <f t="shared" si="6"/>
        <v>-1.6786729231379198</v>
      </c>
      <c r="F152" s="49">
        <f>VLOOKUP($A152,'Data shares'!$C:$FB,98)</f>
        <v>7166400</v>
      </c>
      <c r="G152" s="49">
        <f>VLOOKUP($A152,'Data shares'!$C:$FB,99)</f>
        <v>5030000</v>
      </c>
      <c r="H152" s="50">
        <f t="shared" si="7"/>
        <v>42.473161033797219</v>
      </c>
      <c r="I152" s="49">
        <f>VLOOKUP($A152,'Data shares'!$C:$FB,66)</f>
        <v>36189200</v>
      </c>
      <c r="J152" s="49">
        <f>VLOOKUP($A152,'Data shares'!$C:$FB,67)</f>
        <v>1425200</v>
      </c>
      <c r="K152" s="50">
        <f t="shared" si="8"/>
        <v>96.06180849535221</v>
      </c>
      <c r="L152" s="50">
        <f>VLOOKUP($A152,'Data shares'!$C:$FB,118)</f>
        <v>0.47</v>
      </c>
      <c r="M152" s="50">
        <f>VLOOKUP($A152,'Data shares'!$C:$FB,119)</f>
        <v>0.76</v>
      </c>
      <c r="N152" s="50">
        <f>VLOOKUP($A152,'Data shares'!$C:$FB,121)*100</f>
        <v>-38.159999999999997</v>
      </c>
      <c r="O152" s="50">
        <f>VLOOKUP($A152,'Data shares'!$C:$FB,124)</f>
        <v>0.43</v>
      </c>
      <c r="P152" s="50">
        <f>VLOOKUP($A152,'Data shares'!$C:$FB,125)</f>
        <v>0.65</v>
      </c>
      <c r="Q152" s="50">
        <f>VLOOKUP($A152,'Data shares'!$C:$FB,127)*100</f>
        <v>-33.85</v>
      </c>
    </row>
    <row r="153" spans="1:17" x14ac:dyDescent="0.25">
      <c r="A153" s="97" t="str">
        <f>'Data Vlaue (Cr)'!C148</f>
        <v>MIDCPNIFTY</v>
      </c>
      <c r="B153" s="140">
        <f>VLOOKUP($A153,'Data shares'!$C:$FB,7)</f>
        <v>13206.6</v>
      </c>
      <c r="C153" s="140">
        <f>VLOOKUP($A153,'Data shares'!$C:$FB,3)</f>
        <v>13220.05</v>
      </c>
      <c r="D153" s="140">
        <f>VLOOKUP($A153,'Data shares'!$C:$FB,4)</f>
        <v>13336.35</v>
      </c>
      <c r="E153" s="50">
        <f t="shared" si="6"/>
        <v>-0.87205269807706831</v>
      </c>
      <c r="F153" s="49">
        <f>VLOOKUP($A153,'Data shares'!$C:$FB,98)</f>
        <v>23615480</v>
      </c>
      <c r="G153" s="49">
        <f>VLOOKUP($A153,'Data shares'!$C:$FB,99)</f>
        <v>21510440</v>
      </c>
      <c r="H153" s="50">
        <f t="shared" si="7"/>
        <v>9.7861317574163991</v>
      </c>
      <c r="I153" s="49">
        <f>VLOOKUP($A153,'Data shares'!$C:$FB,66)</f>
        <v>49681240</v>
      </c>
      <c r="J153" s="49">
        <f>VLOOKUP($A153,'Data shares'!$C:$FB,67)</f>
        <v>46251660</v>
      </c>
      <c r="K153" s="50">
        <f t="shared" si="8"/>
        <v>6.9031690835413926</v>
      </c>
      <c r="L153" s="50">
        <f>VLOOKUP($A153,'Data shares'!$C:$FB,118)</f>
        <v>0.79</v>
      </c>
      <c r="M153" s="50">
        <f>VLOOKUP($A153,'Data shares'!$C:$FB,119)</f>
        <v>0.89</v>
      </c>
      <c r="N153" s="50">
        <f>VLOOKUP($A153,'Data shares'!$C:$FB,121)*100</f>
        <v>-11.24</v>
      </c>
      <c r="O153" s="50">
        <f>VLOOKUP($A153,'Data shares'!$C:$FB,124)</f>
        <v>0.85</v>
      </c>
      <c r="P153" s="50">
        <f>VLOOKUP($A153,'Data shares'!$C:$FB,125)</f>
        <v>0.9</v>
      </c>
      <c r="Q153" s="50">
        <f>VLOOKUP($A153,'Data shares'!$C:$FB,127)*100</f>
        <v>-5.56</v>
      </c>
    </row>
    <row r="154" spans="1:17" x14ac:dyDescent="0.25">
      <c r="A154" s="97" t="str">
        <f>'Data Vlaue (Cr)'!C149</f>
        <v>MOTHERSON</v>
      </c>
      <c r="B154" s="140">
        <f>VLOOKUP($A154,'Data shares'!$C:$FB,7)</f>
        <v>97.24</v>
      </c>
      <c r="C154" s="140">
        <f>VLOOKUP($A154,'Data shares'!$C:$FB,3)</f>
        <v>97.36</v>
      </c>
      <c r="D154" s="140">
        <f>VLOOKUP($A154,'Data shares'!$C:$FB,4)</f>
        <v>100.95</v>
      </c>
      <c r="E154" s="50">
        <f t="shared" si="6"/>
        <v>-3.5562159484893545</v>
      </c>
      <c r="F154" s="49">
        <f>VLOOKUP($A154,'Data shares'!$C:$FB,98)</f>
        <v>220096200</v>
      </c>
      <c r="G154" s="49">
        <f>VLOOKUP($A154,'Data shares'!$C:$FB,99)</f>
        <v>212839200</v>
      </c>
      <c r="H154" s="50">
        <f t="shared" si="7"/>
        <v>3.4096162736939437</v>
      </c>
      <c r="I154" s="49">
        <f>VLOOKUP($A154,'Data shares'!$C:$FB,66)</f>
        <v>101253600</v>
      </c>
      <c r="J154" s="49">
        <f>VLOOKUP($A154,'Data shares'!$C:$FB,67)</f>
        <v>59907150</v>
      </c>
      <c r="K154" s="50">
        <f t="shared" si="8"/>
        <v>40.834548104956269</v>
      </c>
      <c r="L154" s="50">
        <f>VLOOKUP($A154,'Data shares'!$C:$FB,118)</f>
        <v>0.53</v>
      </c>
      <c r="M154" s="50">
        <f>VLOOKUP($A154,'Data shares'!$C:$FB,119)</f>
        <v>0.56000000000000005</v>
      </c>
      <c r="N154" s="50">
        <f>VLOOKUP($A154,'Data shares'!$C:$FB,121)*100</f>
        <v>-5.36</v>
      </c>
      <c r="O154" s="50">
        <f>VLOOKUP($A154,'Data shares'!$C:$FB,124)</f>
        <v>0.53</v>
      </c>
      <c r="P154" s="50">
        <f>VLOOKUP($A154,'Data shares'!$C:$FB,125)</f>
        <v>0.39</v>
      </c>
      <c r="Q154" s="50">
        <f>VLOOKUP($A154,'Data shares'!$C:$FB,127)*100</f>
        <v>35.9</v>
      </c>
    </row>
    <row r="155" spans="1:17" x14ac:dyDescent="0.25">
      <c r="A155" s="97" t="str">
        <f>'Data Vlaue (Cr)'!C150</f>
        <v>MPHASIS</v>
      </c>
      <c r="B155" s="140">
        <f>VLOOKUP($A155,'Data shares'!$C:$FB,7)</f>
        <v>2777.2</v>
      </c>
      <c r="C155" s="140">
        <f>VLOOKUP($A155,'Data shares'!$C:$FB,3)</f>
        <v>2784.3</v>
      </c>
      <c r="D155" s="140">
        <f>VLOOKUP($A155,'Data shares'!$C:$FB,4)</f>
        <v>2806.6</v>
      </c>
      <c r="E155" s="50">
        <f t="shared" si="6"/>
        <v>-0.79455569015890148</v>
      </c>
      <c r="F155" s="49">
        <f>VLOOKUP($A155,'Data shares'!$C:$FB,98)</f>
        <v>6457000</v>
      </c>
      <c r="G155" s="49">
        <f>VLOOKUP($A155,'Data shares'!$C:$FB,99)</f>
        <v>6697075</v>
      </c>
      <c r="H155" s="50">
        <f t="shared" si="7"/>
        <v>-3.5847739498213773</v>
      </c>
      <c r="I155" s="49">
        <f>VLOOKUP($A155,'Data shares'!$C:$FB,66)</f>
        <v>1402225</v>
      </c>
      <c r="J155" s="49">
        <f>VLOOKUP($A155,'Data shares'!$C:$FB,67)</f>
        <v>2134825</v>
      </c>
      <c r="K155" s="50">
        <f t="shared" si="8"/>
        <v>-52.245538340851148</v>
      </c>
      <c r="L155" s="50">
        <f>VLOOKUP($A155,'Data shares'!$C:$FB,118)</f>
        <v>0.96</v>
      </c>
      <c r="M155" s="50">
        <f>VLOOKUP($A155,'Data shares'!$C:$FB,119)</f>
        <v>0.95</v>
      </c>
      <c r="N155" s="50">
        <f>VLOOKUP($A155,'Data shares'!$C:$FB,121)*100</f>
        <v>1.05</v>
      </c>
      <c r="O155" s="50">
        <f>VLOOKUP($A155,'Data shares'!$C:$FB,124)</f>
        <v>0.66</v>
      </c>
      <c r="P155" s="50">
        <f>VLOOKUP($A155,'Data shares'!$C:$FB,125)</f>
        <v>0.56000000000000005</v>
      </c>
      <c r="Q155" s="50">
        <f>VLOOKUP($A155,'Data shares'!$C:$FB,127)*100</f>
        <v>17.86</v>
      </c>
    </row>
    <row r="156" spans="1:17" x14ac:dyDescent="0.25">
      <c r="A156" s="97" t="str">
        <f>'Data Vlaue (Cr)'!C151</f>
        <v>MUTHOOTFIN</v>
      </c>
      <c r="B156" s="140">
        <f>VLOOKUP($A156,'Data shares'!$C:$FB,7)</f>
        <v>2674.3</v>
      </c>
      <c r="C156" s="140">
        <f>VLOOKUP($A156,'Data shares'!$C:$FB,3)</f>
        <v>2668.1</v>
      </c>
      <c r="D156" s="140">
        <f>VLOOKUP($A156,'Data shares'!$C:$FB,4)</f>
        <v>2678.2</v>
      </c>
      <c r="E156" s="50">
        <f t="shared" si="6"/>
        <v>-0.37711896049585208</v>
      </c>
      <c r="F156" s="49">
        <f>VLOOKUP($A156,'Data shares'!$C:$FB,98)</f>
        <v>8700175</v>
      </c>
      <c r="G156" s="49">
        <f>VLOOKUP($A156,'Data shares'!$C:$FB,99)</f>
        <v>8667175</v>
      </c>
      <c r="H156" s="50">
        <f t="shared" si="7"/>
        <v>0.38074689849922261</v>
      </c>
      <c r="I156" s="49">
        <f>VLOOKUP($A156,'Data shares'!$C:$FB,66)</f>
        <v>3028300</v>
      </c>
      <c r="J156" s="49">
        <f>VLOOKUP($A156,'Data shares'!$C:$FB,67)</f>
        <v>7370550</v>
      </c>
      <c r="K156" s="50">
        <f t="shared" si="8"/>
        <v>-143.38903014892844</v>
      </c>
      <c r="L156" s="50">
        <f>VLOOKUP($A156,'Data shares'!$C:$FB,118)</f>
        <v>0.4</v>
      </c>
      <c r="M156" s="50">
        <f>VLOOKUP($A156,'Data shares'!$C:$FB,119)</f>
        <v>0.4</v>
      </c>
      <c r="N156" s="50">
        <f>VLOOKUP($A156,'Data shares'!$C:$FB,121)*100</f>
        <v>0</v>
      </c>
      <c r="O156" s="50">
        <f>VLOOKUP($A156,'Data shares'!$C:$FB,124)</f>
        <v>0.42</v>
      </c>
      <c r="P156" s="50">
        <f>VLOOKUP($A156,'Data shares'!$C:$FB,125)</f>
        <v>0.25</v>
      </c>
      <c r="Q156" s="50">
        <f>VLOOKUP($A156,'Data shares'!$C:$FB,127)*100</f>
        <v>68</v>
      </c>
    </row>
    <row r="157" spans="1:17" x14ac:dyDescent="0.25">
      <c r="A157" s="97" t="str">
        <f>'Data Vlaue (Cr)'!C152</f>
        <v>NATIONALUM</v>
      </c>
      <c r="B157" s="140">
        <f>VLOOKUP($A157,'Data shares'!$C:$FB,7)</f>
        <v>196.69</v>
      </c>
      <c r="C157" s="140">
        <f>VLOOKUP($A157,'Data shares'!$C:$FB,3)</f>
        <v>197.06</v>
      </c>
      <c r="D157" s="140">
        <f>VLOOKUP($A157,'Data shares'!$C:$FB,4)</f>
        <v>195.66</v>
      </c>
      <c r="E157" s="50">
        <f t="shared" si="6"/>
        <v>0.71552693447817928</v>
      </c>
      <c r="F157" s="49">
        <f>VLOOKUP($A157,'Data shares'!$C:$FB,98)</f>
        <v>115496250</v>
      </c>
      <c r="G157" s="49">
        <f>VLOOKUP($A157,'Data shares'!$C:$FB,99)</f>
        <v>115485000</v>
      </c>
      <c r="H157" s="50">
        <f t="shared" si="7"/>
        <v>9.7415248733601773E-3</v>
      </c>
      <c r="I157" s="49">
        <f>VLOOKUP($A157,'Data shares'!$C:$FB,66)</f>
        <v>76912500</v>
      </c>
      <c r="J157" s="49">
        <f>VLOOKUP($A157,'Data shares'!$C:$FB,67)</f>
        <v>168461250</v>
      </c>
      <c r="K157" s="50">
        <f t="shared" si="8"/>
        <v>-119.02974158946856</v>
      </c>
      <c r="L157" s="50">
        <f>VLOOKUP($A157,'Data shares'!$C:$FB,118)</f>
        <v>0.71</v>
      </c>
      <c r="M157" s="50">
        <f>VLOOKUP($A157,'Data shares'!$C:$FB,119)</f>
        <v>0.67</v>
      </c>
      <c r="N157" s="50">
        <f>VLOOKUP($A157,'Data shares'!$C:$FB,121)*100</f>
        <v>5.9700000000000006</v>
      </c>
      <c r="O157" s="50">
        <f>VLOOKUP($A157,'Data shares'!$C:$FB,124)</f>
        <v>0.48</v>
      </c>
      <c r="P157" s="50">
        <f>VLOOKUP($A157,'Data shares'!$C:$FB,125)</f>
        <v>0.46</v>
      </c>
      <c r="Q157" s="50">
        <f>VLOOKUP($A157,'Data shares'!$C:$FB,127)*100</f>
        <v>4.3499999999999996</v>
      </c>
    </row>
    <row r="158" spans="1:17" x14ac:dyDescent="0.25">
      <c r="A158" s="97" t="str">
        <f>'Data Vlaue (Cr)'!C153</f>
        <v>NAUKRI</v>
      </c>
      <c r="B158" s="140">
        <f>VLOOKUP($A158,'Data shares'!$C:$FB,7)</f>
        <v>1458.8</v>
      </c>
      <c r="C158" s="140">
        <f>VLOOKUP($A158,'Data shares'!$C:$FB,3)</f>
        <v>1455.8</v>
      </c>
      <c r="D158" s="140">
        <f>VLOOKUP($A158,'Data shares'!$C:$FB,4)</f>
        <v>1403.7</v>
      </c>
      <c r="E158" s="50">
        <f t="shared" si="6"/>
        <v>3.7116192918714757</v>
      </c>
      <c r="F158" s="49">
        <f>VLOOKUP($A158,'Data shares'!$C:$FB,98)</f>
        <v>16617750</v>
      </c>
      <c r="G158" s="49">
        <f>VLOOKUP($A158,'Data shares'!$C:$FB,99)</f>
        <v>16820625</v>
      </c>
      <c r="H158" s="50">
        <f t="shared" si="7"/>
        <v>-1.2061085720655447</v>
      </c>
      <c r="I158" s="49">
        <f>VLOOKUP($A158,'Data shares'!$C:$FB,66)</f>
        <v>29693625</v>
      </c>
      <c r="J158" s="49">
        <f>VLOOKUP($A158,'Data shares'!$C:$FB,67)</f>
        <v>5072250</v>
      </c>
      <c r="K158" s="50">
        <f t="shared" si="8"/>
        <v>82.918050591667409</v>
      </c>
      <c r="L158" s="50">
        <f>VLOOKUP($A158,'Data shares'!$C:$FB,118)</f>
        <v>0.51</v>
      </c>
      <c r="M158" s="50">
        <f>VLOOKUP($A158,'Data shares'!$C:$FB,119)</f>
        <v>0.46</v>
      </c>
      <c r="N158" s="50">
        <f>VLOOKUP($A158,'Data shares'!$C:$FB,121)*100</f>
        <v>10.870000000000001</v>
      </c>
      <c r="O158" s="50">
        <f>VLOOKUP($A158,'Data shares'!$C:$FB,124)</f>
        <v>0.3</v>
      </c>
      <c r="P158" s="50">
        <f>VLOOKUP($A158,'Data shares'!$C:$FB,125)</f>
        <v>0.28000000000000003</v>
      </c>
      <c r="Q158" s="50">
        <f>VLOOKUP($A158,'Data shares'!$C:$FB,127)*100</f>
        <v>7.1400000000000006</v>
      </c>
    </row>
    <row r="159" spans="1:17" x14ac:dyDescent="0.25">
      <c r="A159" s="97" t="str">
        <f>'Data Vlaue (Cr)'!C154</f>
        <v>NBCC</v>
      </c>
      <c r="B159" s="140">
        <f>VLOOKUP($A159,'Data shares'!$C:$FB,7)</f>
        <v>114.58</v>
      </c>
      <c r="C159" s="140">
        <f>VLOOKUP($A159,'Data shares'!$C:$FB,3)</f>
        <v>114.88</v>
      </c>
      <c r="D159" s="140">
        <f>VLOOKUP($A159,'Data shares'!$C:$FB,4)</f>
        <v>115.55</v>
      </c>
      <c r="E159" s="50">
        <f t="shared" si="6"/>
        <v>-0.57983556901774269</v>
      </c>
      <c r="F159" s="49">
        <f>VLOOKUP($A159,'Data shares'!$C:$FB,98)</f>
        <v>104728000</v>
      </c>
      <c r="G159" s="49">
        <f>VLOOKUP($A159,'Data shares'!$C:$FB,99)</f>
        <v>105722500</v>
      </c>
      <c r="H159" s="50">
        <f t="shared" si="7"/>
        <v>-0.94067015063018755</v>
      </c>
      <c r="I159" s="49">
        <f>VLOOKUP($A159,'Data shares'!$C:$FB,66)</f>
        <v>23419500</v>
      </c>
      <c r="J159" s="49">
        <f>VLOOKUP($A159,'Data shares'!$C:$FB,67)</f>
        <v>26721500</v>
      </c>
      <c r="K159" s="50">
        <f t="shared" si="8"/>
        <v>-14.099361643075214</v>
      </c>
      <c r="L159" s="50">
        <f>VLOOKUP($A159,'Data shares'!$C:$FB,118)</f>
        <v>0.49</v>
      </c>
      <c r="M159" s="50">
        <f>VLOOKUP($A159,'Data shares'!$C:$FB,119)</f>
        <v>0.5</v>
      </c>
      <c r="N159" s="50">
        <f>VLOOKUP($A159,'Data shares'!$C:$FB,121)*100</f>
        <v>-2</v>
      </c>
      <c r="O159" s="50">
        <f>VLOOKUP($A159,'Data shares'!$C:$FB,124)</f>
        <v>0.38</v>
      </c>
      <c r="P159" s="50">
        <f>VLOOKUP($A159,'Data shares'!$C:$FB,125)</f>
        <v>0.31</v>
      </c>
      <c r="Q159" s="50">
        <f>VLOOKUP($A159,'Data shares'!$C:$FB,127)*100</f>
        <v>22.58</v>
      </c>
    </row>
    <row r="160" spans="1:17" x14ac:dyDescent="0.25">
      <c r="A160" s="97" t="str">
        <f>'Data Vlaue (Cr)'!C155</f>
        <v>NCC</v>
      </c>
      <c r="B160" s="140">
        <f>VLOOKUP($A160,'Data shares'!$C:$FB,7)</f>
        <v>227.42</v>
      </c>
      <c r="C160" s="140">
        <f>VLOOKUP($A160,'Data shares'!$C:$FB,3)</f>
        <v>227.31</v>
      </c>
      <c r="D160" s="140">
        <f>VLOOKUP($A160,'Data shares'!$C:$FB,4)</f>
        <v>228.7</v>
      </c>
      <c r="E160" s="50">
        <f t="shared" si="6"/>
        <v>-0.60778312199387252</v>
      </c>
      <c r="F160" s="49">
        <f>VLOOKUP($A160,'Data shares'!$C:$FB,98)</f>
        <v>32356800</v>
      </c>
      <c r="G160" s="49">
        <f>VLOOKUP($A160,'Data shares'!$C:$FB,99)</f>
        <v>31349700</v>
      </c>
      <c r="H160" s="50">
        <f t="shared" si="7"/>
        <v>3.2124709327361987</v>
      </c>
      <c r="I160" s="49">
        <f>VLOOKUP($A160,'Data shares'!$C:$FB,66)</f>
        <v>10827000</v>
      </c>
      <c r="J160" s="49">
        <f>VLOOKUP($A160,'Data shares'!$C:$FB,67)</f>
        <v>11709900</v>
      </c>
      <c r="K160" s="50">
        <f t="shared" si="8"/>
        <v>-8.1546134663341654</v>
      </c>
      <c r="L160" s="50">
        <f>VLOOKUP($A160,'Data shares'!$C:$FB,118)</f>
        <v>0.42</v>
      </c>
      <c r="M160" s="50">
        <f>VLOOKUP($A160,'Data shares'!$C:$FB,119)</f>
        <v>0.43</v>
      </c>
      <c r="N160" s="50">
        <f>VLOOKUP($A160,'Data shares'!$C:$FB,121)*100</f>
        <v>-2.33</v>
      </c>
      <c r="O160" s="50">
        <f>VLOOKUP($A160,'Data shares'!$C:$FB,124)</f>
        <v>0.28000000000000003</v>
      </c>
      <c r="P160" s="50">
        <f>VLOOKUP($A160,'Data shares'!$C:$FB,125)</f>
        <v>0.19</v>
      </c>
      <c r="Q160" s="50">
        <f>VLOOKUP($A160,'Data shares'!$C:$FB,127)*100</f>
        <v>47.370000000000005</v>
      </c>
    </row>
    <row r="161" spans="1:17" x14ac:dyDescent="0.25">
      <c r="A161" s="97" t="str">
        <f>'Data Vlaue (Cr)'!C156</f>
        <v>NESTLEIND</v>
      </c>
      <c r="B161" s="140">
        <f>VLOOKUP($A161,'Data shares'!$C:$FB,7)</f>
        <v>2443.5</v>
      </c>
      <c r="C161" s="140">
        <f>VLOOKUP($A161,'Data shares'!$C:$FB,3)</f>
        <v>2445.6</v>
      </c>
      <c r="D161" s="140">
        <f>VLOOKUP($A161,'Data shares'!$C:$FB,4)</f>
        <v>2475</v>
      </c>
      <c r="E161" s="50">
        <f t="shared" si="6"/>
        <v>-1.1878787878787915</v>
      </c>
      <c r="F161" s="49">
        <f>VLOOKUP($A161,'Data shares'!$C:$FB,98)</f>
        <v>14418500</v>
      </c>
      <c r="G161" s="49">
        <f>VLOOKUP($A161,'Data shares'!$C:$FB,99)</f>
        <v>14192500</v>
      </c>
      <c r="H161" s="50">
        <f t="shared" si="7"/>
        <v>1.5923903470142682</v>
      </c>
      <c r="I161" s="49">
        <f>VLOOKUP($A161,'Data shares'!$C:$FB,66)</f>
        <v>3358000</v>
      </c>
      <c r="J161" s="49">
        <f>VLOOKUP($A161,'Data shares'!$C:$FB,67)</f>
        <v>4037750</v>
      </c>
      <c r="K161" s="50">
        <f t="shared" si="8"/>
        <v>-20.242703990470517</v>
      </c>
      <c r="L161" s="50">
        <f>VLOOKUP($A161,'Data shares'!$C:$FB,118)</f>
        <v>1</v>
      </c>
      <c r="M161" s="50">
        <f>VLOOKUP($A161,'Data shares'!$C:$FB,119)</f>
        <v>0.97</v>
      </c>
      <c r="N161" s="50">
        <f>VLOOKUP($A161,'Data shares'!$C:$FB,121)*100</f>
        <v>3.09</v>
      </c>
      <c r="O161" s="50">
        <f>VLOOKUP($A161,'Data shares'!$C:$FB,124)</f>
        <v>0.79</v>
      </c>
      <c r="P161" s="50">
        <f>VLOOKUP($A161,'Data shares'!$C:$FB,125)</f>
        <v>0.8</v>
      </c>
      <c r="Q161" s="50">
        <f>VLOOKUP($A161,'Data shares'!$C:$FB,127)*100</f>
        <v>-1.25</v>
      </c>
    </row>
    <row r="162" spans="1:17" x14ac:dyDescent="0.25">
      <c r="A162" s="97" t="str">
        <f>'Data Vlaue (Cr)'!C157</f>
        <v>NHPC</v>
      </c>
      <c r="B162" s="140">
        <f>VLOOKUP($A162,'Data shares'!$C:$FB,7)</f>
        <v>86.33</v>
      </c>
      <c r="C162" s="140">
        <f>VLOOKUP($A162,'Data shares'!$C:$FB,3)</f>
        <v>86.58</v>
      </c>
      <c r="D162" s="140">
        <f>VLOOKUP($A162,'Data shares'!$C:$FB,4)</f>
        <v>87.75</v>
      </c>
      <c r="E162" s="50">
        <f t="shared" si="6"/>
        <v>-1.3333333333333353</v>
      </c>
      <c r="F162" s="49">
        <f>VLOOKUP($A162,'Data shares'!$C:$FB,98)</f>
        <v>105350400</v>
      </c>
      <c r="G162" s="49">
        <f>VLOOKUP($A162,'Data shares'!$C:$FB,99)</f>
        <v>105491200</v>
      </c>
      <c r="H162" s="50">
        <f t="shared" si="7"/>
        <v>-0.13347084875326093</v>
      </c>
      <c r="I162" s="49">
        <f>VLOOKUP($A162,'Data shares'!$C:$FB,66)</f>
        <v>17856000</v>
      </c>
      <c r="J162" s="49">
        <f>VLOOKUP($A162,'Data shares'!$C:$FB,67)</f>
        <v>15923200</v>
      </c>
      <c r="K162" s="50">
        <f t="shared" si="8"/>
        <v>10.824372759856631</v>
      </c>
      <c r="L162" s="50">
        <f>VLOOKUP($A162,'Data shares'!$C:$FB,118)</f>
        <v>0.5</v>
      </c>
      <c r="M162" s="50">
        <f>VLOOKUP($A162,'Data shares'!$C:$FB,119)</f>
        <v>0.52</v>
      </c>
      <c r="N162" s="50">
        <f>VLOOKUP($A162,'Data shares'!$C:$FB,121)*100</f>
        <v>-3.85</v>
      </c>
      <c r="O162" s="50">
        <f>VLOOKUP($A162,'Data shares'!$C:$FB,124)</f>
        <v>0.27</v>
      </c>
      <c r="P162" s="50">
        <f>VLOOKUP($A162,'Data shares'!$C:$FB,125)</f>
        <v>0.56000000000000005</v>
      </c>
      <c r="Q162" s="50">
        <f>VLOOKUP($A162,'Data shares'!$C:$FB,127)*100</f>
        <v>-51.790000000000006</v>
      </c>
    </row>
    <row r="163" spans="1:17" x14ac:dyDescent="0.25">
      <c r="A163" s="97" t="str">
        <f>'Data Vlaue (Cr)'!C158</f>
        <v>NIFTY</v>
      </c>
      <c r="B163" s="140">
        <f>VLOOKUP($A163,'Data shares'!$C:$FB,7)</f>
        <v>25060.9</v>
      </c>
      <c r="C163" s="140">
        <f>VLOOKUP($A163,'Data shares'!$C:$FB,3)</f>
        <v>25093.9</v>
      </c>
      <c r="D163" s="140">
        <f>VLOOKUP($A163,'Data shares'!$C:$FB,4)</f>
        <v>25127.599999999999</v>
      </c>
      <c r="E163" s="50">
        <f t="shared" si="6"/>
        <v>-0.13411547461754045</v>
      </c>
      <c r="F163" s="49">
        <f>VLOOKUP($A163,'Data shares'!$C:$FB,98)</f>
        <v>505095000</v>
      </c>
      <c r="G163" s="49">
        <f>VLOOKUP($A163,'Data shares'!$C:$FB,99)</f>
        <v>451801275</v>
      </c>
      <c r="H163" s="50">
        <f t="shared" si="7"/>
        <v>11.795833245490508</v>
      </c>
      <c r="I163" s="49">
        <f>VLOOKUP($A163,'Data shares'!$C:$FB,66)</f>
        <v>4058586525</v>
      </c>
      <c r="J163" s="49">
        <f>VLOOKUP($A163,'Data shares'!$C:$FB,67)</f>
        <v>4539389250</v>
      </c>
      <c r="K163" s="50">
        <f t="shared" si="8"/>
        <v>-11.846555987863287</v>
      </c>
      <c r="L163" s="50">
        <f>VLOOKUP($A163,'Data shares'!$C:$FB,118)</f>
        <v>0.84</v>
      </c>
      <c r="M163" s="50">
        <f>VLOOKUP($A163,'Data shares'!$C:$FB,119)</f>
        <v>0.96</v>
      </c>
      <c r="N163" s="50">
        <f>VLOOKUP($A163,'Data shares'!$C:$FB,121)*100</f>
        <v>-12.5</v>
      </c>
      <c r="O163" s="50">
        <f>VLOOKUP($A163,'Data shares'!$C:$FB,124)</f>
        <v>0.98</v>
      </c>
      <c r="P163" s="50">
        <f>VLOOKUP($A163,'Data shares'!$C:$FB,125)</f>
        <v>0.85</v>
      </c>
      <c r="Q163" s="50">
        <f>VLOOKUP($A163,'Data shares'!$C:$FB,127)*100</f>
        <v>15.290000000000001</v>
      </c>
    </row>
    <row r="164" spans="1:17" x14ac:dyDescent="0.25">
      <c r="A164" s="97" t="str">
        <f>'Data Vlaue (Cr)'!C159</f>
        <v>NIFTYNXT50</v>
      </c>
      <c r="B164" s="140">
        <f>VLOOKUP($A164,'Data shares'!$C:$FB,7)</f>
        <v>68253.899999999994</v>
      </c>
      <c r="C164" s="140">
        <f>VLOOKUP($A164,'Data shares'!$C:$FB,3)</f>
        <v>68212.600000000006</v>
      </c>
      <c r="D164" s="140">
        <f>VLOOKUP($A164,'Data shares'!$C:$FB,4)</f>
        <v>68591.600000000006</v>
      </c>
      <c r="E164" s="50">
        <f t="shared" si="6"/>
        <v>-0.55254579277929072</v>
      </c>
      <c r="F164" s="49">
        <f>VLOOKUP($A164,'Data shares'!$C:$FB,98)</f>
        <v>35125</v>
      </c>
      <c r="G164" s="49">
        <f>VLOOKUP($A164,'Data shares'!$C:$FB,99)</f>
        <v>37525</v>
      </c>
      <c r="H164" s="50">
        <f t="shared" si="7"/>
        <v>-6.3957361758827451</v>
      </c>
      <c r="I164" s="49">
        <f>VLOOKUP($A164,'Data shares'!$C:$FB,66)</f>
        <v>19025</v>
      </c>
      <c r="J164" s="49">
        <f>VLOOKUP($A164,'Data shares'!$C:$FB,67)</f>
        <v>21450</v>
      </c>
      <c r="K164" s="50">
        <f t="shared" si="8"/>
        <v>-12.746386333771353</v>
      </c>
      <c r="L164" s="50">
        <f>VLOOKUP($A164,'Data shares'!$C:$FB,118)</f>
        <v>0.35</v>
      </c>
      <c r="M164" s="50">
        <f>VLOOKUP($A164,'Data shares'!$C:$FB,119)</f>
        <v>0.33</v>
      </c>
      <c r="N164" s="50">
        <f>VLOOKUP($A164,'Data shares'!$C:$FB,121)*100</f>
        <v>6.0600000000000005</v>
      </c>
      <c r="O164" s="50">
        <f>VLOOKUP($A164,'Data shares'!$C:$FB,124)</f>
        <v>0.37</v>
      </c>
      <c r="P164" s="50">
        <f>VLOOKUP($A164,'Data shares'!$C:$FB,125)</f>
        <v>0.45</v>
      </c>
      <c r="Q164" s="50">
        <f>VLOOKUP($A164,'Data shares'!$C:$FB,127)*100</f>
        <v>-17.78</v>
      </c>
    </row>
    <row r="165" spans="1:17" x14ac:dyDescent="0.25">
      <c r="A165" s="97" t="str">
        <f>'Data Vlaue (Cr)'!C160</f>
        <v>NMDC</v>
      </c>
      <c r="B165" s="140">
        <f>VLOOKUP($A165,'Data shares'!$C:$FB,7)</f>
        <v>72.14</v>
      </c>
      <c r="C165" s="140">
        <f>VLOOKUP($A165,'Data shares'!$C:$FB,3)</f>
        <v>72.38</v>
      </c>
      <c r="D165" s="140">
        <f>VLOOKUP($A165,'Data shares'!$C:$FB,4)</f>
        <v>72.17</v>
      </c>
      <c r="E165" s="50">
        <f t="shared" si="6"/>
        <v>0.29097963142579153</v>
      </c>
      <c r="F165" s="49">
        <f>VLOOKUP($A165,'Data shares'!$C:$FB,98)</f>
        <v>514377000</v>
      </c>
      <c r="G165" s="49">
        <f>VLOOKUP($A165,'Data shares'!$C:$FB,99)</f>
        <v>510273000</v>
      </c>
      <c r="H165" s="50">
        <f t="shared" si="7"/>
        <v>0.80427535848457588</v>
      </c>
      <c r="I165" s="49">
        <f>VLOOKUP($A165,'Data shares'!$C:$FB,66)</f>
        <v>252976500</v>
      </c>
      <c r="J165" s="49">
        <f>VLOOKUP($A165,'Data shares'!$C:$FB,67)</f>
        <v>248116500</v>
      </c>
      <c r="K165" s="50">
        <f t="shared" si="8"/>
        <v>1.9211270612092428</v>
      </c>
      <c r="L165" s="50">
        <f>VLOOKUP($A165,'Data shares'!$C:$FB,118)</f>
        <v>0.74</v>
      </c>
      <c r="M165" s="50">
        <f>VLOOKUP($A165,'Data shares'!$C:$FB,119)</f>
        <v>0.74</v>
      </c>
      <c r="N165" s="50">
        <f>VLOOKUP($A165,'Data shares'!$C:$FB,121)*100</f>
        <v>0</v>
      </c>
      <c r="O165" s="50">
        <f>VLOOKUP($A165,'Data shares'!$C:$FB,124)</f>
        <v>0.5</v>
      </c>
      <c r="P165" s="50">
        <f>VLOOKUP($A165,'Data shares'!$C:$FB,125)</f>
        <v>0.51</v>
      </c>
      <c r="Q165" s="50">
        <f>VLOOKUP($A165,'Data shares'!$C:$FB,127)*100</f>
        <v>-1.96</v>
      </c>
    </row>
    <row r="166" spans="1:17" x14ac:dyDescent="0.25">
      <c r="A166" s="97" t="str">
        <f>'Data Vlaue (Cr)'!C161</f>
        <v>NTPC</v>
      </c>
      <c r="B166" s="140">
        <f>VLOOKUP($A166,'Data shares'!$C:$FB,7)</f>
        <v>340.85</v>
      </c>
      <c r="C166" s="140">
        <f>VLOOKUP($A166,'Data shares'!$C:$FB,3)</f>
        <v>341.3</v>
      </c>
      <c r="D166" s="140">
        <f>VLOOKUP($A166,'Data shares'!$C:$FB,4)</f>
        <v>341.75</v>
      </c>
      <c r="E166" s="50">
        <f t="shared" si="6"/>
        <v>-0.1316752011704429</v>
      </c>
      <c r="F166" s="49">
        <f>VLOOKUP($A166,'Data shares'!$C:$FB,98)</f>
        <v>223299000</v>
      </c>
      <c r="G166" s="49">
        <f>VLOOKUP($A166,'Data shares'!$C:$FB,99)</f>
        <v>222039000</v>
      </c>
      <c r="H166" s="50">
        <f t="shared" si="7"/>
        <v>0.56746787726480485</v>
      </c>
      <c r="I166" s="49">
        <f>VLOOKUP($A166,'Data shares'!$C:$FB,66)</f>
        <v>47500500</v>
      </c>
      <c r="J166" s="49">
        <f>VLOOKUP($A166,'Data shares'!$C:$FB,67)</f>
        <v>56538000</v>
      </c>
      <c r="K166" s="50">
        <f t="shared" si="8"/>
        <v>-19.026115514573529</v>
      </c>
      <c r="L166" s="50">
        <f>VLOOKUP($A166,'Data shares'!$C:$FB,118)</f>
        <v>0.33</v>
      </c>
      <c r="M166" s="50">
        <f>VLOOKUP($A166,'Data shares'!$C:$FB,119)</f>
        <v>0.32</v>
      </c>
      <c r="N166" s="50">
        <f>VLOOKUP($A166,'Data shares'!$C:$FB,121)*100</f>
        <v>3.1300000000000003</v>
      </c>
      <c r="O166" s="50">
        <f>VLOOKUP($A166,'Data shares'!$C:$FB,124)</f>
        <v>0.44</v>
      </c>
      <c r="P166" s="50">
        <f>VLOOKUP($A166,'Data shares'!$C:$FB,125)</f>
        <v>0.42</v>
      </c>
      <c r="Q166" s="50">
        <f>VLOOKUP($A166,'Data shares'!$C:$FB,127)*100</f>
        <v>4.7600000000000007</v>
      </c>
    </row>
    <row r="167" spans="1:17" x14ac:dyDescent="0.25">
      <c r="A167" s="97" t="str">
        <f>'Data Vlaue (Cr)'!C162</f>
        <v>NYKAA</v>
      </c>
      <c r="B167" s="140">
        <f>VLOOKUP($A167,'Data shares'!$C:$FB,7)</f>
        <v>220.03</v>
      </c>
      <c r="C167" s="140">
        <f>VLOOKUP($A167,'Data shares'!$C:$FB,3)</f>
        <v>220.1</v>
      </c>
      <c r="D167" s="140">
        <f>VLOOKUP($A167,'Data shares'!$C:$FB,4)</f>
        <v>215.49</v>
      </c>
      <c r="E167" s="50">
        <f t="shared" si="6"/>
        <v>2.1393104088356698</v>
      </c>
      <c r="F167" s="49">
        <f>VLOOKUP($A167,'Data shares'!$C:$FB,98)</f>
        <v>84781250</v>
      </c>
      <c r="G167" s="49">
        <f>VLOOKUP($A167,'Data shares'!$C:$FB,99)</f>
        <v>72709375</v>
      </c>
      <c r="H167" s="50">
        <f t="shared" si="7"/>
        <v>16.602913998366787</v>
      </c>
      <c r="I167" s="49">
        <f>VLOOKUP($A167,'Data shares'!$C:$FB,66)</f>
        <v>102928125</v>
      </c>
      <c r="J167" s="49">
        <f>VLOOKUP($A167,'Data shares'!$C:$FB,67)</f>
        <v>12946875</v>
      </c>
      <c r="K167" s="50">
        <f t="shared" si="8"/>
        <v>87.421440932689677</v>
      </c>
      <c r="L167" s="50">
        <f>VLOOKUP($A167,'Data shares'!$C:$FB,118)</f>
        <v>0.54</v>
      </c>
      <c r="M167" s="50">
        <f>VLOOKUP($A167,'Data shares'!$C:$FB,119)</f>
        <v>0.77</v>
      </c>
      <c r="N167" s="50">
        <f>VLOOKUP($A167,'Data shares'!$C:$FB,121)*100</f>
        <v>-29.87</v>
      </c>
      <c r="O167" s="50">
        <f>VLOOKUP($A167,'Data shares'!$C:$FB,124)</f>
        <v>0.2</v>
      </c>
      <c r="P167" s="50">
        <f>VLOOKUP($A167,'Data shares'!$C:$FB,125)</f>
        <v>0.63</v>
      </c>
      <c r="Q167" s="50">
        <f>VLOOKUP($A167,'Data shares'!$C:$FB,127)*100</f>
        <v>-68.25</v>
      </c>
    </row>
    <row r="168" spans="1:17" x14ac:dyDescent="0.25">
      <c r="A168" s="97" t="str">
        <f>'Data Vlaue (Cr)'!C163</f>
        <v>OBEROIRLTY</v>
      </c>
      <c r="B168" s="140">
        <f>VLOOKUP($A168,'Data shares'!$C:$FB,7)</f>
        <v>1826.2</v>
      </c>
      <c r="C168" s="140">
        <f>VLOOKUP($A168,'Data shares'!$C:$FB,3)</f>
        <v>1824.2</v>
      </c>
      <c r="D168" s="140">
        <f>VLOOKUP($A168,'Data shares'!$C:$FB,4)</f>
        <v>1836.5</v>
      </c>
      <c r="E168" s="50">
        <f t="shared" si="6"/>
        <v>-0.66975224612033513</v>
      </c>
      <c r="F168" s="49">
        <f>VLOOKUP($A168,'Data shares'!$C:$FB,98)</f>
        <v>9174550</v>
      </c>
      <c r="G168" s="49">
        <f>VLOOKUP($A168,'Data shares'!$C:$FB,99)</f>
        <v>9012150</v>
      </c>
      <c r="H168" s="50">
        <f t="shared" si="7"/>
        <v>1.8020117286108199</v>
      </c>
      <c r="I168" s="49">
        <f>VLOOKUP($A168,'Data shares'!$C:$FB,66)</f>
        <v>12149900</v>
      </c>
      <c r="J168" s="49">
        <f>VLOOKUP($A168,'Data shares'!$C:$FB,67)</f>
        <v>5299350</v>
      </c>
      <c r="K168" s="50">
        <f t="shared" si="8"/>
        <v>56.383591634499055</v>
      </c>
      <c r="L168" s="50">
        <f>VLOOKUP($A168,'Data shares'!$C:$FB,118)</f>
        <v>0.61</v>
      </c>
      <c r="M168" s="50">
        <f>VLOOKUP($A168,'Data shares'!$C:$FB,119)</f>
        <v>0.63</v>
      </c>
      <c r="N168" s="50">
        <f>VLOOKUP($A168,'Data shares'!$C:$FB,121)*100</f>
        <v>-3.17</v>
      </c>
      <c r="O168" s="50">
        <f>VLOOKUP($A168,'Data shares'!$C:$FB,124)</f>
        <v>0.78</v>
      </c>
      <c r="P168" s="50">
        <f>VLOOKUP($A168,'Data shares'!$C:$FB,125)</f>
        <v>0.75</v>
      </c>
      <c r="Q168" s="50">
        <f>VLOOKUP($A168,'Data shares'!$C:$FB,127)*100</f>
        <v>4</v>
      </c>
    </row>
    <row r="169" spans="1:17" x14ac:dyDescent="0.25">
      <c r="A169" s="97" t="str">
        <f>'Data Vlaue (Cr)'!C164</f>
        <v>OFSS</v>
      </c>
      <c r="B169" s="140">
        <f>VLOOKUP($A169,'Data shares'!$C:$FB,7)</f>
        <v>8707.5</v>
      </c>
      <c r="C169" s="140">
        <f>VLOOKUP($A169,'Data shares'!$C:$FB,3)</f>
        <v>8729</v>
      </c>
      <c r="D169" s="140">
        <f>VLOOKUP($A169,'Data shares'!$C:$FB,4)</f>
        <v>8830</v>
      </c>
      <c r="E169" s="50">
        <f t="shared" si="6"/>
        <v>-1.1438278595696489</v>
      </c>
      <c r="F169" s="49">
        <f>VLOOKUP($A169,'Data shares'!$C:$FB,98)</f>
        <v>2205000</v>
      </c>
      <c r="G169" s="49">
        <f>VLOOKUP($A169,'Data shares'!$C:$FB,99)</f>
        <v>2118150</v>
      </c>
      <c r="H169" s="50">
        <f t="shared" si="7"/>
        <v>4.1002761844062032</v>
      </c>
      <c r="I169" s="49">
        <f>VLOOKUP($A169,'Data shares'!$C:$FB,66)</f>
        <v>831150</v>
      </c>
      <c r="J169" s="49">
        <f>VLOOKUP($A169,'Data shares'!$C:$FB,67)</f>
        <v>858450</v>
      </c>
      <c r="K169" s="50">
        <f t="shared" si="8"/>
        <v>-3.2846056668471393</v>
      </c>
      <c r="L169" s="50">
        <f>VLOOKUP($A169,'Data shares'!$C:$FB,118)</f>
        <v>0.52</v>
      </c>
      <c r="M169" s="50">
        <f>VLOOKUP($A169,'Data shares'!$C:$FB,119)</f>
        <v>0.55000000000000004</v>
      </c>
      <c r="N169" s="50">
        <f>VLOOKUP($A169,'Data shares'!$C:$FB,121)*100</f>
        <v>-5.45</v>
      </c>
      <c r="O169" s="50">
        <f>VLOOKUP($A169,'Data shares'!$C:$FB,124)</f>
        <v>0.51</v>
      </c>
      <c r="P169" s="50">
        <f>VLOOKUP($A169,'Data shares'!$C:$FB,125)</f>
        <v>0.41</v>
      </c>
      <c r="Q169" s="50">
        <f>VLOOKUP($A169,'Data shares'!$C:$FB,127)*100</f>
        <v>24.39</v>
      </c>
    </row>
    <row r="170" spans="1:17" x14ac:dyDescent="0.25">
      <c r="A170" s="97" t="str">
        <f>'Data Vlaue (Cr)'!C165</f>
        <v>OIL</v>
      </c>
      <c r="B170" s="140">
        <f>VLOOKUP($A170,'Data shares'!$C:$FB,7)</f>
        <v>451.35</v>
      </c>
      <c r="C170" s="140">
        <f>VLOOKUP($A170,'Data shares'!$C:$FB,3)</f>
        <v>452.6</v>
      </c>
      <c r="D170" s="140">
        <f>VLOOKUP($A170,'Data shares'!$C:$FB,4)</f>
        <v>454.5</v>
      </c>
      <c r="E170" s="50">
        <f t="shared" si="6"/>
        <v>-0.41804180418041303</v>
      </c>
      <c r="F170" s="49">
        <f>VLOOKUP($A170,'Data shares'!$C:$FB,98)</f>
        <v>28036400</v>
      </c>
      <c r="G170" s="49">
        <f>VLOOKUP($A170,'Data shares'!$C:$FB,99)</f>
        <v>27920200</v>
      </c>
      <c r="H170" s="50">
        <f t="shared" si="7"/>
        <v>0.41618613047184477</v>
      </c>
      <c r="I170" s="49">
        <f>VLOOKUP($A170,'Data shares'!$C:$FB,66)</f>
        <v>9688000</v>
      </c>
      <c r="J170" s="49">
        <f>VLOOKUP($A170,'Data shares'!$C:$FB,67)</f>
        <v>10472000</v>
      </c>
      <c r="K170" s="50">
        <f t="shared" si="8"/>
        <v>-8.0924855491329488</v>
      </c>
      <c r="L170" s="50">
        <f>VLOOKUP($A170,'Data shares'!$C:$FB,118)</f>
        <v>0.57999999999999996</v>
      </c>
      <c r="M170" s="50">
        <f>VLOOKUP($A170,'Data shares'!$C:$FB,119)</f>
        <v>0.61</v>
      </c>
      <c r="N170" s="50">
        <f>VLOOKUP($A170,'Data shares'!$C:$FB,121)*100</f>
        <v>-4.92</v>
      </c>
      <c r="O170" s="50">
        <f>VLOOKUP($A170,'Data shares'!$C:$FB,124)</f>
        <v>0.32</v>
      </c>
      <c r="P170" s="50">
        <f>VLOOKUP($A170,'Data shares'!$C:$FB,125)</f>
        <v>0.4</v>
      </c>
      <c r="Q170" s="50">
        <f>VLOOKUP($A170,'Data shares'!$C:$FB,127)*100</f>
        <v>-20</v>
      </c>
    </row>
    <row r="171" spans="1:17" x14ac:dyDescent="0.25">
      <c r="A171" s="97" t="str">
        <f>'Data Vlaue (Cr)'!C166</f>
        <v>ONGC</v>
      </c>
      <c r="B171" s="140">
        <f>VLOOKUP($A171,'Data shares'!$C:$FB,7)</f>
        <v>246.41</v>
      </c>
      <c r="C171" s="140">
        <f>VLOOKUP($A171,'Data shares'!$C:$FB,3)</f>
        <v>246.32</v>
      </c>
      <c r="D171" s="140">
        <f>VLOOKUP($A171,'Data shares'!$C:$FB,4)</f>
        <v>245.42</v>
      </c>
      <c r="E171" s="50">
        <f t="shared" si="6"/>
        <v>0.3667182788688802</v>
      </c>
      <c r="F171" s="49">
        <f>VLOOKUP($A171,'Data shares'!$C:$FB,98)</f>
        <v>201183750</v>
      </c>
      <c r="G171" s="49">
        <f>VLOOKUP($A171,'Data shares'!$C:$FB,99)</f>
        <v>202596750</v>
      </c>
      <c r="H171" s="50">
        <f t="shared" si="7"/>
        <v>-0.69744455426851615</v>
      </c>
      <c r="I171" s="49">
        <f>VLOOKUP($A171,'Data shares'!$C:$FB,66)</f>
        <v>86296500</v>
      </c>
      <c r="J171" s="49">
        <f>VLOOKUP($A171,'Data shares'!$C:$FB,67)</f>
        <v>74907000</v>
      </c>
      <c r="K171" s="50">
        <f t="shared" si="8"/>
        <v>13.198101892892527</v>
      </c>
      <c r="L171" s="50">
        <f>VLOOKUP($A171,'Data shares'!$C:$FB,118)</f>
        <v>0.28000000000000003</v>
      </c>
      <c r="M171" s="50">
        <f>VLOOKUP($A171,'Data shares'!$C:$FB,119)</f>
        <v>0.27</v>
      </c>
      <c r="N171" s="50">
        <f>VLOOKUP($A171,'Data shares'!$C:$FB,121)*100</f>
        <v>3.6999999999999997</v>
      </c>
      <c r="O171" s="50">
        <f>VLOOKUP($A171,'Data shares'!$C:$FB,124)</f>
        <v>0.43</v>
      </c>
      <c r="P171" s="50">
        <f>VLOOKUP($A171,'Data shares'!$C:$FB,125)</f>
        <v>0.3</v>
      </c>
      <c r="Q171" s="50">
        <f>VLOOKUP($A171,'Data shares'!$C:$FB,127)*100</f>
        <v>43.33</v>
      </c>
    </row>
    <row r="172" spans="1:17" x14ac:dyDescent="0.25">
      <c r="A172" s="97" t="str">
        <f>'Data Vlaue (Cr)'!C167</f>
        <v>PAGEIND</v>
      </c>
      <c r="B172" s="140">
        <f>VLOOKUP($A172,'Data shares'!$C:$FB,7)</f>
        <v>46295</v>
      </c>
      <c r="C172" s="140">
        <f>VLOOKUP($A172,'Data shares'!$C:$FB,3)</f>
        <v>46360</v>
      </c>
      <c r="D172" s="140">
        <f>VLOOKUP($A172,'Data shares'!$C:$FB,4)</f>
        <v>46605</v>
      </c>
      <c r="E172" s="50">
        <f t="shared" si="6"/>
        <v>-0.52569466795408215</v>
      </c>
      <c r="F172" s="49">
        <f>VLOOKUP($A172,'Data shares'!$C:$FB,98)</f>
        <v>404460</v>
      </c>
      <c r="G172" s="49">
        <f>VLOOKUP($A172,'Data shares'!$C:$FB,99)</f>
        <v>414555</v>
      </c>
      <c r="H172" s="50">
        <f t="shared" si="7"/>
        <v>-2.435141296088577</v>
      </c>
      <c r="I172" s="49">
        <f>VLOOKUP($A172,'Data shares'!$C:$FB,66)</f>
        <v>169155</v>
      </c>
      <c r="J172" s="49">
        <f>VLOOKUP($A172,'Data shares'!$C:$FB,67)</f>
        <v>139800</v>
      </c>
      <c r="K172" s="50">
        <f t="shared" si="8"/>
        <v>17.353906180721822</v>
      </c>
      <c r="L172" s="50">
        <f>VLOOKUP($A172,'Data shares'!$C:$FB,118)</f>
        <v>0.26</v>
      </c>
      <c r="M172" s="50">
        <f>VLOOKUP($A172,'Data shares'!$C:$FB,119)</f>
        <v>0.26</v>
      </c>
      <c r="N172" s="50">
        <f>VLOOKUP($A172,'Data shares'!$C:$FB,121)*100</f>
        <v>0</v>
      </c>
      <c r="O172" s="50">
        <f>VLOOKUP($A172,'Data shares'!$C:$FB,124)</f>
        <v>0.06</v>
      </c>
      <c r="P172" s="50">
        <f>VLOOKUP($A172,'Data shares'!$C:$FB,125)</f>
        <v>0.09</v>
      </c>
      <c r="Q172" s="50">
        <f>VLOOKUP($A172,'Data shares'!$C:$FB,127)*100</f>
        <v>-33.33</v>
      </c>
    </row>
    <row r="173" spans="1:17" x14ac:dyDescent="0.25">
      <c r="A173" s="97" t="str">
        <f>'Data Vlaue (Cr)'!C168</f>
        <v>PATANJALI</v>
      </c>
      <c r="B173" s="140">
        <f>VLOOKUP($A173,'Data shares'!$C:$FB,7)</f>
        <v>1942</v>
      </c>
      <c r="C173" s="140">
        <f>VLOOKUP($A173,'Data shares'!$C:$FB,3)</f>
        <v>1944.2</v>
      </c>
      <c r="D173" s="140">
        <f>VLOOKUP($A173,'Data shares'!$C:$FB,4)</f>
        <v>1944.9</v>
      </c>
      <c r="E173" s="50">
        <f t="shared" ref="E173:E182" si="9">(C173-D173)/D173*100</f>
        <v>-3.5991567689857853E-2</v>
      </c>
      <c r="F173" s="49">
        <f>VLOOKUP($A173,'Data shares'!$C:$FB,98)</f>
        <v>17460600</v>
      </c>
      <c r="G173" s="49">
        <f>VLOOKUP($A173,'Data shares'!$C:$FB,99)</f>
        <v>18067800</v>
      </c>
      <c r="H173" s="50">
        <f t="shared" ref="H173:H182" si="10">(F173-G173)/G173*100</f>
        <v>-3.360674791618238</v>
      </c>
      <c r="I173" s="49">
        <f>VLOOKUP($A173,'Data shares'!$C:$FB,66)</f>
        <v>7356600</v>
      </c>
      <c r="J173" s="49">
        <f>VLOOKUP($A173,'Data shares'!$C:$FB,67)</f>
        <v>11130000</v>
      </c>
      <c r="K173" s="50">
        <f t="shared" ref="K173:K182" si="11">(I173-J173)/I173*100</f>
        <v>-51.292716744148116</v>
      </c>
      <c r="L173" s="50">
        <f>VLOOKUP($A173,'Data shares'!$C:$FB,118)</f>
        <v>0.52</v>
      </c>
      <c r="M173" s="50">
        <f>VLOOKUP($A173,'Data shares'!$C:$FB,119)</f>
        <v>0.53</v>
      </c>
      <c r="N173" s="50">
        <f>VLOOKUP($A173,'Data shares'!$C:$FB,121)*100</f>
        <v>-1.8900000000000001</v>
      </c>
      <c r="O173" s="50">
        <f>VLOOKUP($A173,'Data shares'!$C:$FB,124)</f>
        <v>0.57999999999999996</v>
      </c>
      <c r="P173" s="50">
        <f>VLOOKUP($A173,'Data shares'!$C:$FB,125)</f>
        <v>0.48</v>
      </c>
      <c r="Q173" s="50">
        <f>VLOOKUP($A173,'Data shares'!$C:$FB,127)*100</f>
        <v>20.830000000000002</v>
      </c>
    </row>
    <row r="174" spans="1:17" x14ac:dyDescent="0.25">
      <c r="A174" s="97" t="str">
        <f>'Data Vlaue (Cr)'!C169</f>
        <v>PAYTM</v>
      </c>
      <c r="B174" s="140">
        <f>VLOOKUP($A174,'Data shares'!$C:$FB,7)</f>
        <v>1051.05</v>
      </c>
      <c r="C174" s="140">
        <f>VLOOKUP($A174,'Data shares'!$C:$FB,3)</f>
        <v>1055.2</v>
      </c>
      <c r="D174" s="140">
        <f>VLOOKUP($A174,'Data shares'!$C:$FB,4)</f>
        <v>1019.55</v>
      </c>
      <c r="E174" s="50">
        <f t="shared" si="9"/>
        <v>3.4966406748075225</v>
      </c>
      <c r="F174" s="49">
        <f>VLOOKUP($A174,'Data shares'!$C:$FB,98)</f>
        <v>47102525</v>
      </c>
      <c r="G174" s="49">
        <f>VLOOKUP($A174,'Data shares'!$C:$FB,99)</f>
        <v>42473400</v>
      </c>
      <c r="H174" s="50">
        <f t="shared" si="10"/>
        <v>10.898880240338658</v>
      </c>
      <c r="I174" s="49">
        <f>VLOOKUP($A174,'Data shares'!$C:$FB,66)</f>
        <v>94163725</v>
      </c>
      <c r="J174" s="49">
        <f>VLOOKUP($A174,'Data shares'!$C:$FB,67)</f>
        <v>23081825</v>
      </c>
      <c r="K174" s="50">
        <f t="shared" si="11"/>
        <v>75.487561691086455</v>
      </c>
      <c r="L174" s="50">
        <f>VLOOKUP($A174,'Data shares'!$C:$FB,118)</f>
        <v>0.71</v>
      </c>
      <c r="M174" s="50">
        <f>VLOOKUP($A174,'Data shares'!$C:$FB,119)</f>
        <v>0.84</v>
      </c>
      <c r="N174" s="50">
        <f>VLOOKUP($A174,'Data shares'!$C:$FB,121)*100</f>
        <v>-15.479999999999999</v>
      </c>
      <c r="O174" s="50">
        <f>VLOOKUP($A174,'Data shares'!$C:$FB,124)</f>
        <v>0.41</v>
      </c>
      <c r="P174" s="50">
        <f>VLOOKUP($A174,'Data shares'!$C:$FB,125)</f>
        <v>0.55000000000000004</v>
      </c>
      <c r="Q174" s="50">
        <f>VLOOKUP($A174,'Data shares'!$C:$FB,127)*100</f>
        <v>-25.45</v>
      </c>
    </row>
    <row r="175" spans="1:17" x14ac:dyDescent="0.25">
      <c r="A175" s="97" t="str">
        <f>'Data Vlaue (Cr)'!C170</f>
        <v>PEL</v>
      </c>
      <c r="B175" s="140">
        <f>VLOOKUP($A175,'Data shares'!$C:$FB,7)</f>
        <v>1287.4000000000001</v>
      </c>
      <c r="C175" s="140">
        <f>VLOOKUP($A175,'Data shares'!$C:$FB,3)</f>
        <v>1287.8</v>
      </c>
      <c r="D175" s="140">
        <f>VLOOKUP($A175,'Data shares'!$C:$FB,4)</f>
        <v>1305.8</v>
      </c>
      <c r="E175" s="50">
        <f t="shared" si="9"/>
        <v>-1.3784653086230665</v>
      </c>
      <c r="F175" s="49">
        <f>VLOOKUP($A175,'Data shares'!$C:$FB,98)</f>
        <v>12776250</v>
      </c>
      <c r="G175" s="49">
        <f>VLOOKUP($A175,'Data shares'!$C:$FB,99)</f>
        <v>13207500</v>
      </c>
      <c r="H175" s="50">
        <f t="shared" si="10"/>
        <v>-3.2651902328222597</v>
      </c>
      <c r="I175" s="49">
        <f>VLOOKUP($A175,'Data shares'!$C:$FB,66)</f>
        <v>5748000</v>
      </c>
      <c r="J175" s="49">
        <f>VLOOKUP($A175,'Data shares'!$C:$FB,67)</f>
        <v>10197750</v>
      </c>
      <c r="K175" s="50">
        <f t="shared" si="11"/>
        <v>-77.413883089770351</v>
      </c>
      <c r="L175" s="50">
        <f>VLOOKUP($A175,'Data shares'!$C:$FB,118)</f>
        <v>0.71</v>
      </c>
      <c r="M175" s="50">
        <f>VLOOKUP($A175,'Data shares'!$C:$FB,119)</f>
        <v>0.77</v>
      </c>
      <c r="N175" s="50">
        <f>VLOOKUP($A175,'Data shares'!$C:$FB,121)*100</f>
        <v>-7.79</v>
      </c>
      <c r="O175" s="50">
        <f>VLOOKUP($A175,'Data shares'!$C:$FB,124)</f>
        <v>0.75</v>
      </c>
      <c r="P175" s="50">
        <f>VLOOKUP($A175,'Data shares'!$C:$FB,125)</f>
        <v>0.94</v>
      </c>
      <c r="Q175" s="50">
        <f>VLOOKUP($A175,'Data shares'!$C:$FB,127)*100</f>
        <v>-20.21</v>
      </c>
    </row>
    <row r="176" spans="1:17" x14ac:dyDescent="0.25">
      <c r="A176" s="97" t="str">
        <f>'Data Vlaue (Cr)'!C171</f>
        <v>PERSISTENT</v>
      </c>
      <c r="B176" s="140">
        <f>VLOOKUP($A176,'Data shares'!$C:$FB,7)</f>
        <v>5713.5</v>
      </c>
      <c r="C176" s="140">
        <f>VLOOKUP($A176,'Data shares'!$C:$FB,3)</f>
        <v>5728.5</v>
      </c>
      <c r="D176" s="140">
        <f>VLOOKUP($A176,'Data shares'!$C:$FB,4)</f>
        <v>5779</v>
      </c>
      <c r="E176" s="50">
        <f t="shared" si="9"/>
        <v>-0.87385360789063848</v>
      </c>
      <c r="F176" s="49">
        <f>VLOOKUP($A176,'Data shares'!$C:$FB,98)</f>
        <v>5072700</v>
      </c>
      <c r="G176" s="49">
        <f>VLOOKUP($A176,'Data shares'!$C:$FB,99)</f>
        <v>5061300</v>
      </c>
      <c r="H176" s="50">
        <f t="shared" si="10"/>
        <v>0.22523857506964615</v>
      </c>
      <c r="I176" s="49">
        <f>VLOOKUP($A176,'Data shares'!$C:$FB,66)</f>
        <v>3895400</v>
      </c>
      <c r="J176" s="49">
        <f>VLOOKUP($A176,'Data shares'!$C:$FB,67)</f>
        <v>6475200</v>
      </c>
      <c r="K176" s="50">
        <f t="shared" si="11"/>
        <v>-66.226831647584333</v>
      </c>
      <c r="L176" s="50">
        <f>VLOOKUP($A176,'Data shares'!$C:$FB,118)</f>
        <v>0.59</v>
      </c>
      <c r="M176" s="50">
        <f>VLOOKUP($A176,'Data shares'!$C:$FB,119)</f>
        <v>0.61</v>
      </c>
      <c r="N176" s="50">
        <f>VLOOKUP($A176,'Data shares'!$C:$FB,121)*100</f>
        <v>-3.2800000000000002</v>
      </c>
      <c r="O176" s="50">
        <f>VLOOKUP($A176,'Data shares'!$C:$FB,124)</f>
        <v>0.41</v>
      </c>
      <c r="P176" s="50">
        <f>VLOOKUP($A176,'Data shares'!$C:$FB,125)</f>
        <v>0.4</v>
      </c>
      <c r="Q176" s="50">
        <f>VLOOKUP($A176,'Data shares'!$C:$FB,127)*100</f>
        <v>2.5</v>
      </c>
    </row>
    <row r="177" spans="1:17" x14ac:dyDescent="0.25">
      <c r="A177" s="97" t="str">
        <f>'Data Vlaue (Cr)'!C172</f>
        <v>PETRONET</v>
      </c>
      <c r="B177" s="140">
        <f>VLOOKUP($A177,'Data shares'!$C:$FB,7)</f>
        <v>303.25</v>
      </c>
      <c r="C177" s="140">
        <f>VLOOKUP($A177,'Data shares'!$C:$FB,3)</f>
        <v>303.55</v>
      </c>
      <c r="D177" s="140">
        <f>VLOOKUP($A177,'Data shares'!$C:$FB,4)</f>
        <v>304.35000000000002</v>
      </c>
      <c r="E177" s="50">
        <f t="shared" si="9"/>
        <v>-0.26285526531953718</v>
      </c>
      <c r="F177" s="49">
        <f>VLOOKUP($A177,'Data shares'!$C:$FB,98)</f>
        <v>63939600</v>
      </c>
      <c r="G177" s="49">
        <f>VLOOKUP($A177,'Data shares'!$C:$FB,99)</f>
        <v>64407600</v>
      </c>
      <c r="H177" s="50">
        <f t="shared" si="10"/>
        <v>-0.72662232407355654</v>
      </c>
      <c r="I177" s="49">
        <f>VLOOKUP($A177,'Data shares'!$C:$FB,66)</f>
        <v>9991800</v>
      </c>
      <c r="J177" s="49">
        <f>VLOOKUP($A177,'Data shares'!$C:$FB,67)</f>
        <v>13528800</v>
      </c>
      <c r="K177" s="50">
        <f t="shared" si="11"/>
        <v>-35.399027202305888</v>
      </c>
      <c r="L177" s="50">
        <f>VLOOKUP($A177,'Data shares'!$C:$FB,118)</f>
        <v>0.65</v>
      </c>
      <c r="M177" s="50">
        <f>VLOOKUP($A177,'Data shares'!$C:$FB,119)</f>
        <v>0.63</v>
      </c>
      <c r="N177" s="50">
        <f>VLOOKUP($A177,'Data shares'!$C:$FB,121)*100</f>
        <v>3.17</v>
      </c>
      <c r="O177" s="50">
        <f>VLOOKUP($A177,'Data shares'!$C:$FB,124)</f>
        <v>0.39</v>
      </c>
      <c r="P177" s="50">
        <f>VLOOKUP($A177,'Data shares'!$C:$FB,125)</f>
        <v>0.56999999999999995</v>
      </c>
      <c r="Q177" s="50">
        <f>VLOOKUP($A177,'Data shares'!$C:$FB,127)*100</f>
        <v>-31.580000000000002</v>
      </c>
    </row>
    <row r="178" spans="1:17" x14ac:dyDescent="0.25">
      <c r="A178" s="97" t="str">
        <f>'Data Vlaue (Cr)'!C173</f>
        <v>PFC</v>
      </c>
      <c r="B178" s="140">
        <f>VLOOKUP($A178,'Data shares'!$C:$FB,7)</f>
        <v>414.7</v>
      </c>
      <c r="C178" s="140">
        <f>VLOOKUP($A178,'Data shares'!$C:$FB,3)</f>
        <v>414.95</v>
      </c>
      <c r="D178" s="140">
        <f>VLOOKUP($A178,'Data shares'!$C:$FB,4)</f>
        <v>420.35</v>
      </c>
      <c r="E178" s="50">
        <f t="shared" si="9"/>
        <v>-1.2846437492565799</v>
      </c>
      <c r="F178" s="49">
        <f>VLOOKUP($A178,'Data shares'!$C:$FB,98)</f>
        <v>96619900</v>
      </c>
      <c r="G178" s="49">
        <f>VLOOKUP($A178,'Data shares'!$C:$FB,99)</f>
        <v>97353100</v>
      </c>
      <c r="H178" s="50">
        <f t="shared" si="10"/>
        <v>-0.75313472298262718</v>
      </c>
      <c r="I178" s="49">
        <f>VLOOKUP($A178,'Data shares'!$C:$FB,66)</f>
        <v>41282800</v>
      </c>
      <c r="J178" s="49">
        <f>VLOOKUP($A178,'Data shares'!$C:$FB,67)</f>
        <v>29611400</v>
      </c>
      <c r="K178" s="50">
        <f t="shared" si="11"/>
        <v>28.271822647688627</v>
      </c>
      <c r="L178" s="50">
        <f>VLOOKUP($A178,'Data shares'!$C:$FB,118)</f>
        <v>0.67</v>
      </c>
      <c r="M178" s="50">
        <f>VLOOKUP($A178,'Data shares'!$C:$FB,119)</f>
        <v>0.68</v>
      </c>
      <c r="N178" s="50">
        <f>VLOOKUP($A178,'Data shares'!$C:$FB,121)*100</f>
        <v>-1.47</v>
      </c>
      <c r="O178" s="50">
        <f>VLOOKUP($A178,'Data shares'!$C:$FB,124)</f>
        <v>0.61</v>
      </c>
      <c r="P178" s="50">
        <f>VLOOKUP($A178,'Data shares'!$C:$FB,125)</f>
        <v>0.5</v>
      </c>
      <c r="Q178" s="50">
        <f>VLOOKUP($A178,'Data shares'!$C:$FB,127)*100</f>
        <v>22</v>
      </c>
    </row>
    <row r="179" spans="1:17" x14ac:dyDescent="0.25">
      <c r="A179" s="97" t="str">
        <f>'Data Vlaue (Cr)'!C174</f>
        <v>PGEL</v>
      </c>
      <c r="B179" s="140">
        <f>VLOOKUP($A179,'Data shares'!$C:$FB,7)</f>
        <v>788.9</v>
      </c>
      <c r="C179" s="140">
        <f>VLOOKUP($A179,'Data shares'!$C:$FB,3)</f>
        <v>789.5</v>
      </c>
      <c r="D179" s="140">
        <f>VLOOKUP($A179,'Data shares'!$C:$FB,4)</f>
        <v>810.15</v>
      </c>
      <c r="E179" s="50">
        <f t="shared" si="9"/>
        <v>-2.5489106955502039</v>
      </c>
      <c r="F179" s="49">
        <f>VLOOKUP($A179,'Data shares'!$C:$FB,98)</f>
        <v>9192400</v>
      </c>
      <c r="G179" s="49">
        <f>VLOOKUP($A179,'Data shares'!$C:$FB,99)</f>
        <v>9006200</v>
      </c>
      <c r="H179" s="50">
        <f t="shared" si="10"/>
        <v>2.0674646354733408</v>
      </c>
      <c r="I179" s="49">
        <f>VLOOKUP($A179,'Data shares'!$C:$FB,66)</f>
        <v>3929100</v>
      </c>
      <c r="J179" s="49">
        <f>VLOOKUP($A179,'Data shares'!$C:$FB,67)</f>
        <v>3850700</v>
      </c>
      <c r="K179" s="50">
        <f t="shared" si="11"/>
        <v>1.9953678959558168</v>
      </c>
      <c r="L179" s="50">
        <f>VLOOKUP($A179,'Data shares'!$C:$FB,118)</f>
        <v>0.48</v>
      </c>
      <c r="M179" s="50">
        <f>VLOOKUP($A179,'Data shares'!$C:$FB,119)</f>
        <v>0.55000000000000004</v>
      </c>
      <c r="N179" s="50">
        <f>VLOOKUP($A179,'Data shares'!$C:$FB,121)*100</f>
        <v>-12.73</v>
      </c>
      <c r="O179" s="50">
        <f>VLOOKUP($A179,'Data shares'!$C:$FB,124)</f>
        <v>0.39</v>
      </c>
      <c r="P179" s="50">
        <f>VLOOKUP($A179,'Data shares'!$C:$FB,125)</f>
        <v>0.36</v>
      </c>
      <c r="Q179" s="50">
        <f>VLOOKUP($A179,'Data shares'!$C:$FB,127)*100</f>
        <v>8.33</v>
      </c>
    </row>
    <row r="180" spans="1:17" x14ac:dyDescent="0.25">
      <c r="A180" s="97" t="str">
        <f>'Data Vlaue (Cr)'!C175</f>
        <v>PHOENIXLTD</v>
      </c>
      <c r="B180" s="140">
        <f>VLOOKUP($A180,'Data shares'!$C:$FB,7)</f>
        <v>1473.6</v>
      </c>
      <c r="C180" s="140">
        <f>VLOOKUP($A180,'Data shares'!$C:$FB,3)</f>
        <v>1476.1</v>
      </c>
      <c r="D180" s="140">
        <f>VLOOKUP($A180,'Data shares'!$C:$FB,4)</f>
        <v>1498.5</v>
      </c>
      <c r="E180" s="50">
        <f t="shared" si="9"/>
        <v>-1.4948281614948342</v>
      </c>
      <c r="F180" s="49">
        <f>VLOOKUP($A180,'Data shares'!$C:$FB,98)</f>
        <v>6623400</v>
      </c>
      <c r="G180" s="49">
        <f>VLOOKUP($A180,'Data shares'!$C:$FB,99)</f>
        <v>6614650</v>
      </c>
      <c r="H180" s="50">
        <f t="shared" si="10"/>
        <v>0.13228213132969999</v>
      </c>
      <c r="I180" s="49">
        <f>VLOOKUP($A180,'Data shares'!$C:$FB,66)</f>
        <v>1218000</v>
      </c>
      <c r="J180" s="49">
        <f>VLOOKUP($A180,'Data shares'!$C:$FB,67)</f>
        <v>1287650</v>
      </c>
      <c r="K180" s="50">
        <f t="shared" si="11"/>
        <v>-5.7183908045977017</v>
      </c>
      <c r="L180" s="50">
        <f>VLOOKUP($A180,'Data shares'!$C:$FB,118)</f>
        <v>0.61</v>
      </c>
      <c r="M180" s="50">
        <f>VLOOKUP($A180,'Data shares'!$C:$FB,119)</f>
        <v>0.59</v>
      </c>
      <c r="N180" s="50">
        <f>VLOOKUP($A180,'Data shares'!$C:$FB,121)*100</f>
        <v>3.39</v>
      </c>
      <c r="O180" s="50">
        <f>VLOOKUP($A180,'Data shares'!$C:$FB,124)</f>
        <v>0.48</v>
      </c>
      <c r="P180" s="50">
        <f>VLOOKUP($A180,'Data shares'!$C:$FB,125)</f>
        <v>0.25</v>
      </c>
      <c r="Q180" s="50">
        <f>VLOOKUP($A180,'Data shares'!$C:$FB,127)*100</f>
        <v>92</v>
      </c>
    </row>
    <row r="181" spans="1:17" x14ac:dyDescent="0.25">
      <c r="A181" s="97" t="str">
        <f>'Data Vlaue (Cr)'!C176</f>
        <v>PIDILITIND</v>
      </c>
      <c r="B181" s="140">
        <f>VLOOKUP($A181,'Data shares'!$C:$FB,7)</f>
        <v>2934.3</v>
      </c>
      <c r="C181" s="140">
        <f>VLOOKUP($A181,'Data shares'!$C:$FB,3)</f>
        <v>2920.9</v>
      </c>
      <c r="D181" s="140">
        <f>VLOOKUP($A181,'Data shares'!$C:$FB,4)</f>
        <v>2952.7</v>
      </c>
      <c r="E181" s="50">
        <f t="shared" si="9"/>
        <v>-1.0769803908287239</v>
      </c>
      <c r="F181" s="49">
        <f>VLOOKUP($A181,'Data shares'!$C:$FB,98)</f>
        <v>5149500</v>
      </c>
      <c r="G181" s="49">
        <f>VLOOKUP($A181,'Data shares'!$C:$FB,99)</f>
        <v>4927500</v>
      </c>
      <c r="H181" s="50">
        <f t="shared" si="10"/>
        <v>4.5053272450532731</v>
      </c>
      <c r="I181" s="49">
        <f>VLOOKUP($A181,'Data shares'!$C:$FB,66)</f>
        <v>1082500</v>
      </c>
      <c r="J181" s="49">
        <f>VLOOKUP($A181,'Data shares'!$C:$FB,67)</f>
        <v>722250</v>
      </c>
      <c r="K181" s="50">
        <f t="shared" si="11"/>
        <v>33.279445727482681</v>
      </c>
      <c r="L181" s="50">
        <f>VLOOKUP($A181,'Data shares'!$C:$FB,118)</f>
        <v>0.48</v>
      </c>
      <c r="M181" s="50">
        <f>VLOOKUP($A181,'Data shares'!$C:$FB,119)</f>
        <v>0.53</v>
      </c>
      <c r="N181" s="50">
        <f>VLOOKUP($A181,'Data shares'!$C:$FB,121)*100</f>
        <v>-9.43</v>
      </c>
      <c r="O181" s="50">
        <f>VLOOKUP($A181,'Data shares'!$C:$FB,124)</f>
        <v>0.35</v>
      </c>
      <c r="P181" s="50">
        <f>VLOOKUP($A181,'Data shares'!$C:$FB,125)</f>
        <v>0.26</v>
      </c>
      <c r="Q181" s="50">
        <f>VLOOKUP($A181,'Data shares'!$C:$FB,127)*100</f>
        <v>34.619999999999997</v>
      </c>
    </row>
    <row r="182" spans="1:17" x14ac:dyDescent="0.25">
      <c r="A182" s="97" t="str">
        <f>'Data Vlaue (Cr)'!C177</f>
        <v>PIIND</v>
      </c>
      <c r="B182" s="140">
        <f>VLOOKUP($A182,'Data shares'!$C:$FB,7)</f>
        <v>4080</v>
      </c>
      <c r="C182" s="140">
        <f>VLOOKUP($A182,'Data shares'!$C:$FB,3)</f>
        <v>4080</v>
      </c>
      <c r="D182" s="140">
        <f>VLOOKUP($A182,'Data shares'!$C:$FB,4)</f>
        <v>4179.8999999999996</v>
      </c>
      <c r="E182" s="50">
        <f t="shared" si="9"/>
        <v>-2.3900093303667469</v>
      </c>
      <c r="F182" s="49">
        <f>VLOOKUP($A182,'Data shares'!$C:$FB,98)</f>
        <v>2344125</v>
      </c>
      <c r="G182" s="49">
        <f>VLOOKUP($A182,'Data shares'!$C:$FB,99)</f>
        <v>2303175</v>
      </c>
      <c r="H182" s="50">
        <f t="shared" si="10"/>
        <v>1.7779803966263961</v>
      </c>
      <c r="I182" s="49">
        <f>VLOOKUP($A182,'Data shares'!$C:$FB,66)</f>
        <v>1088675</v>
      </c>
      <c r="J182" s="49">
        <f>VLOOKUP($A182,'Data shares'!$C:$FB,67)</f>
        <v>761250</v>
      </c>
      <c r="K182" s="50">
        <f t="shared" si="11"/>
        <v>30.075550554573223</v>
      </c>
      <c r="L182" s="50">
        <f>VLOOKUP($A182,'Data shares'!$C:$FB,118)</f>
        <v>0.53</v>
      </c>
      <c r="M182" s="50">
        <f>VLOOKUP($A182,'Data shares'!$C:$FB,119)</f>
        <v>0.55000000000000004</v>
      </c>
      <c r="N182" s="50">
        <f>VLOOKUP($A182,'Data shares'!$C:$FB,121)*100</f>
        <v>-3.64</v>
      </c>
      <c r="O182" s="50">
        <f>VLOOKUP($A182,'Data shares'!$C:$FB,124)</f>
        <v>0.33</v>
      </c>
      <c r="P182" s="50">
        <f>VLOOKUP($A182,'Data shares'!$C:$FB,125)</f>
        <v>0.24</v>
      </c>
      <c r="Q182" s="50">
        <f>VLOOKUP($A182,'Data shares'!$C:$FB,127)*100</f>
        <v>37.5</v>
      </c>
    </row>
    <row r="183" spans="1:17" x14ac:dyDescent="0.25">
      <c r="A183" s="97" t="str">
        <f>'Data Vlaue (Cr)'!C178</f>
        <v>PNB</v>
      </c>
      <c r="B183" s="140">
        <f>VLOOKUP($A183,'Data shares'!$C:$FB,7)</f>
        <v>109.33</v>
      </c>
      <c r="C183" s="140">
        <f>VLOOKUP($A183,'Data shares'!$C:$FB,3)</f>
        <v>109.47</v>
      </c>
      <c r="D183" s="140">
        <f>VLOOKUP($A183,'Data shares'!$C:$FB,4)</f>
        <v>112.73</v>
      </c>
      <c r="E183" s="50">
        <f>(C183-D183)/D183*100</f>
        <v>-2.8918655193826002</v>
      </c>
      <c r="F183" s="49">
        <f>VLOOKUP($A183,'Data shares'!$C:$FB,98)</f>
        <v>470584000</v>
      </c>
      <c r="G183" s="49">
        <f>VLOOKUP($A183,'Data shares'!$C:$FB,99)</f>
        <v>442976000</v>
      </c>
      <c r="H183" s="50">
        <f>(F183-G183)/G183*100</f>
        <v>6.2323918225818105</v>
      </c>
      <c r="I183" s="49">
        <f>VLOOKUP($A183,'Data shares'!$C:$FB,66)</f>
        <v>269632000</v>
      </c>
      <c r="J183" s="49">
        <f>VLOOKUP($A183,'Data shares'!$C:$FB,67)</f>
        <v>208416000</v>
      </c>
      <c r="K183" s="50">
        <f>(I183-J183)/I183*100</f>
        <v>22.703536672205079</v>
      </c>
      <c r="L183" s="50">
        <f>VLOOKUP($A183,'Data shares'!$C:$FB,118)</f>
        <v>0.74</v>
      </c>
      <c r="M183" s="50">
        <f>VLOOKUP($A183,'Data shares'!$C:$FB,119)</f>
        <v>0.79</v>
      </c>
      <c r="N183" s="50">
        <f>VLOOKUP($A183,'Data shares'!$C:$FB,121)*100</f>
        <v>-6.3299999999999992</v>
      </c>
      <c r="O183" s="50">
        <f>VLOOKUP($A183,'Data shares'!$C:$FB,124)</f>
        <v>0.54</v>
      </c>
      <c r="P183" s="50">
        <f>VLOOKUP($A183,'Data shares'!$C:$FB,125)</f>
        <v>0.52</v>
      </c>
      <c r="Q183" s="50">
        <f>VLOOKUP($A183,'Data shares'!$C:$FB,127)*100</f>
        <v>3.85</v>
      </c>
    </row>
    <row r="184" spans="1:17" x14ac:dyDescent="0.25">
      <c r="A184" s="97" t="str">
        <f>'Data Vlaue (Cr)'!C179</f>
        <v>PNBHOUSING</v>
      </c>
      <c r="B184" s="140">
        <f>VLOOKUP($A184,'Data shares'!$C:$FB,7)</f>
        <v>1086.5999999999999</v>
      </c>
      <c r="C184" s="140">
        <f>VLOOKUP($A184,'Data shares'!$C:$FB,3)</f>
        <v>1087.8</v>
      </c>
      <c r="D184" s="140">
        <f>VLOOKUP($A184,'Data shares'!$C:$FB,4)</f>
        <v>1089.5</v>
      </c>
      <c r="E184" s="50">
        <f t="shared" ref="E184:E189" si="12">(C184-D184)/D184*100</f>
        <v>-0.15603487838458427</v>
      </c>
      <c r="F184" s="49">
        <f>VLOOKUP($A184,'Data shares'!$C:$FB,98)</f>
        <v>15185950</v>
      </c>
      <c r="G184" s="49">
        <f>VLOOKUP($A184,'Data shares'!$C:$FB,99)</f>
        <v>14690650</v>
      </c>
      <c r="H184" s="50">
        <f t="shared" ref="H184:H189" si="13">(F184-G184)/G184*100</f>
        <v>3.3715322330870316</v>
      </c>
      <c r="I184" s="49">
        <f>VLOOKUP($A184,'Data shares'!$C:$FB,66)</f>
        <v>25409150</v>
      </c>
      <c r="J184" s="49">
        <f>VLOOKUP($A184,'Data shares'!$C:$FB,67)</f>
        <v>11146850</v>
      </c>
      <c r="K184" s="50">
        <f t="shared" ref="K184:K189" si="14">(I184-J184)/I184*100</f>
        <v>56.130567138215959</v>
      </c>
      <c r="L184" s="50">
        <f>VLOOKUP($A184,'Data shares'!$C:$FB,118)</f>
        <v>0.54</v>
      </c>
      <c r="M184" s="50">
        <f>VLOOKUP($A184,'Data shares'!$C:$FB,119)</f>
        <v>0.7</v>
      </c>
      <c r="N184" s="50">
        <f>VLOOKUP($A184,'Data shares'!$C:$FB,121)*100</f>
        <v>-22.86</v>
      </c>
      <c r="O184" s="50">
        <f>VLOOKUP($A184,'Data shares'!$C:$FB,124)</f>
        <v>0.36</v>
      </c>
      <c r="P184" s="50">
        <f>VLOOKUP($A184,'Data shares'!$C:$FB,125)</f>
        <v>0.67</v>
      </c>
      <c r="Q184" s="50">
        <f>VLOOKUP($A184,'Data shares'!$C:$FB,127)*100</f>
        <v>-46.27</v>
      </c>
    </row>
    <row r="185" spans="1:17" x14ac:dyDescent="0.25">
      <c r="A185" s="97" t="str">
        <f>'Data Vlaue (Cr)'!C180</f>
        <v>POLICYBZR</v>
      </c>
      <c r="B185" s="140">
        <f>VLOOKUP($A185,'Data shares'!$C:$FB,7)</f>
        <v>1820.8</v>
      </c>
      <c r="C185" s="140">
        <f>VLOOKUP($A185,'Data shares'!$C:$FB,3)</f>
        <v>1826.6</v>
      </c>
      <c r="D185" s="140">
        <f>VLOOKUP($A185,'Data shares'!$C:$FB,4)</f>
        <v>1808.8</v>
      </c>
      <c r="E185" s="50">
        <f t="shared" si="12"/>
        <v>0.9840778416629784</v>
      </c>
      <c r="F185" s="49">
        <f>VLOOKUP($A185,'Data shares'!$C:$FB,98)</f>
        <v>10680250</v>
      </c>
      <c r="G185" s="49">
        <f>VLOOKUP($A185,'Data shares'!$C:$FB,99)</f>
        <v>10743250</v>
      </c>
      <c r="H185" s="50">
        <f t="shared" si="13"/>
        <v>-0.58641472552532992</v>
      </c>
      <c r="I185" s="49">
        <f>VLOOKUP($A185,'Data shares'!$C:$FB,66)</f>
        <v>4346650</v>
      </c>
      <c r="J185" s="49">
        <f>VLOOKUP($A185,'Data shares'!$C:$FB,67)</f>
        <v>4330200</v>
      </c>
      <c r="K185" s="50">
        <f t="shared" si="14"/>
        <v>0.37845237136645465</v>
      </c>
      <c r="L185" s="50">
        <f>VLOOKUP($A185,'Data shares'!$C:$FB,118)</f>
        <v>0.66</v>
      </c>
      <c r="M185" s="50">
        <f>VLOOKUP($A185,'Data shares'!$C:$FB,119)</f>
        <v>0.66</v>
      </c>
      <c r="N185" s="50">
        <f>VLOOKUP($A185,'Data shares'!$C:$FB,121)*100</f>
        <v>0</v>
      </c>
      <c r="O185" s="50">
        <f>VLOOKUP($A185,'Data shares'!$C:$FB,124)</f>
        <v>0.38</v>
      </c>
      <c r="P185" s="50">
        <f>VLOOKUP($A185,'Data shares'!$C:$FB,125)</f>
        <v>0.44</v>
      </c>
      <c r="Q185" s="50">
        <f>VLOOKUP($A185,'Data shares'!$C:$FB,127)*100</f>
        <v>-13.639999999999999</v>
      </c>
    </row>
    <row r="186" spans="1:17" x14ac:dyDescent="0.25">
      <c r="A186" s="97" t="str">
        <f>'Data Vlaue (Cr)'!C181</f>
        <v>POLYCAB</v>
      </c>
      <c r="B186" s="140">
        <f>VLOOKUP($A186,'Data shares'!$C:$FB,7)</f>
        <v>6960.5</v>
      </c>
      <c r="C186" s="140">
        <f>VLOOKUP($A186,'Data shares'!$C:$FB,3)</f>
        <v>6968.5</v>
      </c>
      <c r="D186" s="140">
        <f>VLOOKUP($A186,'Data shares'!$C:$FB,4)</f>
        <v>7056.5</v>
      </c>
      <c r="E186" s="50">
        <f t="shared" si="12"/>
        <v>-1.2470771628994544</v>
      </c>
      <c r="F186" s="49">
        <f>VLOOKUP($A186,'Data shares'!$C:$FB,98)</f>
        <v>5465125</v>
      </c>
      <c r="G186" s="49">
        <f>VLOOKUP($A186,'Data shares'!$C:$FB,99)</f>
        <v>5736375</v>
      </c>
      <c r="H186" s="50">
        <f t="shared" si="13"/>
        <v>-4.7285960210062976</v>
      </c>
      <c r="I186" s="49">
        <f>VLOOKUP($A186,'Data shares'!$C:$FB,66)</f>
        <v>4328375</v>
      </c>
      <c r="J186" s="49">
        <f>VLOOKUP($A186,'Data shares'!$C:$FB,67)</f>
        <v>10175750</v>
      </c>
      <c r="K186" s="50">
        <f t="shared" si="14"/>
        <v>-135.0940017905103</v>
      </c>
      <c r="L186" s="50">
        <f>VLOOKUP($A186,'Data shares'!$C:$FB,118)</f>
        <v>0.59</v>
      </c>
      <c r="M186" s="50">
        <f>VLOOKUP($A186,'Data shares'!$C:$FB,119)</f>
        <v>0.61</v>
      </c>
      <c r="N186" s="50">
        <f>VLOOKUP($A186,'Data shares'!$C:$FB,121)*100</f>
        <v>-3.2800000000000002</v>
      </c>
      <c r="O186" s="50">
        <f>VLOOKUP($A186,'Data shares'!$C:$FB,124)</f>
        <v>0.57999999999999996</v>
      </c>
      <c r="P186" s="50">
        <f>VLOOKUP($A186,'Data shares'!$C:$FB,125)</f>
        <v>0.54</v>
      </c>
      <c r="Q186" s="50">
        <f>VLOOKUP($A186,'Data shares'!$C:$FB,127)*100</f>
        <v>7.41</v>
      </c>
    </row>
    <row r="187" spans="1:17" x14ac:dyDescent="0.25">
      <c r="A187" s="97" t="str">
        <f>'Data Vlaue (Cr)'!C182</f>
        <v>POONAWALLA</v>
      </c>
      <c r="B187" s="140">
        <f>VLOOKUP($A187,'Data shares'!$C:$FB,7)</f>
        <v>452.4</v>
      </c>
      <c r="C187" s="140">
        <f>VLOOKUP($A187,'Data shares'!$C:$FB,3)</f>
        <v>453.05</v>
      </c>
      <c r="D187" s="140">
        <f>VLOOKUP($A187,'Data shares'!$C:$FB,4)</f>
        <v>461</v>
      </c>
      <c r="E187" s="50">
        <f t="shared" si="12"/>
        <v>-1.7245119305856809</v>
      </c>
      <c r="F187" s="49">
        <f>VLOOKUP($A187,'Data shares'!$C:$FB,98)</f>
        <v>23847600</v>
      </c>
      <c r="G187" s="49">
        <f>VLOOKUP($A187,'Data shares'!$C:$FB,99)</f>
        <v>24080500</v>
      </c>
      <c r="H187" s="50">
        <f t="shared" si="13"/>
        <v>-0.96717260854218146</v>
      </c>
      <c r="I187" s="49">
        <f>VLOOKUP($A187,'Data shares'!$C:$FB,66)</f>
        <v>6811900</v>
      </c>
      <c r="J187" s="49">
        <f>VLOOKUP($A187,'Data shares'!$C:$FB,67)</f>
        <v>18813900</v>
      </c>
      <c r="K187" s="50">
        <f t="shared" si="14"/>
        <v>-176.19166458697279</v>
      </c>
      <c r="L187" s="50">
        <f>VLOOKUP($A187,'Data shares'!$C:$FB,118)</f>
        <v>0.59</v>
      </c>
      <c r="M187" s="50">
        <f>VLOOKUP($A187,'Data shares'!$C:$FB,119)</f>
        <v>0.56999999999999995</v>
      </c>
      <c r="N187" s="50">
        <f>VLOOKUP($A187,'Data shares'!$C:$FB,121)*100</f>
        <v>3.51</v>
      </c>
      <c r="O187" s="50">
        <f>VLOOKUP($A187,'Data shares'!$C:$FB,124)</f>
        <v>0.33</v>
      </c>
      <c r="P187" s="50">
        <f>VLOOKUP($A187,'Data shares'!$C:$FB,125)</f>
        <v>0.23</v>
      </c>
      <c r="Q187" s="50">
        <f>VLOOKUP($A187,'Data shares'!$C:$FB,127)*100</f>
        <v>43.480000000000004</v>
      </c>
    </row>
    <row r="188" spans="1:17" x14ac:dyDescent="0.25">
      <c r="A188" s="97" t="str">
        <f>'Data Vlaue (Cr)'!C183</f>
        <v>POWERGRID</v>
      </c>
      <c r="B188" s="140">
        <f>VLOOKUP($A188,'Data shares'!$C:$FB,7)</f>
        <v>297.8</v>
      </c>
      <c r="C188" s="140">
        <f>VLOOKUP($A188,'Data shares'!$C:$FB,3)</f>
        <v>297.8</v>
      </c>
      <c r="D188" s="140">
        <f>VLOOKUP($A188,'Data shares'!$C:$FB,4)</f>
        <v>297.14999999999998</v>
      </c>
      <c r="E188" s="50">
        <f t="shared" si="12"/>
        <v>0.21874474171295111</v>
      </c>
      <c r="F188" s="49">
        <f>VLOOKUP($A188,'Data shares'!$C:$FB,98)</f>
        <v>122181400</v>
      </c>
      <c r="G188" s="49">
        <f>VLOOKUP($A188,'Data shares'!$C:$FB,99)</f>
        <v>125360100</v>
      </c>
      <c r="H188" s="50">
        <f t="shared" si="13"/>
        <v>-2.5356552842571123</v>
      </c>
      <c r="I188" s="49">
        <f>VLOOKUP($A188,'Data shares'!$C:$FB,66)</f>
        <v>29514600</v>
      </c>
      <c r="J188" s="49">
        <f>VLOOKUP($A188,'Data shares'!$C:$FB,67)</f>
        <v>29653300</v>
      </c>
      <c r="K188" s="50">
        <f t="shared" si="14"/>
        <v>-0.46993691257885922</v>
      </c>
      <c r="L188" s="50">
        <f>VLOOKUP($A188,'Data shares'!$C:$FB,118)</f>
        <v>0.56999999999999995</v>
      </c>
      <c r="M188" s="50">
        <f>VLOOKUP($A188,'Data shares'!$C:$FB,119)</f>
        <v>0.53</v>
      </c>
      <c r="N188" s="50">
        <f>VLOOKUP($A188,'Data shares'!$C:$FB,121)*100</f>
        <v>7.55</v>
      </c>
      <c r="O188" s="50">
        <f>VLOOKUP($A188,'Data shares'!$C:$FB,124)</f>
        <v>0.68</v>
      </c>
      <c r="P188" s="50">
        <f>VLOOKUP($A188,'Data shares'!$C:$FB,125)</f>
        <v>0.44</v>
      </c>
      <c r="Q188" s="50">
        <f>VLOOKUP($A188,'Data shares'!$C:$FB,127)*100</f>
        <v>54.55</v>
      </c>
    </row>
    <row r="189" spans="1:17" x14ac:dyDescent="0.25">
      <c r="A189" s="97" t="str">
        <f>'Data Vlaue (Cr)'!C231</f>
        <v>ZYDUSLIFE</v>
      </c>
      <c r="B189" s="140">
        <f>VLOOKUP($A189,'Data shares'!$C:$FB,7)</f>
        <v>956.75</v>
      </c>
      <c r="C189" s="140">
        <f>VLOOKUP($A189,'Data shares'!$C:$FB,3)</f>
        <v>948.15</v>
      </c>
      <c r="D189" s="140">
        <f>VLOOKUP($A189,'Data shares'!$C:$FB,4)</f>
        <v>962.6</v>
      </c>
      <c r="E189" s="50">
        <f t="shared" si="12"/>
        <v>-1.5011427384167926</v>
      </c>
      <c r="F189" s="49">
        <f>VLOOKUP($A189,'Data shares'!$C:$FB,98)</f>
        <v>16453800</v>
      </c>
      <c r="G189" s="49">
        <f>VLOOKUP($A189,'Data shares'!$C:$FB,99)</f>
        <v>16413300</v>
      </c>
      <c r="H189" s="50">
        <f t="shared" si="13"/>
        <v>0.24675111037999672</v>
      </c>
      <c r="I189" s="49">
        <f>VLOOKUP($A189,'Data shares'!$C:$FB,66)</f>
        <v>6539400</v>
      </c>
      <c r="J189" s="49">
        <f>VLOOKUP($A189,'Data shares'!$C:$FB,67)</f>
        <v>5995800</v>
      </c>
      <c r="K189" s="50">
        <f t="shared" si="14"/>
        <v>8.3126892375447294</v>
      </c>
      <c r="L189" s="50">
        <f>VLOOKUP($A189,'Data shares'!$C:$FB,118)</f>
        <v>0.74</v>
      </c>
      <c r="M189" s="50">
        <f>VLOOKUP($A189,'Data shares'!$C:$FB,119)</f>
        <v>0.73</v>
      </c>
      <c r="N189" s="50">
        <f>VLOOKUP($A189,'Data shares'!$C:$FB,121)*100</f>
        <v>1.37</v>
      </c>
      <c r="O189" s="50">
        <f>VLOOKUP($A189,'Data shares'!$C:$FB,124)</f>
        <v>0.49</v>
      </c>
      <c r="P189" s="50">
        <f>VLOOKUP($A189,'Data shares'!$C:$FB,125)</f>
        <v>0.28999999999999998</v>
      </c>
      <c r="Q189" s="50">
        <f>VLOOKUP($A189,'Data shares'!$C:$FB,127)*100</f>
        <v>68.97</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3" t="s">
        <v>391</v>
      </c>
      <c r="B231" s="263"/>
      <c r="C231" s="263"/>
      <c r="D231" s="263"/>
      <c r="E231" s="263"/>
      <c r="F231" s="113">
        <f>SUM(F7:F172)</f>
        <v>18566704801</v>
      </c>
      <c r="G231" s="113">
        <f>SUM(G7:G172)</f>
        <v>18104485468</v>
      </c>
      <c r="H231" s="114">
        <f>(F231-G231)/G231*100</f>
        <v>2.5530652821754081</v>
      </c>
      <c r="I231" s="113">
        <f>SUM(I7:I172)</f>
        <v>12570505253</v>
      </c>
      <c r="J231" s="113">
        <f>SUM(J7:J172)</f>
        <v>11976410477</v>
      </c>
      <c r="K231" s="114">
        <f>(I231-J231)/J231*100</f>
        <v>4.9605412000609403</v>
      </c>
      <c r="L231" s="113"/>
      <c r="M231" s="113"/>
      <c r="N231" s="113"/>
      <c r="O231" s="113"/>
      <c r="P231" s="263"/>
      <c r="Q231" s="263"/>
    </row>
    <row r="232" spans="1:17" s="64" customFormat="1" x14ac:dyDescent="0.25">
      <c r="A232" s="263" t="s">
        <v>398</v>
      </c>
      <c r="B232" s="263"/>
      <c r="C232" s="263"/>
      <c r="D232" s="263"/>
      <c r="E232" s="263"/>
      <c r="F232" s="113">
        <f>F231/10000000</f>
        <v>1856.6704801000001</v>
      </c>
      <c r="G232" s="113">
        <f>G231/10000000</f>
        <v>1810.4485468</v>
      </c>
      <c r="H232" s="114">
        <f>(F232-G232)/G232*100</f>
        <v>2.5530652821754112</v>
      </c>
      <c r="I232" s="113">
        <f>I231/10000000</f>
        <v>1257.0505252999999</v>
      </c>
      <c r="J232" s="113">
        <f>J231/10000000</f>
        <v>1197.6410476999999</v>
      </c>
      <c r="K232" s="114">
        <f>(I232-J232)/J232*100</f>
        <v>4.9605412000609359</v>
      </c>
      <c r="L232" s="113"/>
      <c r="M232" s="113"/>
      <c r="N232" s="113"/>
      <c r="O232" s="113"/>
      <c r="P232" s="263"/>
      <c r="Q232" s="263"/>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L3" sqref="L3:L4"/>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(Value)'!H167</f>
        <v>1267480</v>
      </c>
      <c r="C3" s="159">
        <f>'OI(Volume)'!G163</f>
        <v>4.4999999999999997E-3</v>
      </c>
      <c r="D3" s="153">
        <f>'Snapshot (Value)'!P167</f>
        <v>0.84</v>
      </c>
      <c r="E3" s="153">
        <f>'Snapshot (Value)'!R167</f>
        <v>0.98</v>
      </c>
      <c r="F3" s="153">
        <f>IV!E163</f>
        <v>16.37</v>
      </c>
      <c r="G3" s="153">
        <f>IV!B163</f>
        <v>10.76</v>
      </c>
      <c r="H3" s="153">
        <f>'Snapshot (Value)'!C167</f>
        <v>25060.9</v>
      </c>
      <c r="I3" s="153">
        <f>'Snapshot (Value)'!D167</f>
        <v>25093.9</v>
      </c>
      <c r="J3" s="153">
        <f>'Snapshot (Value)'!E167</f>
        <v>25127.599999999999</v>
      </c>
      <c r="K3" s="153">
        <f>(I3-H3)</f>
        <v>33</v>
      </c>
      <c r="L3" s="232">
        <f>'Data Vlaue (Cr)'!R158</f>
        <v>25199</v>
      </c>
    </row>
    <row r="4" spans="1:12" x14ac:dyDescent="0.25">
      <c r="A4" t="s">
        <v>464</v>
      </c>
      <c r="B4" s="154">
        <f>'Snapshot (Value)'!H41</f>
        <v>271303</v>
      </c>
      <c r="C4" s="159">
        <f>'OI(Volume)'!G37</f>
        <v>-4.0000000000000001E-3</v>
      </c>
      <c r="D4" s="153">
        <f>'Snapshot (Value)'!P41</f>
        <v>0.81</v>
      </c>
      <c r="E4" s="153">
        <f>'Snapshot (Value)'!R39</f>
        <v>0.94</v>
      </c>
      <c r="F4" s="153">
        <f>IV!E37</f>
        <v>18.84</v>
      </c>
      <c r="G4" s="153">
        <f>IV!B37</f>
        <v>12.25</v>
      </c>
      <c r="H4" s="153">
        <f>'Snapshot (Value)'!C41</f>
        <v>56756</v>
      </c>
      <c r="I4" s="153">
        <f>'Snapshot (Value)'!D41</f>
        <v>56804.6</v>
      </c>
      <c r="J4" s="153">
        <f>'Snapshot (Value)'!E41</f>
        <v>56981.8</v>
      </c>
      <c r="K4" s="153">
        <f>(I4-H4)</f>
        <v>48.599999999998545</v>
      </c>
      <c r="L4" s="232">
        <f>'Data Vlaue (Cr)'!R32</f>
        <v>56970.8</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abSelected="1" workbookViewId="0">
      <selection activeCell="A3" sqref="A3:M30"/>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7" t="s">
        <v>393</v>
      </c>
      <c r="B1" s="329" t="s">
        <v>633</v>
      </c>
      <c r="C1" s="330"/>
      <c r="D1" s="331"/>
      <c r="E1" s="332" t="s">
        <v>634</v>
      </c>
      <c r="F1" s="333"/>
      <c r="G1" s="334"/>
      <c r="H1" s="335" t="s">
        <v>635</v>
      </c>
      <c r="I1" s="336"/>
      <c r="J1" s="337"/>
      <c r="K1" s="338" t="s">
        <v>636</v>
      </c>
      <c r="L1" s="339"/>
      <c r="M1" s="340"/>
    </row>
    <row r="2" spans="1:13" ht="26.25" thickBot="1" x14ac:dyDescent="0.25">
      <c r="A2" s="328"/>
      <c r="B2" s="201" t="s">
        <v>637</v>
      </c>
      <c r="C2" s="201" t="s">
        <v>638</v>
      </c>
      <c r="D2" s="201" t="s">
        <v>369</v>
      </c>
      <c r="E2" s="202" t="s">
        <v>637</v>
      </c>
      <c r="F2" s="202" t="s">
        <v>638</v>
      </c>
      <c r="G2" s="202" t="s">
        <v>369</v>
      </c>
      <c r="H2" s="203" t="s">
        <v>637</v>
      </c>
      <c r="I2" s="203" t="s">
        <v>638</v>
      </c>
      <c r="J2" s="203" t="s">
        <v>369</v>
      </c>
      <c r="K2" s="204" t="s">
        <v>637</v>
      </c>
      <c r="L2" s="204" t="s">
        <v>638</v>
      </c>
      <c r="M2" s="204" t="s">
        <v>369</v>
      </c>
    </row>
    <row r="3" spans="1:13" x14ac:dyDescent="0.2">
      <c r="A3" s="205" t="s">
        <v>639</v>
      </c>
      <c r="B3" s="206">
        <v>206633</v>
      </c>
      <c r="C3" s="206">
        <v>207135</v>
      </c>
      <c r="D3" s="207">
        <v>502</v>
      </c>
      <c r="E3" s="206">
        <v>66559</v>
      </c>
      <c r="F3" s="206">
        <v>65840</v>
      </c>
      <c r="G3" s="207">
        <v>-719</v>
      </c>
      <c r="H3" s="206">
        <v>31538</v>
      </c>
      <c r="I3" s="206">
        <v>30254</v>
      </c>
      <c r="J3" s="207">
        <v>-1284</v>
      </c>
      <c r="K3" s="206">
        <v>41845</v>
      </c>
      <c r="L3" s="206">
        <v>43873</v>
      </c>
      <c r="M3" s="207">
        <v>2028</v>
      </c>
    </row>
    <row r="4" spans="1:13" x14ac:dyDescent="0.2">
      <c r="A4" s="208" t="s">
        <v>640</v>
      </c>
      <c r="B4" s="206">
        <v>110812</v>
      </c>
      <c r="C4" s="206">
        <v>109190</v>
      </c>
      <c r="D4" s="207">
        <v>-1622</v>
      </c>
      <c r="E4" s="206">
        <v>29360</v>
      </c>
      <c r="F4" s="206">
        <v>29560</v>
      </c>
      <c r="G4" s="207">
        <v>200</v>
      </c>
      <c r="H4" s="206">
        <v>176782</v>
      </c>
      <c r="I4" s="206">
        <v>179708</v>
      </c>
      <c r="J4" s="207">
        <v>2926</v>
      </c>
      <c r="K4" s="206">
        <v>29621</v>
      </c>
      <c r="L4" s="206">
        <v>28644</v>
      </c>
      <c r="M4" s="207">
        <v>-977</v>
      </c>
    </row>
    <row r="5" spans="1:13" ht="13.5" thickBot="1" x14ac:dyDescent="0.25">
      <c r="A5" s="205" t="s">
        <v>641</v>
      </c>
      <c r="B5" s="206">
        <v>95821</v>
      </c>
      <c r="C5" s="206">
        <v>97945</v>
      </c>
      <c r="D5" s="209">
        <v>2124</v>
      </c>
      <c r="E5" s="206">
        <v>37199</v>
      </c>
      <c r="F5" s="206">
        <v>36280</v>
      </c>
      <c r="G5" s="209">
        <v>-919</v>
      </c>
      <c r="H5" s="210">
        <v>-145244</v>
      </c>
      <c r="I5" s="210">
        <v>-149454</v>
      </c>
      <c r="J5" s="209">
        <v>-4210</v>
      </c>
      <c r="K5" s="210">
        <v>12224</v>
      </c>
      <c r="L5" s="210">
        <v>15229</v>
      </c>
      <c r="M5" s="209">
        <v>3005</v>
      </c>
    </row>
    <row r="6" spans="1:13" ht="13.5" customHeight="1" thickBot="1" x14ac:dyDescent="0.25">
      <c r="A6" s="327" t="s">
        <v>642</v>
      </c>
      <c r="B6" s="329" t="s">
        <v>633</v>
      </c>
      <c r="C6" s="330"/>
      <c r="D6" s="331"/>
      <c r="E6" s="332" t="s">
        <v>634</v>
      </c>
      <c r="F6" s="333"/>
      <c r="G6" s="334"/>
      <c r="H6" s="335" t="s">
        <v>635</v>
      </c>
      <c r="I6" s="336"/>
      <c r="J6" s="337"/>
      <c r="K6" s="338" t="s">
        <v>636</v>
      </c>
      <c r="L6" s="339"/>
      <c r="M6" s="340"/>
    </row>
    <row r="7" spans="1:13" ht="26.25" thickBot="1" x14ac:dyDescent="0.25">
      <c r="A7" s="328"/>
      <c r="B7" s="201" t="s">
        <v>637</v>
      </c>
      <c r="C7" s="201" t="s">
        <v>638</v>
      </c>
      <c r="D7" s="201" t="s">
        <v>369</v>
      </c>
      <c r="E7" s="202" t="s">
        <v>637</v>
      </c>
      <c r="F7" s="202" t="s">
        <v>638</v>
      </c>
      <c r="G7" s="202" t="s">
        <v>369</v>
      </c>
      <c r="H7" s="203" t="s">
        <v>637</v>
      </c>
      <c r="I7" s="203" t="s">
        <v>638</v>
      </c>
      <c r="J7" s="203" t="s">
        <v>369</v>
      </c>
      <c r="K7" s="204" t="s">
        <v>637</v>
      </c>
      <c r="L7" s="204" t="s">
        <v>638</v>
      </c>
      <c r="M7" s="204" t="s">
        <v>369</v>
      </c>
    </row>
    <row r="8" spans="1:13" x14ac:dyDescent="0.2">
      <c r="A8" s="205" t="s">
        <v>639</v>
      </c>
      <c r="B8" s="206">
        <v>2290251</v>
      </c>
      <c r="C8" s="206">
        <v>2841025</v>
      </c>
      <c r="D8" s="207">
        <v>550774</v>
      </c>
      <c r="E8" s="206">
        <v>5911</v>
      </c>
      <c r="F8" s="206">
        <v>5911</v>
      </c>
      <c r="G8" s="207">
        <v>0</v>
      </c>
      <c r="H8" s="206">
        <v>350360</v>
      </c>
      <c r="I8" s="206">
        <v>404137</v>
      </c>
      <c r="J8" s="207">
        <v>53777</v>
      </c>
      <c r="K8" s="206">
        <v>1033307</v>
      </c>
      <c r="L8" s="206">
        <v>1097819</v>
      </c>
      <c r="M8" s="207">
        <v>64512</v>
      </c>
    </row>
    <row r="9" spans="1:13" x14ac:dyDescent="0.2">
      <c r="A9" s="208" t="s">
        <v>640</v>
      </c>
      <c r="B9" s="206">
        <v>2486062</v>
      </c>
      <c r="C9" s="206">
        <v>2864195</v>
      </c>
      <c r="D9" s="207">
        <v>378133</v>
      </c>
      <c r="E9" s="206">
        <v>0</v>
      </c>
      <c r="F9" s="206">
        <v>0</v>
      </c>
      <c r="G9" s="207">
        <v>0</v>
      </c>
      <c r="H9" s="206">
        <v>351746</v>
      </c>
      <c r="I9" s="206">
        <v>424169</v>
      </c>
      <c r="J9" s="207">
        <v>72423</v>
      </c>
      <c r="K9" s="206">
        <v>842021</v>
      </c>
      <c r="L9" s="206">
        <v>1060528</v>
      </c>
      <c r="M9" s="207">
        <v>218507</v>
      </c>
    </row>
    <row r="10" spans="1:13" ht="13.5" thickBot="1" x14ac:dyDescent="0.25">
      <c r="A10" s="205" t="s">
        <v>641</v>
      </c>
      <c r="B10" s="206">
        <v>-195811</v>
      </c>
      <c r="C10" s="206">
        <v>-23170</v>
      </c>
      <c r="D10" s="209">
        <v>172641</v>
      </c>
      <c r="E10" s="206">
        <v>5911</v>
      </c>
      <c r="F10" s="206">
        <v>5911</v>
      </c>
      <c r="G10" s="209">
        <v>0</v>
      </c>
      <c r="H10" s="206">
        <v>-1386</v>
      </c>
      <c r="I10" s="206">
        <v>-20032</v>
      </c>
      <c r="J10" s="209">
        <v>-18646</v>
      </c>
      <c r="K10" s="210">
        <v>191286</v>
      </c>
      <c r="L10" s="210">
        <v>37291</v>
      </c>
      <c r="M10" s="209">
        <v>-153995</v>
      </c>
    </row>
    <row r="11" spans="1:13" ht="13.5" customHeight="1" thickBot="1" x14ac:dyDescent="0.25">
      <c r="A11" s="327" t="s">
        <v>643</v>
      </c>
      <c r="B11" s="329" t="s">
        <v>633</v>
      </c>
      <c r="C11" s="330"/>
      <c r="D11" s="331"/>
      <c r="E11" s="332" t="s">
        <v>634</v>
      </c>
      <c r="F11" s="333"/>
      <c r="G11" s="334"/>
      <c r="H11" s="335" t="s">
        <v>635</v>
      </c>
      <c r="I11" s="336"/>
      <c r="J11" s="337"/>
      <c r="K11" s="338" t="s">
        <v>636</v>
      </c>
      <c r="L11" s="339"/>
      <c r="M11" s="340"/>
    </row>
    <row r="12" spans="1:13" ht="26.25" thickBot="1" x14ac:dyDescent="0.25">
      <c r="A12" s="328"/>
      <c r="B12" s="201" t="s">
        <v>637</v>
      </c>
      <c r="C12" s="201" t="s">
        <v>638</v>
      </c>
      <c r="D12" s="201" t="s">
        <v>369</v>
      </c>
      <c r="E12" s="202" t="s">
        <v>637</v>
      </c>
      <c r="F12" s="202" t="s">
        <v>638</v>
      </c>
      <c r="G12" s="202" t="s">
        <v>369</v>
      </c>
      <c r="H12" s="203" t="s">
        <v>637</v>
      </c>
      <c r="I12" s="203" t="s">
        <v>638</v>
      </c>
      <c r="J12" s="203" t="s">
        <v>369</v>
      </c>
      <c r="K12" s="204" t="s">
        <v>637</v>
      </c>
      <c r="L12" s="204" t="s">
        <v>638</v>
      </c>
      <c r="M12" s="204" t="s">
        <v>369</v>
      </c>
    </row>
    <row r="13" spans="1:13" x14ac:dyDescent="0.2">
      <c r="A13" s="205" t="s">
        <v>639</v>
      </c>
      <c r="B13" s="206">
        <v>1920424</v>
      </c>
      <c r="C13" s="206">
        <v>1996706</v>
      </c>
      <c r="D13" s="207">
        <v>76282</v>
      </c>
      <c r="E13" s="206">
        <v>14283</v>
      </c>
      <c r="F13" s="206">
        <v>14283</v>
      </c>
      <c r="G13" s="207">
        <v>0</v>
      </c>
      <c r="H13" s="206">
        <v>474567</v>
      </c>
      <c r="I13" s="206">
        <v>528219</v>
      </c>
      <c r="J13" s="207">
        <v>53652</v>
      </c>
      <c r="K13" s="206">
        <v>1052479</v>
      </c>
      <c r="L13" s="206">
        <v>1080196</v>
      </c>
      <c r="M13" s="207">
        <v>27717</v>
      </c>
    </row>
    <row r="14" spans="1:13" x14ac:dyDescent="0.2">
      <c r="A14" s="208" t="s">
        <v>640</v>
      </c>
      <c r="B14" s="206">
        <v>2311413</v>
      </c>
      <c r="C14" s="206">
        <v>2405211</v>
      </c>
      <c r="D14" s="207">
        <v>93798</v>
      </c>
      <c r="E14" s="206">
        <v>0</v>
      </c>
      <c r="F14" s="206">
        <v>0</v>
      </c>
      <c r="G14" s="207">
        <v>0</v>
      </c>
      <c r="H14" s="206">
        <v>322862</v>
      </c>
      <c r="I14" s="206">
        <v>350391</v>
      </c>
      <c r="J14" s="207">
        <v>27529</v>
      </c>
      <c r="K14" s="206">
        <v>827477</v>
      </c>
      <c r="L14" s="206">
        <v>863802</v>
      </c>
      <c r="M14" s="207">
        <v>36325</v>
      </c>
    </row>
    <row r="15" spans="1:13" ht="13.5" thickBot="1" x14ac:dyDescent="0.25">
      <c r="A15" s="205" t="s">
        <v>641</v>
      </c>
      <c r="B15" s="210">
        <v>-390989</v>
      </c>
      <c r="C15" s="210">
        <v>-408505</v>
      </c>
      <c r="D15" s="209">
        <v>-17516</v>
      </c>
      <c r="E15" s="206">
        <v>14283</v>
      </c>
      <c r="F15" s="206">
        <v>14283</v>
      </c>
      <c r="G15" s="209">
        <v>0</v>
      </c>
      <c r="H15" s="206">
        <v>151705</v>
      </c>
      <c r="I15" s="206">
        <v>177828</v>
      </c>
      <c r="J15" s="209">
        <v>26123</v>
      </c>
      <c r="K15" s="210">
        <v>225002</v>
      </c>
      <c r="L15" s="210">
        <v>216394</v>
      </c>
      <c r="M15" s="209">
        <v>-8608</v>
      </c>
    </row>
    <row r="16" spans="1:13" ht="13.5" thickBot="1" x14ac:dyDescent="0.25">
      <c r="A16" s="327" t="s">
        <v>395</v>
      </c>
      <c r="B16" s="329" t="s">
        <v>633</v>
      </c>
      <c r="C16" s="330"/>
      <c r="D16" s="331"/>
      <c r="E16" s="332" t="s">
        <v>634</v>
      </c>
      <c r="F16" s="333"/>
      <c r="G16" s="334"/>
      <c r="H16" s="335" t="s">
        <v>635</v>
      </c>
      <c r="I16" s="336"/>
      <c r="J16" s="337"/>
      <c r="K16" s="338" t="s">
        <v>636</v>
      </c>
      <c r="L16" s="339"/>
      <c r="M16" s="340"/>
    </row>
    <row r="17" spans="1:13" ht="26.25" thickBot="1" x14ac:dyDescent="0.25">
      <c r="A17" s="328"/>
      <c r="B17" s="201" t="s">
        <v>637</v>
      </c>
      <c r="C17" s="201" t="s">
        <v>638</v>
      </c>
      <c r="D17" s="201" t="s">
        <v>369</v>
      </c>
      <c r="E17" s="202" t="s">
        <v>637</v>
      </c>
      <c r="F17" s="202" t="s">
        <v>638</v>
      </c>
      <c r="G17" s="202" t="s">
        <v>369</v>
      </c>
      <c r="H17" s="203" t="s">
        <v>637</v>
      </c>
      <c r="I17" s="203" t="s">
        <v>638</v>
      </c>
      <c r="J17" s="203" t="s">
        <v>369</v>
      </c>
      <c r="K17" s="204" t="s">
        <v>637</v>
      </c>
      <c r="L17" s="204" t="s">
        <v>638</v>
      </c>
      <c r="M17" s="204" t="s">
        <v>369</v>
      </c>
    </row>
    <row r="18" spans="1:13" x14ac:dyDescent="0.2">
      <c r="A18" s="205" t="s">
        <v>639</v>
      </c>
      <c r="B18" s="206">
        <v>2559885</v>
      </c>
      <c r="C18" s="206">
        <v>2593875</v>
      </c>
      <c r="D18" s="207">
        <v>33990</v>
      </c>
      <c r="E18" s="206">
        <v>197637</v>
      </c>
      <c r="F18" s="206">
        <v>204186</v>
      </c>
      <c r="G18" s="207">
        <v>6549</v>
      </c>
      <c r="H18" s="206">
        <v>3438974</v>
      </c>
      <c r="I18" s="206">
        <v>3426583</v>
      </c>
      <c r="J18" s="207">
        <v>-12391</v>
      </c>
      <c r="K18" s="206">
        <v>798047</v>
      </c>
      <c r="L18" s="206">
        <v>816220</v>
      </c>
      <c r="M18" s="207">
        <v>18173</v>
      </c>
    </row>
    <row r="19" spans="1:13" x14ac:dyDescent="0.2">
      <c r="A19" s="208" t="s">
        <v>640</v>
      </c>
      <c r="B19" s="206">
        <v>357432</v>
      </c>
      <c r="C19" s="206">
        <v>367124</v>
      </c>
      <c r="D19" s="207">
        <v>9692</v>
      </c>
      <c r="E19" s="206">
        <v>4185557</v>
      </c>
      <c r="F19" s="206">
        <v>4180362</v>
      </c>
      <c r="G19" s="207">
        <v>-5195</v>
      </c>
      <c r="H19" s="206">
        <v>2101582</v>
      </c>
      <c r="I19" s="206">
        <v>2117650</v>
      </c>
      <c r="J19" s="207">
        <v>16068</v>
      </c>
      <c r="K19" s="206">
        <v>349972</v>
      </c>
      <c r="L19" s="206">
        <v>375728</v>
      </c>
      <c r="M19" s="207">
        <v>25756</v>
      </c>
    </row>
    <row r="20" spans="1:13" ht="13.5" thickBot="1" x14ac:dyDescent="0.25">
      <c r="A20" s="205" t="s">
        <v>641</v>
      </c>
      <c r="B20" s="206">
        <v>2202453</v>
      </c>
      <c r="C20" s="206">
        <v>2226751</v>
      </c>
      <c r="D20" s="209">
        <v>24298</v>
      </c>
      <c r="E20" s="210">
        <v>-3987920</v>
      </c>
      <c r="F20" s="210">
        <v>-3976176</v>
      </c>
      <c r="G20" s="209">
        <v>11744</v>
      </c>
      <c r="H20" s="206">
        <v>1337392</v>
      </c>
      <c r="I20" s="206">
        <v>1308933</v>
      </c>
      <c r="J20" s="209">
        <v>-28459</v>
      </c>
      <c r="K20" s="206">
        <v>448075</v>
      </c>
      <c r="L20" s="206">
        <v>440492</v>
      </c>
      <c r="M20" s="209">
        <v>-7583</v>
      </c>
    </row>
    <row r="21" spans="1:13" ht="13.5" customHeight="1" thickBot="1" x14ac:dyDescent="0.25">
      <c r="A21" s="327" t="s">
        <v>644</v>
      </c>
      <c r="B21" s="329" t="s">
        <v>633</v>
      </c>
      <c r="C21" s="330"/>
      <c r="D21" s="331"/>
      <c r="E21" s="332" t="s">
        <v>634</v>
      </c>
      <c r="F21" s="333"/>
      <c r="G21" s="334"/>
      <c r="H21" s="335" t="s">
        <v>635</v>
      </c>
      <c r="I21" s="336"/>
      <c r="J21" s="337"/>
      <c r="K21" s="338" t="s">
        <v>636</v>
      </c>
      <c r="L21" s="339"/>
      <c r="M21" s="340"/>
    </row>
    <row r="22" spans="1:13" ht="26.25" thickBot="1" x14ac:dyDescent="0.25">
      <c r="A22" s="328"/>
      <c r="B22" s="201" t="s">
        <v>637</v>
      </c>
      <c r="C22" s="201" t="s">
        <v>638</v>
      </c>
      <c r="D22" s="201" t="s">
        <v>369</v>
      </c>
      <c r="E22" s="202" t="s">
        <v>637</v>
      </c>
      <c r="F22" s="202" t="s">
        <v>638</v>
      </c>
      <c r="G22" s="202" t="s">
        <v>369</v>
      </c>
      <c r="H22" s="203" t="s">
        <v>637</v>
      </c>
      <c r="I22" s="203" t="s">
        <v>638</v>
      </c>
      <c r="J22" s="203" t="s">
        <v>369</v>
      </c>
      <c r="K22" s="204" t="s">
        <v>637</v>
      </c>
      <c r="L22" s="204" t="s">
        <v>638</v>
      </c>
      <c r="M22" s="204" t="s">
        <v>369</v>
      </c>
    </row>
    <row r="23" spans="1:13" x14ac:dyDescent="0.2">
      <c r="A23" s="205" t="s">
        <v>639</v>
      </c>
      <c r="B23" s="206">
        <v>2482030</v>
      </c>
      <c r="C23" s="206">
        <v>2549349</v>
      </c>
      <c r="D23" s="207">
        <v>67319</v>
      </c>
      <c r="E23" s="206">
        <v>2086</v>
      </c>
      <c r="F23" s="206">
        <v>2086</v>
      </c>
      <c r="G23" s="207">
        <v>0</v>
      </c>
      <c r="H23" s="206">
        <v>177034</v>
      </c>
      <c r="I23" s="206">
        <v>181416</v>
      </c>
      <c r="J23" s="207">
        <v>4382</v>
      </c>
      <c r="K23" s="206">
        <v>966980</v>
      </c>
      <c r="L23" s="206">
        <v>979918</v>
      </c>
      <c r="M23" s="207">
        <v>12938</v>
      </c>
    </row>
    <row r="24" spans="1:13" x14ac:dyDescent="0.2">
      <c r="A24" s="208" t="s">
        <v>640</v>
      </c>
      <c r="B24" s="206">
        <v>1426779</v>
      </c>
      <c r="C24" s="206">
        <v>1443906</v>
      </c>
      <c r="D24" s="207">
        <v>17127</v>
      </c>
      <c r="E24" s="206">
        <v>409798</v>
      </c>
      <c r="F24" s="206">
        <v>413307</v>
      </c>
      <c r="G24" s="207">
        <v>3509</v>
      </c>
      <c r="H24" s="206">
        <v>260360</v>
      </c>
      <c r="I24" s="206">
        <v>265671</v>
      </c>
      <c r="J24" s="207">
        <v>5311</v>
      </c>
      <c r="K24" s="206">
        <v>1531193</v>
      </c>
      <c r="L24" s="206">
        <v>1589885</v>
      </c>
      <c r="M24" s="207">
        <v>58692</v>
      </c>
    </row>
    <row r="25" spans="1:13" ht="13.5" thickBot="1" x14ac:dyDescent="0.25">
      <c r="A25" s="205" t="s">
        <v>641</v>
      </c>
      <c r="B25" s="206">
        <v>1055251</v>
      </c>
      <c r="C25" s="206">
        <v>1105443</v>
      </c>
      <c r="D25" s="209">
        <v>50192</v>
      </c>
      <c r="E25" s="210">
        <v>-407712</v>
      </c>
      <c r="F25" s="210">
        <v>-411221</v>
      </c>
      <c r="G25" s="209">
        <v>-3509</v>
      </c>
      <c r="H25" s="210">
        <v>-83326</v>
      </c>
      <c r="I25" s="210">
        <v>-84255</v>
      </c>
      <c r="J25" s="209">
        <v>-929</v>
      </c>
      <c r="K25" s="210">
        <v>-564213</v>
      </c>
      <c r="L25" s="210">
        <v>-609967</v>
      </c>
      <c r="M25" s="209">
        <v>-45754</v>
      </c>
    </row>
    <row r="26" spans="1:13" ht="13.5" thickBot="1" x14ac:dyDescent="0.25">
      <c r="A26" s="327" t="s">
        <v>645</v>
      </c>
      <c r="B26" s="329" t="s">
        <v>633</v>
      </c>
      <c r="C26" s="330"/>
      <c r="D26" s="331"/>
      <c r="E26" s="332" t="s">
        <v>634</v>
      </c>
      <c r="F26" s="333"/>
      <c r="G26" s="334"/>
      <c r="H26" s="335" t="s">
        <v>635</v>
      </c>
      <c r="I26" s="336"/>
      <c r="J26" s="337"/>
      <c r="K26" s="338" t="s">
        <v>636</v>
      </c>
      <c r="L26" s="339"/>
      <c r="M26" s="340"/>
    </row>
    <row r="27" spans="1:13" ht="26.25" thickBot="1" x14ac:dyDescent="0.25">
      <c r="A27" s="328"/>
      <c r="B27" s="201" t="s">
        <v>637</v>
      </c>
      <c r="C27" s="201" t="s">
        <v>638</v>
      </c>
      <c r="D27" s="201" t="s">
        <v>369</v>
      </c>
      <c r="E27" s="202" t="s">
        <v>637</v>
      </c>
      <c r="F27" s="202" t="s">
        <v>638</v>
      </c>
      <c r="G27" s="202" t="s">
        <v>369</v>
      </c>
      <c r="H27" s="203" t="s">
        <v>637</v>
      </c>
      <c r="I27" s="203" t="s">
        <v>638</v>
      </c>
      <c r="J27" s="203" t="s">
        <v>369</v>
      </c>
      <c r="K27" s="204" t="s">
        <v>637</v>
      </c>
      <c r="L27" s="204" t="s">
        <v>638</v>
      </c>
      <c r="M27" s="204" t="s">
        <v>369</v>
      </c>
    </row>
    <row r="28" spans="1:13" x14ac:dyDescent="0.2">
      <c r="A28" s="205" t="s">
        <v>639</v>
      </c>
      <c r="B28" s="206">
        <v>802340</v>
      </c>
      <c r="C28" s="206">
        <v>807623</v>
      </c>
      <c r="D28" s="207">
        <v>5283</v>
      </c>
      <c r="E28" s="206">
        <v>415</v>
      </c>
      <c r="F28" s="206">
        <v>415</v>
      </c>
      <c r="G28" s="207">
        <v>0</v>
      </c>
      <c r="H28" s="206">
        <v>188378</v>
      </c>
      <c r="I28" s="206">
        <v>194032</v>
      </c>
      <c r="J28" s="207">
        <v>5654</v>
      </c>
      <c r="K28" s="206">
        <v>1049116</v>
      </c>
      <c r="L28" s="206">
        <v>1092407</v>
      </c>
      <c r="M28" s="207">
        <v>43291</v>
      </c>
    </row>
    <row r="29" spans="1:13" x14ac:dyDescent="0.2">
      <c r="A29" s="208" t="s">
        <v>640</v>
      </c>
      <c r="B29" s="206">
        <v>1116398</v>
      </c>
      <c r="C29" s="206">
        <v>1142020</v>
      </c>
      <c r="D29" s="207">
        <v>25622</v>
      </c>
      <c r="E29" s="206">
        <v>0</v>
      </c>
      <c r="F29" s="206">
        <v>0</v>
      </c>
      <c r="G29" s="207">
        <v>0</v>
      </c>
      <c r="H29" s="206">
        <v>191932</v>
      </c>
      <c r="I29" s="206">
        <v>196946</v>
      </c>
      <c r="J29" s="207">
        <v>5014</v>
      </c>
      <c r="K29" s="206">
        <v>731919</v>
      </c>
      <c r="L29" s="206">
        <v>755511</v>
      </c>
      <c r="M29" s="207">
        <v>23592</v>
      </c>
    </row>
    <row r="30" spans="1:13" ht="13.5" thickBot="1" x14ac:dyDescent="0.25">
      <c r="A30" s="211" t="s">
        <v>641</v>
      </c>
      <c r="B30" s="212">
        <v>-314058</v>
      </c>
      <c r="C30" s="212">
        <v>-334397</v>
      </c>
      <c r="D30" s="213">
        <v>-20339</v>
      </c>
      <c r="E30" s="214">
        <v>415</v>
      </c>
      <c r="F30" s="214">
        <v>415</v>
      </c>
      <c r="G30" s="213">
        <v>0</v>
      </c>
      <c r="H30" s="214">
        <v>-3554</v>
      </c>
      <c r="I30" s="214">
        <v>-2914</v>
      </c>
      <c r="J30" s="213">
        <v>640</v>
      </c>
      <c r="K30" s="214">
        <v>317197</v>
      </c>
      <c r="L30" s="214">
        <v>336896</v>
      </c>
      <c r="M30" s="213">
        <v>19699</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648</v>
      </c>
      <c r="B1" s="216" t="s">
        <v>249</v>
      </c>
      <c r="C1" s="200"/>
      <c r="D1" s="200"/>
    </row>
    <row r="2" spans="1:4" x14ac:dyDescent="0.25">
      <c r="A2" s="217" t="s">
        <v>649</v>
      </c>
      <c r="B2" s="218">
        <f>VLOOKUP($B$1,'Snapshot (Value)'!$A:$S,2,0)</f>
        <v>175</v>
      </c>
      <c r="C2" s="200"/>
      <c r="D2" s="200"/>
    </row>
    <row r="3" spans="1:4" x14ac:dyDescent="0.25">
      <c r="A3" s="217" t="s">
        <v>312</v>
      </c>
      <c r="B3" s="219">
        <f>VLOOKUP($B$1,'Snapshot (Value)'!$A:$S,3,0)</f>
        <v>3464.6</v>
      </c>
      <c r="C3" s="200"/>
      <c r="D3" s="200"/>
    </row>
    <row r="4" spans="1:4" x14ac:dyDescent="0.25">
      <c r="A4" s="217" t="s">
        <v>320</v>
      </c>
      <c r="B4" s="220">
        <f>VLOOKUP($B$1,'Snapshot (Value)'!$A:$S,6,0)</f>
        <v>10.599999999999909</v>
      </c>
      <c r="C4" s="200"/>
      <c r="D4" s="200"/>
    </row>
    <row r="5" spans="1:4" x14ac:dyDescent="0.25">
      <c r="A5" s="221"/>
      <c r="B5" s="222" t="s">
        <v>650</v>
      </c>
      <c r="C5" s="222" t="s">
        <v>651</v>
      </c>
      <c r="D5" s="222" t="s">
        <v>652</v>
      </c>
    </row>
    <row r="6" spans="1:4" x14ac:dyDescent="0.25">
      <c r="A6" s="217" t="s">
        <v>653</v>
      </c>
      <c r="B6" s="219">
        <f>VLOOKUP($B$1,'Snapshot (Value)'!$A:$S,4,0)</f>
        <v>3475.2</v>
      </c>
      <c r="C6" s="219">
        <f>VLOOKUP($B$1,'Snapshot (Value)'!$A:$S,5,0)</f>
        <v>3510</v>
      </c>
      <c r="D6" s="219">
        <f>+(B6/C6-1)*100</f>
        <v>-0.99145299145300125</v>
      </c>
    </row>
    <row r="7" spans="1:4" x14ac:dyDescent="0.25">
      <c r="A7" s="217" t="s">
        <v>316</v>
      </c>
      <c r="B7" s="219">
        <f>VLOOKUP($B$1,'Snapshot (Volume)'!$A:$S,12,0)</f>
        <v>0.39</v>
      </c>
      <c r="C7" s="219">
        <f>VLOOKUP($B$1,'Snapshot (Volume)'!$A:$S,13,0)</f>
        <v>0.38</v>
      </c>
      <c r="D7" s="219">
        <f>+(B7/C7-1)*100</f>
        <v>2.6315789473684292</v>
      </c>
    </row>
    <row r="8" spans="1:4" x14ac:dyDescent="0.25">
      <c r="A8" s="217" t="s">
        <v>654</v>
      </c>
      <c r="B8" s="219">
        <f>VLOOKUP($B$1,'Snapshot (Volume)'!$A:$S,15,0)</f>
        <v>0.27</v>
      </c>
      <c r="C8" s="219">
        <f>VLOOKUP($B$1,'Snapshot (Volume)'!$A:$S,16,0)</f>
        <v>0.33</v>
      </c>
      <c r="D8" s="219">
        <f>+(B8/C8-1)*100</f>
        <v>-18.181818181818176</v>
      </c>
    </row>
    <row r="9" spans="1:4" x14ac:dyDescent="0.25">
      <c r="A9" s="215" t="s">
        <v>655</v>
      </c>
      <c r="B9" s="222" t="s">
        <v>656</v>
      </c>
      <c r="C9" s="222" t="s">
        <v>369</v>
      </c>
      <c r="D9" s="222" t="s">
        <v>652</v>
      </c>
    </row>
    <row r="10" spans="1:4" x14ac:dyDescent="0.25">
      <c r="A10" s="217" t="s">
        <v>657</v>
      </c>
      <c r="B10" s="219">
        <f>VLOOKUP($B$1,'OI(Value)'!$A:$O,5,0)</f>
        <v>6147</v>
      </c>
      <c r="C10" s="219">
        <f>VLOOKUP($B$1,'OI(Value)'!$A:$O,6,0)</f>
        <v>122</v>
      </c>
      <c r="D10" s="219">
        <f>VLOOKUP($B$1,'OI(Value)'!$A:$O,7,0)*100</f>
        <v>2.0299999999999998</v>
      </c>
    </row>
    <row r="11" spans="1:4" x14ac:dyDescent="0.25">
      <c r="A11" s="217" t="s">
        <v>658</v>
      </c>
      <c r="B11" s="219">
        <f>VLOOKUP($B$1,'OI(Value)'!$A:$O,8,0)</f>
        <v>3249</v>
      </c>
      <c r="C11" s="219">
        <f>VLOOKUP($B$1,'OI(Value)'!$A:$O,9,0)</f>
        <v>48</v>
      </c>
      <c r="D11" s="219">
        <f>VLOOKUP($B$1,'OI(Value)'!$A:$O,10,0)*100</f>
        <v>1.49</v>
      </c>
    </row>
    <row r="12" spans="1:4" x14ac:dyDescent="0.25">
      <c r="A12" s="217" t="s">
        <v>659</v>
      </c>
      <c r="B12" s="219">
        <f>VLOOKUP($B$1,'OI(Value)'!$A:$O,11,0)</f>
        <v>1266</v>
      </c>
      <c r="C12" s="219">
        <f>VLOOKUP($B$1,'OI(Value)'!$A:$O,12,0)</f>
        <v>38</v>
      </c>
      <c r="D12" s="219">
        <f>VLOOKUP($B$1,'OI(Value)'!$A:$O,13,0)*100</f>
        <v>3.05</v>
      </c>
    </row>
    <row r="13" spans="1:4" x14ac:dyDescent="0.25">
      <c r="A13" s="215" t="s">
        <v>660</v>
      </c>
      <c r="B13" s="223">
        <f>VLOOKUP($B$1,'OI(Value)'!$A:$O,2,0)</f>
        <v>10663</v>
      </c>
      <c r="C13" s="223">
        <f>VLOOKUP($B$1,'OI(Value)'!$A:$O,3,0)</f>
        <v>207</v>
      </c>
      <c r="D13" s="223">
        <f>VLOOKUP($B$1,'OI(Value)'!$A:$O,4,0)*100</f>
        <v>1.9800000000000002</v>
      </c>
    </row>
    <row r="14" spans="1:4" x14ac:dyDescent="0.25">
      <c r="A14" s="215" t="s">
        <v>661</v>
      </c>
      <c r="B14" s="222" t="s">
        <v>662</v>
      </c>
      <c r="C14" s="222" t="s">
        <v>369</v>
      </c>
      <c r="D14" s="222" t="s">
        <v>652</v>
      </c>
    </row>
    <row r="15" spans="1:4" x14ac:dyDescent="0.25">
      <c r="A15" s="217" t="s">
        <v>657</v>
      </c>
      <c r="B15" s="219">
        <f>VLOOKUP($B$1,'OI(Volume)'!$A:$O,5,0)/10^5</f>
        <v>176.88650000000001</v>
      </c>
      <c r="C15" s="219">
        <f>VLOOKUP($B$1,'OI(Volume)'!$A:$O,6,0)/10^5</f>
        <v>3.51925</v>
      </c>
      <c r="D15" s="219">
        <f>(VLOOKUP($B$1,'OI(Volume)'!$A:$O,7,0))*100</f>
        <v>2.0299999999999998</v>
      </c>
    </row>
    <row r="16" spans="1:4" x14ac:dyDescent="0.25">
      <c r="A16" s="217" t="s">
        <v>658</v>
      </c>
      <c r="B16" s="219">
        <f>VLOOKUP($B$1,'OI(Volume)'!$A:$O,8,0)/10^5</f>
        <v>93.493750000000006</v>
      </c>
      <c r="C16" s="219">
        <f>VLOOKUP($B$1,'OI(Volume)'!$A:$O,9,0)/10^5</f>
        <v>1.37025</v>
      </c>
      <c r="D16" s="219">
        <f>(VLOOKUP($B$1,'OI(Volume)'!$A:$O,10,0))*100</f>
        <v>1.49</v>
      </c>
    </row>
    <row r="17" spans="1:4" x14ac:dyDescent="0.25">
      <c r="A17" s="217" t="s">
        <v>659</v>
      </c>
      <c r="B17" s="219">
        <f>VLOOKUP($B$1,'OI(Volume)'!$A:$O,11,0)/10^5</f>
        <v>36.442</v>
      </c>
      <c r="C17" s="219">
        <f>VLOOKUP($B$1,'OI(Volume)'!$A:$O,12,0)/10^5</f>
        <v>1.07975</v>
      </c>
      <c r="D17" s="219">
        <f>(VLOOKUP($B$1,'OI(Volume)'!$A:$O,13,0))*100</f>
        <v>3.05</v>
      </c>
    </row>
    <row r="18" spans="1:4" x14ac:dyDescent="0.25">
      <c r="A18" s="215" t="s">
        <v>663</v>
      </c>
      <c r="B18" s="223">
        <f>VLOOKUP($B$1,'OI(Volume)'!$A:$O,2,0)/10^5</f>
        <v>306.82225</v>
      </c>
      <c r="C18" s="223">
        <f>VLOOKUP($B$1,'OI(Volume)'!$A:$O,3,0)/10^5</f>
        <v>5.9692499999999997</v>
      </c>
      <c r="D18" s="223">
        <f>(VLOOKUP($B$1,'OI(Volume)'!$A:$O,4,0))*100</f>
        <v>1.9800000000000002</v>
      </c>
    </row>
    <row r="20" spans="1:4" x14ac:dyDescent="0.25">
      <c r="A20" s="17" t="s">
        <v>417</v>
      </c>
      <c r="B20" s="224">
        <f>VLOOKUP($B$1,'Open Interest Position'!$A:$F,2,0)/10^5</f>
        <v>2719.0955199999999</v>
      </c>
    </row>
    <row r="21" spans="1:4" x14ac:dyDescent="0.25">
      <c r="A21" s="17" t="s">
        <v>412</v>
      </c>
      <c r="B21" s="224">
        <f>VLOOKUP($B$1,'Open Interest Position'!$A:$F,3,0)/10^5</f>
        <v>302.69049999999999</v>
      </c>
    </row>
    <row r="22" spans="1:4" x14ac:dyDescent="0.25">
      <c r="A22" s="17" t="s">
        <v>418</v>
      </c>
      <c r="B22" s="224">
        <f>VLOOKUP($B$1,'Open Interest Position'!$A:$F,4,0)/10^5</f>
        <v>4267.9506000000001</v>
      </c>
    </row>
    <row r="23" spans="1:4" x14ac:dyDescent="0.25">
      <c r="A23" s="17" t="s">
        <v>419</v>
      </c>
      <c r="B23" s="225">
        <f>VLOOKUP($B$1,'Open Interest Position'!$A:$F,6,0)</f>
        <v>0.11132028932915163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45860</v>
      </c>
      <c r="E6" s="66" t="s">
        <v>368</v>
      </c>
      <c r="F6" s="71" t="s">
        <v>333</v>
      </c>
      <c r="G6" s="71" t="s">
        <v>328</v>
      </c>
      <c r="H6" s="66">
        <f>D6</f>
        <v>45860</v>
      </c>
      <c r="I6" s="71" t="s">
        <v>322</v>
      </c>
      <c r="J6" s="71" t="s">
        <v>328</v>
      </c>
      <c r="K6" s="66">
        <f>D6</f>
        <v>45860</v>
      </c>
      <c r="L6" s="78" t="s">
        <v>333</v>
      </c>
      <c r="M6" s="78" t="s">
        <v>328</v>
      </c>
      <c r="N6" s="66">
        <f>D6</f>
        <v>45860</v>
      </c>
      <c r="O6" s="78" t="s">
        <v>322</v>
      </c>
      <c r="P6" s="78" t="s">
        <v>328</v>
      </c>
    </row>
    <row r="7" spans="1:36" x14ac:dyDescent="0.25">
      <c r="A7" s="79" t="str">
        <f>'Data shares'!B2</f>
        <v>Finance</v>
      </c>
      <c r="B7" s="79" t="str">
        <f>'Data shares'!C2</f>
        <v>360ONE</v>
      </c>
      <c r="C7" s="79">
        <f>VLOOKUP($B7,'Data shares'!$C:$FB,7)</f>
        <v>1144.0999999999999</v>
      </c>
      <c r="D7" s="165">
        <f>VLOOKUP($B7,'Data shares'!$C:$FB,98)</f>
        <v>7964500</v>
      </c>
      <c r="E7" s="165">
        <f>VLOOKUP(B7,'Snapshot (Volume)'!$A$7:$G$168,7,0)</f>
        <v>3379500</v>
      </c>
      <c r="F7" s="165">
        <f>D7-E7</f>
        <v>4585000</v>
      </c>
      <c r="G7" s="166">
        <f>F7/E7</f>
        <v>1.356709572421956</v>
      </c>
      <c r="H7" s="165">
        <f>VLOOKUP($B7,'Data shares'!$C:$FB,66)</f>
        <v>22201000</v>
      </c>
      <c r="I7" s="165">
        <f>VLOOKUP($B7,'Data shares'!$C:$FB,67)</f>
        <v>3594000</v>
      </c>
      <c r="J7" s="81">
        <f>(H7-I7)/I7*100</f>
        <v>517.7239844184752</v>
      </c>
      <c r="K7" s="81">
        <f>VLOOKUP($B7,'Data Vlaue (Cr)'!$C:$FB,99)</f>
        <v>911</v>
      </c>
      <c r="L7" s="81">
        <f>VLOOKUP(B7,'OI(Value)'!$A$7:$C$209,3,0)</f>
        <v>524</v>
      </c>
      <c r="M7" s="81">
        <f t="shared" ref="M7:M36" si="0">L7/K7*100</f>
        <v>57.519209659714598</v>
      </c>
      <c r="N7" s="81">
        <f>VLOOKUP($B7,'Data Vlaue (Cr)'!$C:$FB,67)</f>
        <v>2538</v>
      </c>
      <c r="O7" s="81">
        <f>VLOOKUP($B7,'Data Vlaue (Cr)'!$C:$FB,68)</f>
        <v>411</v>
      </c>
      <c r="P7" s="81">
        <f t="shared" ref="P7:P23" si="1">(N7-O7)/N7*100</f>
        <v>83.806146572104026</v>
      </c>
      <c r="Q7" s="1"/>
      <c r="R7" s="1"/>
      <c r="S7" s="1"/>
      <c r="T7" s="1"/>
      <c r="U7" s="1"/>
      <c r="V7" s="1"/>
      <c r="W7" s="1"/>
      <c r="X7" s="1"/>
      <c r="Y7" s="1"/>
      <c r="Z7" s="1"/>
      <c r="AA7" s="1"/>
      <c r="AB7" s="1"/>
      <c r="AC7" s="1"/>
      <c r="AD7" s="1"/>
      <c r="AE7" s="1"/>
      <c r="AF7" s="1"/>
      <c r="AG7" s="1"/>
      <c r="AH7" s="1"/>
      <c r="AI7" s="1"/>
      <c r="AJ7" s="1"/>
    </row>
    <row r="8" spans="1:36" x14ac:dyDescent="0.25">
      <c r="A8" s="79" t="str">
        <f>'Data shares'!B3</f>
        <v>Chemicals</v>
      </c>
      <c r="B8" s="79" t="str">
        <f>'Data shares'!C3</f>
        <v>AARTIIND</v>
      </c>
      <c r="C8" s="79">
        <f>VLOOKUP($B8,'Data shares'!$C:$FB,7)</f>
        <v>422.95</v>
      </c>
      <c r="D8" s="165">
        <f>VLOOKUP($B8,'Data shares'!$C:$FB,98)</f>
        <v>35618650</v>
      </c>
      <c r="E8" s="165">
        <f>VLOOKUP(B8,'Snapshot (Volume)'!$A$7:$G$168,7,0)</f>
        <v>28237075</v>
      </c>
      <c r="F8" s="165">
        <f t="shared" ref="F8:F23" si="2">D8-E8</f>
        <v>7381575</v>
      </c>
      <c r="G8" s="166">
        <f t="shared" ref="G8:G23" si="3">F8/E8</f>
        <v>0.26141429308807657</v>
      </c>
      <c r="H8" s="165">
        <f>VLOOKUP($B8,'Data shares'!$C:$FB,66)</f>
        <v>44213925</v>
      </c>
      <c r="I8" s="165">
        <f>VLOOKUP($B8,'Data shares'!$C:$FB,67)</f>
        <v>12156875</v>
      </c>
      <c r="J8" s="81">
        <f t="shared" ref="J8:J22" si="4">(H8-I8)/I8*100</f>
        <v>263.6948228882834</v>
      </c>
      <c r="K8" s="81">
        <f>VLOOKUP($B8,'Data Vlaue (Cr)'!$C:$FB,99)</f>
        <v>1509</v>
      </c>
      <c r="L8" s="81">
        <f>VLOOKUP(B8,'OI(Value)'!$A$7:$C$209,3,0)</f>
        <v>313</v>
      </c>
      <c r="M8" s="81">
        <f t="shared" si="0"/>
        <v>20.742213386348578</v>
      </c>
      <c r="N8" s="81">
        <f>VLOOKUP($B8,'Data Vlaue (Cr)'!$C:$FB,67)</f>
        <v>1873</v>
      </c>
      <c r="O8" s="81">
        <f>VLOOKUP($B8,'Data Vlaue (Cr)'!$C:$FB,68)</f>
        <v>515</v>
      </c>
      <c r="P8" s="81">
        <f t="shared" si="1"/>
        <v>72.504004271222627</v>
      </c>
      <c r="Q8" s="1"/>
      <c r="R8" s="1"/>
      <c r="S8" s="1"/>
      <c r="T8" s="1"/>
      <c r="U8" s="1"/>
      <c r="V8" s="1"/>
      <c r="W8" s="1"/>
      <c r="X8" s="1"/>
      <c r="Y8" s="1"/>
      <c r="Z8" s="1"/>
      <c r="AA8" s="1"/>
      <c r="AB8" s="1"/>
      <c r="AC8" s="1"/>
      <c r="AD8" s="1"/>
      <c r="AE8" s="1"/>
      <c r="AF8" s="1"/>
      <c r="AG8" s="1"/>
      <c r="AH8" s="1"/>
      <c r="AI8" s="1"/>
      <c r="AJ8" s="1"/>
    </row>
    <row r="9" spans="1:36" x14ac:dyDescent="0.25">
      <c r="A9" s="79" t="str">
        <f>'Data shares'!B4</f>
        <v>Capital_Goods</v>
      </c>
      <c r="B9" s="79" t="str">
        <f>'Data shares'!C4</f>
        <v>ABB</v>
      </c>
      <c r="C9" s="79">
        <f>VLOOKUP($B9,'Data shares'!$C:$FB,7)</f>
        <v>5755</v>
      </c>
      <c r="D9" s="165">
        <f>VLOOKUP($B9,'Data shares'!$C:$FB,98)</f>
        <v>5803000</v>
      </c>
      <c r="E9" s="165">
        <f>VLOOKUP(B9,'Snapshot (Volume)'!$A$7:$G$168,7,0)</f>
        <v>5781750</v>
      </c>
      <c r="F9" s="165">
        <f t="shared" si="2"/>
        <v>21250</v>
      </c>
      <c r="G9" s="166">
        <f t="shared" si="3"/>
        <v>3.6753578068923769E-3</v>
      </c>
      <c r="H9" s="165">
        <f>VLOOKUP($B9,'Data shares'!$C:$FB,66)</f>
        <v>3811750</v>
      </c>
      <c r="I9" s="165">
        <f>VLOOKUP($B9,'Data shares'!$C:$FB,67)</f>
        <v>8792000</v>
      </c>
      <c r="J9" s="81">
        <f t="shared" si="4"/>
        <v>-56.645245677888987</v>
      </c>
      <c r="K9" s="81">
        <f>VLOOKUP($B9,'Data Vlaue (Cr)'!$C:$FB,99)</f>
        <v>3346</v>
      </c>
      <c r="L9" s="81">
        <f>VLOOKUP(B9,'OI(Value)'!$A$7:$C$209,3,0)</f>
        <v>12</v>
      </c>
      <c r="M9" s="81">
        <f t="shared" si="0"/>
        <v>0.35863717872086076</v>
      </c>
      <c r="N9" s="81">
        <f>VLOOKUP($B9,'Data Vlaue (Cr)'!$C:$FB,67)</f>
        <v>2198</v>
      </c>
      <c r="O9" s="81">
        <f>VLOOKUP($B9,'Data Vlaue (Cr)'!$C:$FB,68)</f>
        <v>5069</v>
      </c>
      <c r="P9" s="81">
        <f t="shared" si="1"/>
        <v>-130.61874431301183</v>
      </c>
      <c r="Q9" s="1"/>
      <c r="R9" s="1"/>
      <c r="S9" s="1"/>
      <c r="T9" s="1"/>
      <c r="U9" s="1"/>
      <c r="V9" s="1"/>
      <c r="W9" s="1"/>
      <c r="X9" s="1"/>
      <c r="Y9" s="1"/>
      <c r="Z9" s="1"/>
      <c r="AA9" s="1"/>
      <c r="AB9" s="1"/>
      <c r="AC9" s="1"/>
      <c r="AD9" s="1"/>
      <c r="AE9" s="1"/>
      <c r="AF9" s="1"/>
      <c r="AG9" s="1"/>
      <c r="AH9" s="1"/>
      <c r="AI9" s="1"/>
      <c r="AJ9" s="1"/>
    </row>
    <row r="10" spans="1:36" x14ac:dyDescent="0.25">
      <c r="A10" s="79" t="str">
        <f>'Data shares'!B5</f>
        <v>Finance</v>
      </c>
      <c r="B10" s="79" t="str">
        <f>'Data shares'!C5</f>
        <v>ABCAPITAL</v>
      </c>
      <c r="C10" s="4">
        <f>VLOOKUP($B10,'Data shares'!$C:$FB,7)</f>
        <v>268.55</v>
      </c>
      <c r="D10" s="82">
        <f>VLOOKUP($B10,'Data shares'!$C:$FB,98)</f>
        <v>91639100</v>
      </c>
      <c r="E10" s="165">
        <f>VLOOKUP(B10,'Snapshot (Volume)'!$A$7:$G$168,7,0)</f>
        <v>92342800</v>
      </c>
      <c r="F10" s="165">
        <f t="shared" si="2"/>
        <v>-703700</v>
      </c>
      <c r="G10" s="166">
        <f t="shared" si="3"/>
        <v>-7.6205183295286688E-3</v>
      </c>
      <c r="H10" s="165">
        <f>VLOOKUP($B10,'Data shares'!$C:$FB,66)</f>
        <v>29422100</v>
      </c>
      <c r="I10" s="165">
        <f>VLOOKUP($B10,'Data shares'!$C:$FB,67)</f>
        <v>47222300</v>
      </c>
      <c r="J10" s="81">
        <f t="shared" si="4"/>
        <v>-37.694479091446205</v>
      </c>
      <c r="K10" s="5">
        <f>VLOOKUP($B10,'Data Vlaue (Cr)'!$C:$FB,99)</f>
        <v>2469</v>
      </c>
      <c r="L10" s="81">
        <f>VLOOKUP(B10,'OI(Value)'!$A$7:$C$209,3,0)</f>
        <v>-19</v>
      </c>
      <c r="M10" s="33">
        <f t="shared" si="0"/>
        <v>-0.76954232482786555</v>
      </c>
      <c r="N10" s="5">
        <f>VLOOKUP($B10,'Data Vlaue (Cr)'!$C:$FB,67)</f>
        <v>793</v>
      </c>
      <c r="O10" s="5">
        <f>VLOOKUP($B10,'Data Vlaue (Cr)'!$C:$FB,68)</f>
        <v>1272</v>
      </c>
      <c r="P10" s="5">
        <f t="shared" si="1"/>
        <v>-60.403530895334178</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Textile</v>
      </c>
      <c r="B11" s="79" t="str">
        <f>'Data shares'!C6</f>
        <v>ABFRL</v>
      </c>
      <c r="C11" s="4">
        <f>VLOOKUP($B11,'Data shares'!$C:$FB,7)</f>
        <v>75.64</v>
      </c>
      <c r="D11" s="82">
        <f>VLOOKUP($B11,'Data shares'!$C:$FB,98)</f>
        <v>110715800</v>
      </c>
      <c r="E11" s="165">
        <f>VLOOKUP(B11,'Snapshot (Volume)'!$A$7:$G$168,7,0)</f>
        <v>111514000</v>
      </c>
      <c r="F11" s="165">
        <f t="shared" si="2"/>
        <v>-798200</v>
      </c>
      <c r="G11" s="166">
        <f t="shared" si="3"/>
        <v>-7.1578456516670549E-3</v>
      </c>
      <c r="H11" s="165">
        <f>VLOOKUP($B11,'Data shares'!$C:$FB,66)</f>
        <v>21424000</v>
      </c>
      <c r="I11" s="165">
        <f>VLOOKUP($B11,'Data shares'!$C:$FB,67)</f>
        <v>17654000</v>
      </c>
      <c r="J11" s="81">
        <f t="shared" si="4"/>
        <v>21.354933726067745</v>
      </c>
      <c r="K11" s="5">
        <f>VLOOKUP($B11,'Data Vlaue (Cr)'!$C:$FB,99)</f>
        <v>837</v>
      </c>
      <c r="L11" s="81">
        <f>VLOOKUP(B11,'OI(Value)'!$A$7:$C$209,3,0)</f>
        <v>-6</v>
      </c>
      <c r="M11" s="33">
        <f t="shared" si="0"/>
        <v>-0.71684587813620071</v>
      </c>
      <c r="N11" s="5">
        <f>VLOOKUP($B11,'Data Vlaue (Cr)'!$C:$FB,67)</f>
        <v>162</v>
      </c>
      <c r="O11" s="5">
        <f>VLOOKUP($B11,'Data Vlaue (Cr)'!$C:$FB,68)</f>
        <v>134</v>
      </c>
      <c r="P11" s="5">
        <f t="shared" si="1"/>
        <v>17.283950617283949</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Cement</v>
      </c>
      <c r="B12" s="79" t="str">
        <f>'Data shares'!C7</f>
        <v>ACC</v>
      </c>
      <c r="C12" s="4">
        <f>VLOOKUP($B12,'Data shares'!$C:$FB,7)</f>
        <v>1958.9</v>
      </c>
      <c r="D12" s="82">
        <f>VLOOKUP($B12,'Data shares'!$C:$FB,98)</f>
        <v>6754800</v>
      </c>
      <c r="E12" s="165">
        <f>VLOOKUP(B12,'Snapshot (Volume)'!$A$7:$G$168,7,0)</f>
        <v>6691800</v>
      </c>
      <c r="F12" s="165">
        <f t="shared" si="2"/>
        <v>63000</v>
      </c>
      <c r="G12" s="166">
        <f t="shared" si="3"/>
        <v>9.4145073074509093E-3</v>
      </c>
      <c r="H12" s="165">
        <f>VLOOKUP($B12,'Data shares'!$C:$FB,66)</f>
        <v>2491800</v>
      </c>
      <c r="I12" s="165">
        <f>VLOOKUP($B12,'Data shares'!$C:$FB,67)</f>
        <v>2193600</v>
      </c>
      <c r="J12" s="81">
        <f t="shared" si="4"/>
        <v>13.594091903719912</v>
      </c>
      <c r="K12" s="5">
        <f>VLOOKUP($B12,'Data Vlaue (Cr)'!$C:$FB,99)</f>
        <v>1324</v>
      </c>
      <c r="L12" s="81">
        <f>VLOOKUP(B12,'OI(Value)'!$A$7:$C$209,3,0)</f>
        <v>12</v>
      </c>
      <c r="M12" s="33">
        <f t="shared" si="0"/>
        <v>0.90634441087613304</v>
      </c>
      <c r="N12" s="5">
        <f>VLOOKUP($B12,'Data Vlaue (Cr)'!$C:$FB,67)</f>
        <v>488</v>
      </c>
      <c r="O12" s="5">
        <f>VLOOKUP($B12,'Data Vlaue (Cr)'!$C:$FB,68)</f>
        <v>430</v>
      </c>
      <c r="P12" s="5">
        <f t="shared" si="1"/>
        <v>11.885245901639344</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Power</v>
      </c>
      <c r="B13" s="79" t="str">
        <f>'Data shares'!C8</f>
        <v>ADANIENSOL</v>
      </c>
      <c r="C13" s="4">
        <f>VLOOKUP($B13,'Data shares'!$C:$FB,7)</f>
        <v>867.2</v>
      </c>
      <c r="D13" s="82">
        <f>VLOOKUP($B13,'Data shares'!$C:$FB,98)</f>
        <v>25981425</v>
      </c>
      <c r="E13" s="165">
        <f>VLOOKUP(B13,'Snapshot (Volume)'!$A$7:$G$168,7,0)</f>
        <v>26239275</v>
      </c>
      <c r="F13" s="165">
        <f t="shared" si="2"/>
        <v>-257850</v>
      </c>
      <c r="G13" s="166">
        <f t="shared" si="3"/>
        <v>-9.8268721220384336E-3</v>
      </c>
      <c r="H13" s="165">
        <f>VLOOKUP($B13,'Data shares'!$C:$FB,66)</f>
        <v>3111750</v>
      </c>
      <c r="I13" s="165">
        <f>VLOOKUP($B13,'Data shares'!$C:$FB,67)</f>
        <v>4739850</v>
      </c>
      <c r="J13" s="81">
        <f t="shared" si="4"/>
        <v>-34.349188265451438</v>
      </c>
      <c r="K13" s="5">
        <f>VLOOKUP($B13,'Data Vlaue (Cr)'!$C:$FB,99)</f>
        <v>2254</v>
      </c>
      <c r="L13" s="81">
        <f>VLOOKUP(B13,'OI(Value)'!$A$7:$C$209,3,0)</f>
        <v>-22</v>
      </c>
      <c r="M13" s="33">
        <f t="shared" si="0"/>
        <v>-0.97604259094942325</v>
      </c>
      <c r="N13" s="5">
        <f>VLOOKUP($B13,'Data Vlaue (Cr)'!$C:$FB,67)</f>
        <v>270</v>
      </c>
      <c r="O13" s="5">
        <f>VLOOKUP($B13,'Data Vlaue (Cr)'!$C:$FB,68)</f>
        <v>411</v>
      </c>
      <c r="P13" s="5">
        <f t="shared" si="1"/>
        <v>-52.222222222222229</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Infrastructure</v>
      </c>
      <c r="B14" s="79" t="str">
        <f>'Data shares'!C9</f>
        <v>ADANIENT</v>
      </c>
      <c r="C14" s="4">
        <f>VLOOKUP($B14,'Data shares'!$C:$FB,7)</f>
        <v>2587.8000000000002</v>
      </c>
      <c r="D14" s="82">
        <f>VLOOKUP($B14,'Data shares'!$C:$FB,98)</f>
        <v>33225000</v>
      </c>
      <c r="E14" s="165">
        <f>VLOOKUP(B14,'Snapshot (Volume)'!$A$7:$G$168,7,0)</f>
        <v>33064800</v>
      </c>
      <c r="F14" s="165">
        <f t="shared" si="2"/>
        <v>160200</v>
      </c>
      <c r="G14" s="166">
        <f t="shared" si="3"/>
        <v>4.8450315743630689E-3</v>
      </c>
      <c r="H14" s="165">
        <f>VLOOKUP($B14,'Data shares'!$C:$FB,66)</f>
        <v>7468500</v>
      </c>
      <c r="I14" s="165">
        <f>VLOOKUP($B14,'Data shares'!$C:$FB,67)</f>
        <v>7882800</v>
      </c>
      <c r="J14" s="81">
        <f t="shared" si="4"/>
        <v>-5.2557466889937583</v>
      </c>
      <c r="K14" s="5">
        <f>VLOOKUP($B14,'Data Vlaue (Cr)'!$C:$FB,99)</f>
        <v>8620</v>
      </c>
      <c r="L14" s="81">
        <f>VLOOKUP(B14,'OI(Value)'!$A$7:$C$209,3,0)</f>
        <v>42</v>
      </c>
      <c r="M14" s="33">
        <f t="shared" si="0"/>
        <v>0.48723897911832947</v>
      </c>
      <c r="N14" s="5">
        <f>VLOOKUP($B14,'Data Vlaue (Cr)'!$C:$FB,67)</f>
        <v>1938</v>
      </c>
      <c r="O14" s="5">
        <f>VLOOKUP($B14,'Data Vlaue (Cr)'!$C:$FB,68)</f>
        <v>2045</v>
      </c>
      <c r="P14" s="5">
        <f t="shared" si="1"/>
        <v>-5.5211558307533544</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Power</v>
      </c>
      <c r="B15" s="79" t="str">
        <f>'Data shares'!C10</f>
        <v>ADANIGREEN</v>
      </c>
      <c r="C15" s="4">
        <f>VLOOKUP($B15,'Data shares'!$C:$FB,7)</f>
        <v>1013.7</v>
      </c>
      <c r="D15" s="82">
        <f>VLOOKUP($B15,'Data shares'!$C:$FB,98)</f>
        <v>32196000</v>
      </c>
      <c r="E15" s="165">
        <f>VLOOKUP(B15,'Snapshot (Volume)'!$A$7:$G$168,7,0)</f>
        <v>32635800</v>
      </c>
      <c r="F15" s="165">
        <f t="shared" si="2"/>
        <v>-439800</v>
      </c>
      <c r="G15" s="166">
        <f t="shared" si="3"/>
        <v>-1.3475998749839133E-2</v>
      </c>
      <c r="H15" s="165">
        <f>VLOOKUP($B15,'Data shares'!$C:$FB,66)</f>
        <v>15100200</v>
      </c>
      <c r="I15" s="165">
        <f>VLOOKUP($B15,'Data shares'!$C:$FB,67)</f>
        <v>8604600</v>
      </c>
      <c r="J15" s="81">
        <f t="shared" si="4"/>
        <v>75.489854263998325</v>
      </c>
      <c r="K15" s="5">
        <f>VLOOKUP($B15,'Data Vlaue (Cr)'!$C:$FB,99)</f>
        <v>3272</v>
      </c>
      <c r="L15" s="81">
        <f>VLOOKUP(B15,'OI(Value)'!$A$7:$C$209,3,0)</f>
        <v>-45</v>
      </c>
      <c r="M15" s="33">
        <f t="shared" si="0"/>
        <v>-1.3753056234718826</v>
      </c>
      <c r="N15" s="5">
        <f>VLOOKUP($B15,'Data Vlaue (Cr)'!$C:$FB,67)</f>
        <v>1534</v>
      </c>
      <c r="O15" s="5">
        <f>VLOOKUP($B15,'Data Vlaue (Cr)'!$C:$FB,68)</f>
        <v>874</v>
      </c>
      <c r="P15" s="5">
        <f t="shared" si="1"/>
        <v>43.024771838331162</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Infrastructure</v>
      </c>
      <c r="B16" s="79" t="str">
        <f>'Data shares'!C11</f>
        <v>ADANIPORTS</v>
      </c>
      <c r="C16" s="4">
        <f>VLOOKUP($B16,'Data shares'!$C:$FB,7)</f>
        <v>1420.7</v>
      </c>
      <c r="D16" s="82">
        <f>VLOOKUP($B16,'Data shares'!$C:$FB,98)</f>
        <v>36632475</v>
      </c>
      <c r="E16" s="165">
        <f>VLOOKUP(B16,'Snapshot (Volume)'!$A$7:$G$168,7,0)</f>
        <v>36229200</v>
      </c>
      <c r="F16" s="165">
        <f t="shared" si="2"/>
        <v>403275</v>
      </c>
      <c r="G16" s="166">
        <f t="shared" si="3"/>
        <v>1.1131214600377595E-2</v>
      </c>
      <c r="H16" s="165">
        <f>VLOOKUP($B16,'Data shares'!$C:$FB,66)</f>
        <v>13706600</v>
      </c>
      <c r="I16" s="165">
        <f>VLOOKUP($B16,'Data shares'!$C:$FB,67)</f>
        <v>10416275</v>
      </c>
      <c r="J16" s="81">
        <f t="shared" si="4"/>
        <v>31.588307720370285</v>
      </c>
      <c r="K16" s="5">
        <f>VLOOKUP($B16,'Data Vlaue (Cr)'!$C:$FB,99)</f>
        <v>5223</v>
      </c>
      <c r="L16" s="81">
        <f>VLOOKUP(B16,'OI(Value)'!$A$7:$C$209,3,0)</f>
        <v>57</v>
      </c>
      <c r="M16" s="33">
        <f t="shared" si="0"/>
        <v>1.0913268236645606</v>
      </c>
      <c r="N16" s="5">
        <f>VLOOKUP($B16,'Data Vlaue (Cr)'!$C:$FB,67)</f>
        <v>1954</v>
      </c>
      <c r="O16" s="5">
        <f>VLOOKUP($B16,'Data Vlaue (Cr)'!$C:$FB,68)</f>
        <v>1485</v>
      </c>
      <c r="P16" s="5">
        <f t="shared" si="1"/>
        <v>24.002047082906859</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Pharma</v>
      </c>
      <c r="B17" s="79" t="str">
        <f>'Data shares'!C12</f>
        <v>ALKEM</v>
      </c>
      <c r="C17" s="4">
        <f>VLOOKUP($B17,'Data shares'!$C:$FB,7)</f>
        <v>4971.8</v>
      </c>
      <c r="D17" s="82">
        <f>VLOOKUP($B17,'Data shares'!$C:$FB,98)</f>
        <v>1763250</v>
      </c>
      <c r="E17" s="165">
        <f>VLOOKUP(B17,'Snapshot (Volume)'!$A$7:$G$168,7,0)</f>
        <v>1745000</v>
      </c>
      <c r="F17" s="165">
        <f t="shared" si="2"/>
        <v>18250</v>
      </c>
      <c r="G17" s="166">
        <f t="shared" si="3"/>
        <v>1.0458452722063038E-2</v>
      </c>
      <c r="H17" s="165">
        <f>VLOOKUP($B17,'Data shares'!$C:$FB,66)</f>
        <v>466625</v>
      </c>
      <c r="I17" s="165">
        <f>VLOOKUP($B17,'Data shares'!$C:$FB,67)</f>
        <v>302625</v>
      </c>
      <c r="J17" s="81">
        <f t="shared" si="4"/>
        <v>54.192482445270549</v>
      </c>
      <c r="K17" s="5">
        <f>VLOOKUP($B17,'Data Vlaue (Cr)'!$C:$FB,99)</f>
        <v>877</v>
      </c>
      <c r="L17" s="81">
        <f>VLOOKUP(B17,'OI(Value)'!$A$7:$C$209,3,0)</f>
        <v>9</v>
      </c>
      <c r="M17" s="33">
        <f t="shared" si="0"/>
        <v>1.0262257696693273</v>
      </c>
      <c r="N17" s="5">
        <f>VLOOKUP($B17,'Data Vlaue (Cr)'!$C:$FB,67)</f>
        <v>232</v>
      </c>
      <c r="O17" s="5">
        <f>VLOOKUP($B17,'Data Vlaue (Cr)'!$C:$FB,68)</f>
        <v>151</v>
      </c>
      <c r="P17" s="5">
        <f t="shared" si="1"/>
        <v>34.913793103448278</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Capital_Goods</v>
      </c>
      <c r="B18" s="79" t="str">
        <f>'Data shares'!C13</f>
        <v>AMBER</v>
      </c>
      <c r="C18" s="4">
        <f>VLOOKUP($B18,'Data shares'!$C:$FB,7)</f>
        <v>7369</v>
      </c>
      <c r="D18" s="82">
        <f>VLOOKUP($B18,'Data shares'!$C:$FB,98)</f>
        <v>806700</v>
      </c>
      <c r="E18" s="165">
        <f>VLOOKUP(B18,'Snapshot (Volume)'!$A$7:$G$168,7,0)</f>
        <v>815300</v>
      </c>
      <c r="F18" s="165">
        <f t="shared" si="2"/>
        <v>-8600</v>
      </c>
      <c r="G18" s="166">
        <f t="shared" si="3"/>
        <v>-1.054826444253649E-2</v>
      </c>
      <c r="H18" s="165">
        <f>VLOOKUP($B18,'Data shares'!$C:$FB,66)</f>
        <v>596300</v>
      </c>
      <c r="I18" s="165">
        <f>VLOOKUP($B18,'Data shares'!$C:$FB,67)</f>
        <v>663000</v>
      </c>
      <c r="J18" s="81">
        <f t="shared" si="4"/>
        <v>-10.060331825037707</v>
      </c>
      <c r="K18" s="5">
        <f>VLOOKUP($B18,'Data Vlaue (Cr)'!$C:$FB,99)</f>
        <v>596</v>
      </c>
      <c r="L18" s="81">
        <f>VLOOKUP(B18,'OI(Value)'!$A$7:$C$209,3,0)</f>
        <v>-6</v>
      </c>
      <c r="M18" s="33">
        <f t="shared" si="0"/>
        <v>-1.006711409395973</v>
      </c>
      <c r="N18" s="5">
        <f>VLOOKUP($B18,'Data Vlaue (Cr)'!$C:$FB,67)</f>
        <v>441</v>
      </c>
      <c r="O18" s="5">
        <f>VLOOKUP($B18,'Data Vlaue (Cr)'!$C:$FB,68)</f>
        <v>490</v>
      </c>
      <c r="P18" s="5">
        <f t="shared" si="1"/>
        <v>-11.111111111111111</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Cement</v>
      </c>
      <c r="B19" s="79" t="str">
        <f>'Data shares'!C14</f>
        <v>AMBUJACEM</v>
      </c>
      <c r="C19" s="4">
        <f>VLOOKUP($B19,'Data shares'!$C:$FB,7)</f>
        <v>620.54999999999995</v>
      </c>
      <c r="D19" s="82">
        <f>VLOOKUP($B19,'Data shares'!$C:$FB,98)</f>
        <v>45256050</v>
      </c>
      <c r="E19" s="165">
        <f>VLOOKUP(B19,'Snapshot (Volume)'!$A$7:$G$168,7,0)</f>
        <v>45141600</v>
      </c>
      <c r="F19" s="165">
        <f t="shared" si="2"/>
        <v>114450</v>
      </c>
      <c r="G19" s="166">
        <f t="shared" si="3"/>
        <v>2.5353554149609228E-3</v>
      </c>
      <c r="H19" s="165">
        <f>VLOOKUP($B19,'Data shares'!$C:$FB,66)</f>
        <v>51956100</v>
      </c>
      <c r="I19" s="165">
        <f>VLOOKUP($B19,'Data shares'!$C:$FB,67)</f>
        <v>51826950</v>
      </c>
      <c r="J19" s="81">
        <f t="shared" si="4"/>
        <v>0.24919467574302556</v>
      </c>
      <c r="K19" s="5">
        <f>VLOOKUP($B19,'Data Vlaue (Cr)'!$C:$FB,99)</f>
        <v>2809</v>
      </c>
      <c r="L19" s="81">
        <f>VLOOKUP(B19,'OI(Value)'!$A$7:$C$209,3,0)</f>
        <v>7</v>
      </c>
      <c r="M19" s="33">
        <f t="shared" si="0"/>
        <v>0.24919900320398719</v>
      </c>
      <c r="N19" s="5">
        <f>VLOOKUP($B19,'Data Vlaue (Cr)'!$C:$FB,67)</f>
        <v>3225</v>
      </c>
      <c r="O19" s="5">
        <f>VLOOKUP($B19,'Data Vlaue (Cr)'!$C:$FB,68)</f>
        <v>3217</v>
      </c>
      <c r="P19" s="5">
        <f t="shared" si="1"/>
        <v>0.24806201550387599</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Finance</v>
      </c>
      <c r="B20" s="79" t="str">
        <f>'Data shares'!C15</f>
        <v>ANGELONE</v>
      </c>
      <c r="C20" s="4">
        <f>VLOOKUP($B20,'Data shares'!$C:$FB,7)</f>
        <v>2805.4</v>
      </c>
      <c r="D20" s="82">
        <f>VLOOKUP($B20,'Data shares'!$C:$FB,98)</f>
        <v>8938750</v>
      </c>
      <c r="E20" s="165">
        <f>VLOOKUP(B20,'Snapshot (Volume)'!$A$7:$G$168,7,0)</f>
        <v>9070250</v>
      </c>
      <c r="F20" s="165">
        <f t="shared" si="2"/>
        <v>-131500</v>
      </c>
      <c r="G20" s="166">
        <f t="shared" si="3"/>
        <v>-1.4497946583611256E-2</v>
      </c>
      <c r="H20" s="165">
        <f>VLOOKUP($B20,'Data shares'!$C:$FB,66)</f>
        <v>36755250</v>
      </c>
      <c r="I20" s="165">
        <f>VLOOKUP($B20,'Data shares'!$C:$FB,67)</f>
        <v>547750</v>
      </c>
      <c r="J20" s="81">
        <f t="shared" si="4"/>
        <v>6610.2236421725238</v>
      </c>
      <c r="K20" s="5">
        <f>VLOOKUP($B20,'Data Vlaue (Cr)'!$C:$FB,99)</f>
        <v>2518</v>
      </c>
      <c r="L20" s="81">
        <f>VLOOKUP(B20,'OI(Value)'!$A$7:$C$209,3,0)</f>
        <v>-37</v>
      </c>
      <c r="M20" s="33">
        <f t="shared" si="0"/>
        <v>-1.4694201747418585</v>
      </c>
      <c r="N20" s="5">
        <f>VLOOKUP($B20,'Data Vlaue (Cr)'!$C:$FB,67)</f>
        <v>10352</v>
      </c>
      <c r="O20" s="5">
        <f>VLOOKUP($B20,'Data Vlaue (Cr)'!$C:$FB,68)</f>
        <v>154</v>
      </c>
      <c r="P20" s="5">
        <f t="shared" si="1"/>
        <v>98.512364760432774</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Metals</v>
      </c>
      <c r="B21" s="79" t="str">
        <f>'Data shares'!C16</f>
        <v>APLAPOLLO</v>
      </c>
      <c r="C21" s="4">
        <f>VLOOKUP($B21,'Data shares'!$C:$FB,7)</f>
        <v>1660.4</v>
      </c>
      <c r="D21" s="82">
        <f>VLOOKUP($B21,'Data shares'!$C:$FB,98)</f>
        <v>8721300</v>
      </c>
      <c r="E21" s="165">
        <f>VLOOKUP(B21,'Snapshot (Volume)'!$A$7:$G$168,7,0)</f>
        <v>8545950</v>
      </c>
      <c r="F21" s="165">
        <f t="shared" si="2"/>
        <v>175350</v>
      </c>
      <c r="G21" s="166">
        <f t="shared" si="3"/>
        <v>2.0518491215136995E-2</v>
      </c>
      <c r="H21" s="165">
        <f>VLOOKUP($B21,'Data shares'!$C:$FB,66)</f>
        <v>3097850</v>
      </c>
      <c r="I21" s="165">
        <f>VLOOKUP($B21,'Data shares'!$C:$FB,67)</f>
        <v>3129700</v>
      </c>
      <c r="J21" s="81">
        <f t="shared" si="4"/>
        <v>-1.0176694251845224</v>
      </c>
      <c r="K21" s="5">
        <f>VLOOKUP($B21,'Data Vlaue (Cr)'!$C:$FB,99)</f>
        <v>1449</v>
      </c>
      <c r="L21" s="81">
        <f>VLOOKUP(B21,'OI(Value)'!$A$7:$C$209,3,0)</f>
        <v>29</v>
      </c>
      <c r="M21" s="33">
        <f t="shared" si="0"/>
        <v>2.0013802622498278</v>
      </c>
      <c r="N21" s="5">
        <f>VLOOKUP($B21,'Data Vlaue (Cr)'!$C:$FB,67)</f>
        <v>515</v>
      </c>
      <c r="O21" s="5">
        <f>VLOOKUP($B21,'Data Vlaue (Cr)'!$C:$FB,68)</f>
        <v>520</v>
      </c>
      <c r="P21" s="5">
        <f t="shared" si="1"/>
        <v>-0.97087378640776689</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Pharma</v>
      </c>
      <c r="B22" s="79" t="str">
        <f>'Data shares'!C17</f>
        <v>APOLLOHOSP</v>
      </c>
      <c r="C22" s="4">
        <f>VLOOKUP($B22,'Data shares'!$C:$FB,7)</f>
        <v>7246.5</v>
      </c>
      <c r="D22" s="82">
        <f>VLOOKUP($B22,'Data shares'!$C:$FB,98)</f>
        <v>5705500</v>
      </c>
      <c r="E22" s="165">
        <f>VLOOKUP(B22,'Snapshot (Volume)'!$A$7:$G$168,7,0)</f>
        <v>5707750</v>
      </c>
      <c r="F22" s="165">
        <f t="shared" si="2"/>
        <v>-2250</v>
      </c>
      <c r="G22" s="166">
        <f t="shared" si="3"/>
        <v>-3.9420086724190794E-4</v>
      </c>
      <c r="H22" s="165">
        <f>VLOOKUP($B22,'Data shares'!$C:$FB,66)</f>
        <v>1809875</v>
      </c>
      <c r="I22" s="165">
        <f>VLOOKUP($B22,'Data shares'!$C:$FB,67)</f>
        <v>2130000</v>
      </c>
      <c r="J22" s="81">
        <f t="shared" si="4"/>
        <v>-15.029342723004696</v>
      </c>
      <c r="K22" s="5">
        <f>VLOOKUP($B22,'Data Vlaue (Cr)'!$C:$FB,99)</f>
        <v>4141</v>
      </c>
      <c r="L22" s="81">
        <f>VLOOKUP(B22,'OI(Value)'!$A$7:$C$209,3,0)</f>
        <v>-2</v>
      </c>
      <c r="M22" s="33">
        <f t="shared" si="0"/>
        <v>-4.8297512678097079E-2</v>
      </c>
      <c r="N22" s="5">
        <f>VLOOKUP($B22,'Data Vlaue (Cr)'!$C:$FB,67)</f>
        <v>1314</v>
      </c>
      <c r="O22" s="5">
        <f>VLOOKUP($B22,'Data Vlaue (Cr)'!$C:$FB,68)</f>
        <v>1546</v>
      </c>
      <c r="P22" s="5">
        <f t="shared" si="1"/>
        <v>-17.656012176560122</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Automobile</v>
      </c>
      <c r="B23" s="79" t="str">
        <f>'Data shares'!C18</f>
        <v>ASHOKLEY</v>
      </c>
      <c r="C23" s="4">
        <f>VLOOKUP($B23,'Data shares'!$C:$FB,7)</f>
        <v>124</v>
      </c>
      <c r="D23" s="82">
        <f>VLOOKUP($B23,'Data shares'!$C:$FB,98)</f>
        <v>143395000</v>
      </c>
      <c r="E23" s="165">
        <f>VLOOKUP(B23,'Snapshot (Volume)'!$A$7:$G$168,7,0)</f>
        <v>143115000</v>
      </c>
      <c r="F23" s="165">
        <f t="shared" si="2"/>
        <v>280000</v>
      </c>
      <c r="G23" s="166">
        <f t="shared" si="3"/>
        <v>1.9564685742235266E-3</v>
      </c>
      <c r="H23" s="165">
        <f>VLOOKUP($B23,'Data shares'!$C:$FB,66)</f>
        <v>34515000</v>
      </c>
      <c r="I23" s="165">
        <f>VLOOKUP($B23,'Data shares'!$C:$FB,67)</f>
        <v>60515000</v>
      </c>
      <c r="J23" s="81">
        <f>(H23-I23)/I23*100</f>
        <v>-42.964554242749728</v>
      </c>
      <c r="K23" s="5">
        <f>VLOOKUP($B23,'Data Vlaue (Cr)'!$C:$FB,99)</f>
        <v>1779</v>
      </c>
      <c r="L23" s="81">
        <f>VLOOKUP(B23,'OI(Value)'!$A$7:$C$209,3,0)</f>
        <v>3</v>
      </c>
      <c r="M23" s="33">
        <f t="shared" si="0"/>
        <v>0.16863406408094433</v>
      </c>
      <c r="N23" s="5">
        <f>VLOOKUP($B23,'Data Vlaue (Cr)'!$C:$FB,67)</f>
        <v>428</v>
      </c>
      <c r="O23" s="5">
        <f>VLOOKUP($B23,'Data Vlaue (Cr)'!$C:$FB,68)</f>
        <v>751</v>
      </c>
      <c r="P23" s="5">
        <f t="shared" si="1"/>
        <v>-75.467289719626166</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FMCG</v>
      </c>
      <c r="B24" s="79" t="str">
        <f>'Data shares'!C19</f>
        <v>ASIANPAINT</v>
      </c>
      <c r="C24" s="79">
        <f>VLOOKUP($B24,'Data shares'!$C:$FB,7)</f>
        <v>2365.1999999999998</v>
      </c>
      <c r="D24" s="80">
        <f>VLOOKUP($B24,'Data shares'!$C:$FB,98)</f>
        <v>29058000</v>
      </c>
      <c r="E24" s="165">
        <f>VLOOKUP(B24,'Snapshot (Volume)'!$A$7:$G$168,7,0)</f>
        <v>29103500</v>
      </c>
      <c r="F24" s="165">
        <f t="shared" ref="F24:F36" si="5">D24-E24</f>
        <v>-45500</v>
      </c>
      <c r="G24" s="166">
        <f t="shared" ref="G24:G36" si="6">F24/E24</f>
        <v>-1.5633858470630679E-3</v>
      </c>
      <c r="H24" s="165">
        <f>VLOOKUP($B24,'Data shares'!$C:$FB,66)</f>
        <v>6550500</v>
      </c>
      <c r="I24" s="165">
        <f>VLOOKUP($B24,'Data shares'!$C:$FB,67)</f>
        <v>8379750</v>
      </c>
      <c r="J24" s="81">
        <f t="shared" ref="J24:J36" si="7">(H24-I24)/I24*100</f>
        <v>-21.829410185268056</v>
      </c>
      <c r="K24" s="81">
        <f>VLOOKUP($B24,'Data Vlaue (Cr)'!$C:$FB,99)</f>
        <v>6875</v>
      </c>
      <c r="L24" s="81">
        <f>VLOOKUP(B24,'OI(Value)'!$A$7:$C$209,3,0)</f>
        <v>-11</v>
      </c>
      <c r="M24" s="81">
        <f t="shared" si="0"/>
        <v>-0.16</v>
      </c>
      <c r="N24" s="81">
        <f>VLOOKUP($B24,'Data Vlaue (Cr)'!$C:$FB,67)</f>
        <v>1550</v>
      </c>
      <c r="O24" s="81">
        <f>VLOOKUP($B24,'Data Vlaue (Cr)'!$C:$FB,68)</f>
        <v>1982</v>
      </c>
      <c r="P24" s="81">
        <f t="shared" ref="P24:P36" si="8">(N24-O24)/N24*100</f>
        <v>-27.87096774193548</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Capital_Goods</v>
      </c>
      <c r="B25" s="79" t="str">
        <f>'Data shares'!C20</f>
        <v>ASTRAL</v>
      </c>
      <c r="C25" s="4">
        <f>VLOOKUP($B25,'Data shares'!$C:$FB,7)</f>
        <v>1475</v>
      </c>
      <c r="D25" s="82">
        <f>VLOOKUP($B25,'Data shares'!$C:$FB,98)</f>
        <v>11089950</v>
      </c>
      <c r="E25" s="165">
        <f>VLOOKUP(B25,'Snapshot (Volume)'!$A$7:$G$168,7,0)</f>
        <v>10814125</v>
      </c>
      <c r="F25" s="165">
        <f t="shared" si="5"/>
        <v>275825</v>
      </c>
      <c r="G25" s="166">
        <f t="shared" si="6"/>
        <v>2.5505993318923167E-2</v>
      </c>
      <c r="H25" s="165">
        <f>VLOOKUP($B25,'Data shares'!$C:$FB,66)</f>
        <v>6954275</v>
      </c>
      <c r="I25" s="165">
        <f>VLOOKUP($B25,'Data shares'!$C:$FB,67)</f>
        <v>4084250</v>
      </c>
      <c r="J25" s="81">
        <f t="shared" si="7"/>
        <v>70.27055150884496</v>
      </c>
      <c r="K25" s="5">
        <f>VLOOKUP($B25,'Data Vlaue (Cr)'!$C:$FB,99)</f>
        <v>1634</v>
      </c>
      <c r="L25" s="81">
        <f>VLOOKUP(B25,'OI(Value)'!$A$7:$C$209,3,0)</f>
        <v>41</v>
      </c>
      <c r="M25" s="33">
        <f t="shared" si="0"/>
        <v>2.5091799265605874</v>
      </c>
      <c r="N25" s="5">
        <f>VLOOKUP($B25,'Data Vlaue (Cr)'!$C:$FB,67)</f>
        <v>1025</v>
      </c>
      <c r="O25" s="5">
        <f>VLOOKUP($B25,'Data Vlaue (Cr)'!$C:$FB,68)</f>
        <v>602</v>
      </c>
      <c r="P25" s="5">
        <f t="shared" si="8"/>
        <v>41.268292682926827</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Oil_Gas</v>
      </c>
      <c r="B26" s="79" t="str">
        <f>'Data shares'!C21</f>
        <v>ATGL</v>
      </c>
      <c r="C26" s="4">
        <f>VLOOKUP($B26,'Data shares'!$C:$FB,7)</f>
        <v>646.95000000000005</v>
      </c>
      <c r="D26" s="82">
        <f>VLOOKUP($B26,'Data shares'!$C:$FB,98)</f>
        <v>11618250</v>
      </c>
      <c r="E26" s="165">
        <f>VLOOKUP(B26,'Snapshot (Volume)'!$A$7:$G$168,7,0)</f>
        <v>11545625</v>
      </c>
      <c r="F26" s="165">
        <f t="shared" si="5"/>
        <v>72625</v>
      </c>
      <c r="G26" s="166">
        <f t="shared" si="6"/>
        <v>6.2902614626752559E-3</v>
      </c>
      <c r="H26" s="165">
        <f>VLOOKUP($B26,'Data shares'!$C:$FB,66)</f>
        <v>3122875</v>
      </c>
      <c r="I26" s="165">
        <f>VLOOKUP($B26,'Data shares'!$C:$FB,67)</f>
        <v>2574250</v>
      </c>
      <c r="J26" s="81">
        <f t="shared" si="7"/>
        <v>21.31203263086336</v>
      </c>
      <c r="K26" s="5">
        <f>VLOOKUP($B26,'Data Vlaue (Cr)'!$C:$FB,99)</f>
        <v>752</v>
      </c>
      <c r="L26" s="81">
        <f>VLOOKUP(B26,'OI(Value)'!$A$7:$C$209,3,0)</f>
        <v>5</v>
      </c>
      <c r="M26" s="33">
        <f t="shared" si="0"/>
        <v>0.66489361702127658</v>
      </c>
      <c r="N26" s="5">
        <f>VLOOKUP($B26,'Data Vlaue (Cr)'!$C:$FB,67)</f>
        <v>202</v>
      </c>
      <c r="O26" s="5">
        <f>VLOOKUP($B26,'Data Vlaue (Cr)'!$C:$FB,68)</f>
        <v>167</v>
      </c>
      <c r="P26" s="5">
        <f t="shared" si="8"/>
        <v>17.326732673267326</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Banking</v>
      </c>
      <c r="B27" s="79" t="str">
        <f>'Data shares'!C22</f>
        <v>AUBANK</v>
      </c>
      <c r="C27" s="4">
        <f>VLOOKUP($B27,'Data shares'!$C:$FB,7)</f>
        <v>725.8</v>
      </c>
      <c r="D27" s="82">
        <f>VLOOKUP($B27,'Data shares'!$C:$FB,98)</f>
        <v>38028000</v>
      </c>
      <c r="E27" s="165">
        <f>VLOOKUP(B27,'Snapshot (Volume)'!$A$7:$G$168,7,0)</f>
        <v>33676000</v>
      </c>
      <c r="F27" s="165">
        <f t="shared" si="5"/>
        <v>4352000</v>
      </c>
      <c r="G27" s="166">
        <f t="shared" si="6"/>
        <v>0.12923150017816842</v>
      </c>
      <c r="H27" s="165">
        <f>VLOOKUP($B27,'Data shares'!$C:$FB,66)</f>
        <v>47564000</v>
      </c>
      <c r="I27" s="165">
        <f>VLOOKUP($B27,'Data shares'!$C:$FB,67)</f>
        <v>101689000</v>
      </c>
      <c r="J27" s="81">
        <f t="shared" si="7"/>
        <v>-53.226012646402268</v>
      </c>
      <c r="K27" s="5">
        <f>VLOOKUP($B27,'Data Vlaue (Cr)'!$C:$FB,99)</f>
        <v>2769</v>
      </c>
      <c r="L27" s="81">
        <f>VLOOKUP(B27,'OI(Value)'!$A$7:$C$209,3,0)</f>
        <v>317</v>
      </c>
      <c r="M27" s="33">
        <f t="shared" si="0"/>
        <v>11.448176236908632</v>
      </c>
      <c r="N27" s="5">
        <f>VLOOKUP($B27,'Data Vlaue (Cr)'!$C:$FB,67)</f>
        <v>3464</v>
      </c>
      <c r="O27" s="5">
        <f>VLOOKUP($B27,'Data Vlaue (Cr)'!$C:$FB,68)</f>
        <v>7405</v>
      </c>
      <c r="P27" s="5">
        <f t="shared" si="8"/>
        <v>-113.77020785219401</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Pharma</v>
      </c>
      <c r="B28" s="79" t="str">
        <f>'Data shares'!C23</f>
        <v>AUROPHARMA</v>
      </c>
      <c r="C28" s="4">
        <f>VLOOKUP($B28,'Data shares'!$C:$FB,7)</f>
        <v>1101.4000000000001</v>
      </c>
      <c r="D28" s="82">
        <f>VLOOKUP($B28,'Data shares'!$C:$FB,98)</f>
        <v>28631350</v>
      </c>
      <c r="E28" s="165">
        <f>VLOOKUP(B28,'Snapshot (Volume)'!$A$7:$G$168,7,0)</f>
        <v>27027000</v>
      </c>
      <c r="F28" s="165">
        <f t="shared" si="5"/>
        <v>1604350</v>
      </c>
      <c r="G28" s="166">
        <f t="shared" si="6"/>
        <v>5.9361009361009361E-2</v>
      </c>
      <c r="H28" s="165">
        <f>VLOOKUP($B28,'Data shares'!$C:$FB,66)</f>
        <v>14593700</v>
      </c>
      <c r="I28" s="165">
        <f>VLOOKUP($B28,'Data shares'!$C:$FB,67)</f>
        <v>7131300</v>
      </c>
      <c r="J28" s="81">
        <f t="shared" si="7"/>
        <v>104.64291223199136</v>
      </c>
      <c r="K28" s="5">
        <f>VLOOKUP($B28,'Data Vlaue (Cr)'!$C:$FB,99)</f>
        <v>3163</v>
      </c>
      <c r="L28" s="81">
        <f>VLOOKUP(B28,'OI(Value)'!$A$7:$C$209,3,0)</f>
        <v>177</v>
      </c>
      <c r="M28" s="33">
        <f t="shared" si="0"/>
        <v>5.595953208978818</v>
      </c>
      <c r="N28" s="5">
        <f>VLOOKUP($B28,'Data Vlaue (Cr)'!$C:$FB,67)</f>
        <v>1612</v>
      </c>
      <c r="O28" s="5">
        <f>VLOOKUP($B28,'Data Vlaue (Cr)'!$C:$FB,68)</f>
        <v>788</v>
      </c>
      <c r="P28" s="5">
        <f t="shared" si="8"/>
        <v>51.116625310173703</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AXISBANK</v>
      </c>
      <c r="C29" s="4">
        <f>VLOOKUP($B29,'Data shares'!$C:$FB,7)</f>
        <v>1098</v>
      </c>
      <c r="D29" s="82">
        <f>VLOOKUP($B29,'Data shares'!$C:$FB,98)</f>
        <v>158917500</v>
      </c>
      <c r="E29" s="165">
        <f>VLOOKUP(B29,'Snapshot (Volume)'!$A$7:$G$168,7,0)</f>
        <v>156816250</v>
      </c>
      <c r="F29" s="165">
        <f t="shared" si="5"/>
        <v>2101250</v>
      </c>
      <c r="G29" s="166">
        <f t="shared" si="6"/>
        <v>1.3399440427889328E-2</v>
      </c>
      <c r="H29" s="165">
        <f>VLOOKUP($B29,'Data shares'!$C:$FB,66)</f>
        <v>105355000</v>
      </c>
      <c r="I29" s="165">
        <f>VLOOKUP($B29,'Data shares'!$C:$FB,67)</f>
        <v>216156250</v>
      </c>
      <c r="J29" s="81">
        <f t="shared" si="7"/>
        <v>-51.25979470868873</v>
      </c>
      <c r="K29" s="5">
        <f>VLOOKUP($B29,'Data Vlaue (Cr)'!$C:$FB,99)</f>
        <v>17505</v>
      </c>
      <c r="L29" s="81">
        <f>VLOOKUP(B29,'OI(Value)'!$A$7:$C$209,3,0)</f>
        <v>231</v>
      </c>
      <c r="M29" s="33">
        <f t="shared" si="0"/>
        <v>1.3196229648671807</v>
      </c>
      <c r="N29" s="5">
        <f>VLOOKUP($B29,'Data Vlaue (Cr)'!$C:$FB,67)</f>
        <v>11605</v>
      </c>
      <c r="O29" s="5">
        <f>VLOOKUP($B29,'Data Vlaue (Cr)'!$C:$FB,68)</f>
        <v>23810</v>
      </c>
      <c r="P29" s="5">
        <f t="shared" si="8"/>
        <v>-105.17018526497199</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Automobile</v>
      </c>
      <c r="B30" s="79" t="str">
        <f>'Data shares'!C25</f>
        <v>BAJAJ-AUTO</v>
      </c>
      <c r="C30" s="4">
        <f>VLOOKUP($B30,'Data shares'!$C:$FB,7)</f>
        <v>8295</v>
      </c>
      <c r="D30" s="82">
        <f>VLOOKUP($B30,'Data shares'!$C:$FB,98)</f>
        <v>5131575</v>
      </c>
      <c r="E30" s="165">
        <f>VLOOKUP(B30,'Snapshot (Volume)'!$A$7:$G$168,7,0)</f>
        <v>4905750</v>
      </c>
      <c r="F30" s="165">
        <f t="shared" si="5"/>
        <v>225825</v>
      </c>
      <c r="G30" s="166">
        <f t="shared" si="6"/>
        <v>4.6032716709983185E-2</v>
      </c>
      <c r="H30" s="165">
        <f>VLOOKUP($B30,'Data shares'!$C:$FB,66)</f>
        <v>3816675</v>
      </c>
      <c r="I30" s="165">
        <f>VLOOKUP($B30,'Data shares'!$C:$FB,67)</f>
        <v>3506625</v>
      </c>
      <c r="J30" s="81">
        <f t="shared" si="7"/>
        <v>8.8418350978504971</v>
      </c>
      <c r="K30" s="5">
        <f>VLOOKUP($B30,'Data Vlaue (Cr)'!$C:$FB,99)</f>
        <v>4259</v>
      </c>
      <c r="L30" s="81">
        <f>VLOOKUP(B30,'OI(Value)'!$A$7:$C$209,3,0)</f>
        <v>187</v>
      </c>
      <c r="M30" s="33">
        <f t="shared" si="0"/>
        <v>4.3907020427330359</v>
      </c>
      <c r="N30" s="5">
        <f>VLOOKUP($B30,'Data Vlaue (Cr)'!$C:$FB,67)</f>
        <v>3168</v>
      </c>
      <c r="O30" s="5">
        <f>VLOOKUP($B30,'Data Vlaue (Cr)'!$C:$FB,68)</f>
        <v>2911</v>
      </c>
      <c r="P30" s="5">
        <f t="shared" si="8"/>
        <v>8.112373737373737</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Finance</v>
      </c>
      <c r="B31" s="79" t="str">
        <f>'Data shares'!C26</f>
        <v>BAJAJFINSV</v>
      </c>
      <c r="C31" s="4">
        <f>VLOOKUP($B31,'Data shares'!$C:$FB,7)</f>
        <v>2039.6</v>
      </c>
      <c r="D31" s="82">
        <f>VLOOKUP($B31,'Data shares'!$C:$FB,98)</f>
        <v>28728000</v>
      </c>
      <c r="E31" s="165">
        <f>VLOOKUP(B31,'Snapshot (Volume)'!$A$7:$G$168,7,0)</f>
        <v>28704000</v>
      </c>
      <c r="F31" s="165">
        <f t="shared" si="5"/>
        <v>24000</v>
      </c>
      <c r="G31" s="166">
        <f t="shared" si="6"/>
        <v>8.3612040133779263E-4</v>
      </c>
      <c r="H31" s="165">
        <f>VLOOKUP($B31,'Data shares'!$C:$FB,66)</f>
        <v>19624000</v>
      </c>
      <c r="I31" s="165">
        <f>VLOOKUP($B31,'Data shares'!$C:$FB,67)</f>
        <v>17493500</v>
      </c>
      <c r="J31" s="81">
        <f t="shared" si="7"/>
        <v>12.17880927201532</v>
      </c>
      <c r="K31" s="5">
        <f>VLOOKUP($B31,'Data Vlaue (Cr)'!$C:$FB,99)</f>
        <v>5869</v>
      </c>
      <c r="L31" s="81">
        <f>VLOOKUP(B31,'OI(Value)'!$A$7:$C$209,3,0)</f>
        <v>5</v>
      </c>
      <c r="M31" s="33">
        <f t="shared" si="0"/>
        <v>8.5193388993014138E-2</v>
      </c>
      <c r="N31" s="5">
        <f>VLOOKUP($B31,'Data Vlaue (Cr)'!$C:$FB,67)</f>
        <v>4009</v>
      </c>
      <c r="O31" s="5">
        <f>VLOOKUP($B31,'Data Vlaue (Cr)'!$C:$FB,68)</f>
        <v>3574</v>
      </c>
      <c r="P31" s="5">
        <f t="shared" si="8"/>
        <v>10.850586181092542</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Finance</v>
      </c>
      <c r="B32" s="79" t="str">
        <f>'Data shares'!C27</f>
        <v>BAJFINANCE</v>
      </c>
      <c r="C32" s="4">
        <f>VLOOKUP($B32,'Data shares'!$C:$FB,7)</f>
        <v>952.55</v>
      </c>
      <c r="D32" s="82">
        <f>VLOOKUP($B32,'Data shares'!$C:$FB,98)</f>
        <v>126426750</v>
      </c>
      <c r="E32" s="165">
        <f>VLOOKUP(B32,'Snapshot (Volume)'!$A$7:$G$168,7,0)</f>
        <v>126344250</v>
      </c>
      <c r="F32" s="165">
        <f t="shared" si="5"/>
        <v>82500</v>
      </c>
      <c r="G32" s="166">
        <f t="shared" si="6"/>
        <v>6.529778759223312E-4</v>
      </c>
      <c r="H32" s="165">
        <f>VLOOKUP($B32,'Data shares'!$C:$FB,66)</f>
        <v>68457000</v>
      </c>
      <c r="I32" s="165">
        <f>VLOOKUP($B32,'Data shares'!$C:$FB,67)</f>
        <v>47754750</v>
      </c>
      <c r="J32" s="81">
        <f t="shared" si="7"/>
        <v>43.351184960658365</v>
      </c>
      <c r="K32" s="5">
        <f>VLOOKUP($B32,'Data Vlaue (Cr)'!$C:$FB,99)</f>
        <v>12086</v>
      </c>
      <c r="L32" s="81">
        <f>VLOOKUP(B32,'OI(Value)'!$A$7:$C$209,3,0)</f>
        <v>8</v>
      </c>
      <c r="M32" s="33">
        <f t="shared" si="0"/>
        <v>6.6192288598378293E-2</v>
      </c>
      <c r="N32" s="5">
        <f>VLOOKUP($B32,'Data Vlaue (Cr)'!$C:$FB,67)</f>
        <v>6544</v>
      </c>
      <c r="O32" s="5">
        <f>VLOOKUP($B32,'Data Vlaue (Cr)'!$C:$FB,68)</f>
        <v>4565</v>
      </c>
      <c r="P32" s="5">
        <f t="shared" si="8"/>
        <v>30.241442542787283</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Automobile</v>
      </c>
      <c r="B33" s="79" t="str">
        <f>'Data shares'!C28</f>
        <v>BALKRISIND</v>
      </c>
      <c r="C33" s="4">
        <f>VLOOKUP($B33,'Data shares'!$C:$FB,7)</f>
        <v>2756.9</v>
      </c>
      <c r="D33" s="82">
        <f>VLOOKUP($B33,'Data shares'!$C:$FB,98)</f>
        <v>3704400</v>
      </c>
      <c r="E33" s="165">
        <f>VLOOKUP(B33,'Snapshot (Volume)'!$A$7:$G$168,7,0)</f>
        <v>3819300</v>
      </c>
      <c r="F33" s="165">
        <f t="shared" si="5"/>
        <v>-114900</v>
      </c>
      <c r="G33" s="166">
        <f t="shared" si="6"/>
        <v>-3.0084046814861362E-2</v>
      </c>
      <c r="H33" s="165">
        <f>VLOOKUP($B33,'Data shares'!$C:$FB,66)</f>
        <v>1669500</v>
      </c>
      <c r="I33" s="165">
        <f>VLOOKUP($B33,'Data shares'!$C:$FB,67)</f>
        <v>2885400</v>
      </c>
      <c r="J33" s="81">
        <f t="shared" si="7"/>
        <v>-42.139737991266372</v>
      </c>
      <c r="K33" s="5">
        <f>VLOOKUP($B33,'Data Vlaue (Cr)'!$C:$FB,99)</f>
        <v>1024</v>
      </c>
      <c r="L33" s="81">
        <f>VLOOKUP(B33,'OI(Value)'!$A$7:$C$209,3,0)</f>
        <v>-32</v>
      </c>
      <c r="M33" s="33">
        <f t="shared" si="0"/>
        <v>-3.125</v>
      </c>
      <c r="N33" s="5">
        <f>VLOOKUP($B33,'Data Vlaue (Cr)'!$C:$FB,67)</f>
        <v>461</v>
      </c>
      <c r="O33" s="5">
        <f>VLOOKUP($B33,'Data Vlaue (Cr)'!$C:$FB,68)</f>
        <v>797</v>
      </c>
      <c r="P33" s="5">
        <f t="shared" si="8"/>
        <v>-72.885032537960953</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Banking</v>
      </c>
      <c r="B34" s="79" t="str">
        <f>'Data shares'!C29</f>
        <v>BANDHANBNK</v>
      </c>
      <c r="C34" s="4">
        <f>VLOOKUP($B34,'Data shares'!$C:$FB,7)</f>
        <v>180.94</v>
      </c>
      <c r="D34" s="82">
        <f>VLOOKUP($B34,'Data shares'!$C:$FB,98)</f>
        <v>166744800</v>
      </c>
      <c r="E34" s="165">
        <f>VLOOKUP(B34,'Snapshot (Volume)'!$A$7:$G$168,7,0)</f>
        <v>173818800</v>
      </c>
      <c r="F34" s="165">
        <f t="shared" si="5"/>
        <v>-7074000</v>
      </c>
      <c r="G34" s="166">
        <f t="shared" si="6"/>
        <v>-4.0697554004515045E-2</v>
      </c>
      <c r="H34" s="165">
        <f>VLOOKUP($B34,'Data shares'!$C:$FB,66)</f>
        <v>7110000</v>
      </c>
      <c r="I34" s="165">
        <f>VLOOKUP($B34,'Data shares'!$C:$FB,67)</f>
        <v>26438400</v>
      </c>
      <c r="J34" s="81">
        <f t="shared" si="7"/>
        <v>-73.107298474945537</v>
      </c>
      <c r="K34" s="5">
        <f>VLOOKUP($B34,'Data Vlaue (Cr)'!$C:$FB,99)</f>
        <v>3024</v>
      </c>
      <c r="L34" s="81">
        <f>VLOOKUP(B34,'OI(Value)'!$A$7:$C$209,3,0)</f>
        <v>-128</v>
      </c>
      <c r="M34" s="33">
        <f t="shared" si="0"/>
        <v>-4.2328042328042326</v>
      </c>
      <c r="N34" s="5">
        <f>VLOOKUP($B34,'Data Vlaue (Cr)'!$C:$FB,67)</f>
        <v>129</v>
      </c>
      <c r="O34" s="5">
        <f>VLOOKUP($B34,'Data Vlaue (Cr)'!$C:$FB,68)</f>
        <v>480</v>
      </c>
      <c r="P34" s="5">
        <f t="shared" si="8"/>
        <v>-272.09302325581393</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Banking</v>
      </c>
      <c r="B35" s="79" t="str">
        <f>'Data shares'!C30</f>
        <v>BANKBARODA</v>
      </c>
      <c r="C35" s="4">
        <f>VLOOKUP($B35,'Data shares'!$C:$FB,7)</f>
        <v>239.48</v>
      </c>
      <c r="D35" s="82">
        <f>VLOOKUP($B35,'Data shares'!$C:$FB,98)</f>
        <v>197949375</v>
      </c>
      <c r="E35" s="165">
        <f>VLOOKUP(B35,'Snapshot (Volume)'!$A$7:$G$168,7,0)</f>
        <v>193921650</v>
      </c>
      <c r="F35" s="165">
        <f t="shared" si="5"/>
        <v>4027725</v>
      </c>
      <c r="G35" s="166">
        <f t="shared" si="6"/>
        <v>2.0769857310929441E-2</v>
      </c>
      <c r="H35" s="165">
        <f>VLOOKUP($B35,'Data shares'!$C:$FB,66)</f>
        <v>132414750</v>
      </c>
      <c r="I35" s="165">
        <f>VLOOKUP($B35,'Data shares'!$C:$FB,67)</f>
        <v>100190025</v>
      </c>
      <c r="J35" s="81">
        <f t="shared" si="7"/>
        <v>32.163606107494239</v>
      </c>
      <c r="K35" s="5">
        <f>VLOOKUP($B35,'Data Vlaue (Cr)'!$C:$FB,99)</f>
        <v>4745</v>
      </c>
      <c r="L35" s="81">
        <f>VLOOKUP(B35,'OI(Value)'!$A$7:$C$209,3,0)</f>
        <v>97</v>
      </c>
      <c r="M35" s="33">
        <f t="shared" si="0"/>
        <v>2.0442571127502633</v>
      </c>
      <c r="N35" s="5">
        <f>VLOOKUP($B35,'Data Vlaue (Cr)'!$C:$FB,67)</f>
        <v>3174</v>
      </c>
      <c r="O35" s="5">
        <f>VLOOKUP($B35,'Data Vlaue (Cr)'!$C:$FB,68)</f>
        <v>2402</v>
      </c>
      <c r="P35" s="5">
        <f t="shared" si="8"/>
        <v>24.322621298046627</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Banking</v>
      </c>
      <c r="B36" s="79" t="str">
        <f>'Data shares'!C31</f>
        <v>BANKINDIA</v>
      </c>
      <c r="C36" s="4">
        <f>VLOOKUP($B36,'Data shares'!$C:$FB,7)</f>
        <v>113.13</v>
      </c>
      <c r="D36" s="82">
        <f>VLOOKUP($B36,'Data shares'!$C:$FB,98)</f>
        <v>132329600</v>
      </c>
      <c r="E36" s="165">
        <f>VLOOKUP(B36,'Snapshot (Volume)'!$A$7:$G$168,7,0)</f>
        <v>132090400</v>
      </c>
      <c r="F36" s="165">
        <f t="shared" si="5"/>
        <v>239200</v>
      </c>
      <c r="G36" s="166">
        <f t="shared" si="6"/>
        <v>1.8108810329895283E-3</v>
      </c>
      <c r="H36" s="165">
        <f>VLOOKUP($B36,'Data shares'!$C:$FB,66)</f>
        <v>30368000</v>
      </c>
      <c r="I36" s="165">
        <f>VLOOKUP($B36,'Data shares'!$C:$FB,67)</f>
        <v>45453200</v>
      </c>
      <c r="J36" s="81">
        <f t="shared" si="7"/>
        <v>-33.188422377302366</v>
      </c>
      <c r="K36" s="5">
        <f>VLOOKUP($B36,'Data Vlaue (Cr)'!$C:$FB,99)</f>
        <v>1497</v>
      </c>
      <c r="L36" s="81">
        <f>VLOOKUP(B36,'OI(Value)'!$A$7:$C$209,3,0)</f>
        <v>3</v>
      </c>
      <c r="M36" s="33">
        <f t="shared" si="0"/>
        <v>0.20040080160320639</v>
      </c>
      <c r="N36" s="5">
        <f>VLOOKUP($B36,'Data Vlaue (Cr)'!$C:$FB,67)</f>
        <v>344</v>
      </c>
      <c r="O36" s="5">
        <f>VLOOKUP($B36,'Data Vlaue (Cr)'!$C:$FB,68)</f>
        <v>514</v>
      </c>
      <c r="P36" s="5">
        <f t="shared" si="8"/>
        <v>-49.418604651162788</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Index</v>
      </c>
      <c r="B37" s="79" t="str">
        <f>'Data shares'!C32</f>
        <v>BANKNIFTY</v>
      </c>
      <c r="C37" s="4">
        <f>VLOOKUP($B37,'Data shares'!$C:$FB,7)</f>
        <v>56756</v>
      </c>
      <c r="D37" s="82">
        <f>VLOOKUP($B37,'Data shares'!$C:$FB,98)</f>
        <v>47760695</v>
      </c>
      <c r="E37" s="165">
        <f>VLOOKUP(B37,'Snapshot (Volume)'!$A$7:$G$168,7,0)</f>
        <v>44278250</v>
      </c>
      <c r="F37" s="165">
        <f t="shared" ref="F37:F43" si="9">D37-E37</f>
        <v>3482445</v>
      </c>
      <c r="G37" s="166">
        <f t="shared" ref="G37:G43" si="10">F37/E37</f>
        <v>7.8649111019518617E-2</v>
      </c>
      <c r="H37" s="165">
        <f>VLOOKUP($B37,'Data shares'!$C:$FB,66)</f>
        <v>137479055</v>
      </c>
      <c r="I37" s="165">
        <f>VLOOKUP($B37,'Data shares'!$C:$FB,67)</f>
        <v>186630325</v>
      </c>
      <c r="J37" s="81">
        <f t="shared" ref="J37:J43" si="11">(H37-I37)/I37*100</f>
        <v>-26.336164822088797</v>
      </c>
      <c r="K37" s="5">
        <f>VLOOKUP($B37,'Data Vlaue (Cr)'!$C:$FB,99)</f>
        <v>271303</v>
      </c>
      <c r="L37" s="81">
        <f>VLOOKUP(B37,'OI(Value)'!$A$7:$C$209,3,0)</f>
        <v>19782</v>
      </c>
      <c r="M37" s="33">
        <f t="shared" ref="M37:M65" si="12">L37/K37*100</f>
        <v>7.2914785313837296</v>
      </c>
      <c r="N37" s="5">
        <f>VLOOKUP($B37,'Data Vlaue (Cr)'!$C:$FB,67)</f>
        <v>780944</v>
      </c>
      <c r="O37" s="5">
        <f>VLOOKUP($B37,'Data Vlaue (Cr)'!$C:$FB,68)</f>
        <v>1060146</v>
      </c>
      <c r="P37" s="5">
        <f t="shared" ref="P37:P43" si="13">(N37-O37)/N37*100</f>
        <v>-35.751859288246017</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BDL</v>
      </c>
      <c r="C38" s="4">
        <f>VLOOKUP($B38,'Data shares'!$C:$FB,7)</f>
        <v>1717.4</v>
      </c>
      <c r="D38" s="82">
        <f>VLOOKUP($B38,'Data shares'!$C:$FB,98)</f>
        <v>12083500</v>
      </c>
      <c r="E38" s="165">
        <f>VLOOKUP(B38,'Snapshot (Volume)'!$A$7:$G$168,7,0)</f>
        <v>12292150</v>
      </c>
      <c r="F38" s="165">
        <f t="shared" si="9"/>
        <v>-208650</v>
      </c>
      <c r="G38" s="166">
        <f t="shared" si="10"/>
        <v>-1.69742477922902E-2</v>
      </c>
      <c r="H38" s="165">
        <f>VLOOKUP($B38,'Data shares'!$C:$FB,66)</f>
        <v>5955300</v>
      </c>
      <c r="I38" s="165">
        <f>VLOOKUP($B38,'Data shares'!$C:$FB,67)</f>
        <v>15917525</v>
      </c>
      <c r="J38" s="81">
        <f t="shared" si="11"/>
        <v>-62.586520203360763</v>
      </c>
      <c r="K38" s="5">
        <f>VLOOKUP($B38,'Data Vlaue (Cr)'!$C:$FB,99)</f>
        <v>2075</v>
      </c>
      <c r="L38" s="81">
        <f>VLOOKUP(B38,'OI(Value)'!$A$7:$C$209,3,0)</f>
        <v>-36</v>
      </c>
      <c r="M38" s="33">
        <f t="shared" si="12"/>
        <v>-1.7349397590361446</v>
      </c>
      <c r="N38" s="5">
        <f>VLOOKUP($B38,'Data Vlaue (Cr)'!$C:$FB,67)</f>
        <v>1023</v>
      </c>
      <c r="O38" s="5">
        <f>VLOOKUP($B38,'Data Vlaue (Cr)'!$C:$FB,68)</f>
        <v>2734</v>
      </c>
      <c r="P38" s="5">
        <f t="shared" si="13"/>
        <v>-167.25317693059628</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BEL</v>
      </c>
      <c r="C39" s="4">
        <f>VLOOKUP($B39,'Data shares'!$C:$FB,7)</f>
        <v>403.1</v>
      </c>
      <c r="D39" s="82">
        <f>VLOOKUP($B39,'Data shares'!$C:$FB,98)</f>
        <v>275099100</v>
      </c>
      <c r="E39" s="165">
        <f>VLOOKUP(B39,'Snapshot (Volume)'!$A$7:$G$168,7,0)</f>
        <v>275908500</v>
      </c>
      <c r="F39" s="165">
        <f t="shared" si="9"/>
        <v>-809400</v>
      </c>
      <c r="G39" s="166">
        <f t="shared" si="10"/>
        <v>-2.9335812416072722E-3</v>
      </c>
      <c r="H39" s="165">
        <f>VLOOKUP($B39,'Data shares'!$C:$FB,66)</f>
        <v>147484650</v>
      </c>
      <c r="I39" s="165">
        <f>VLOOKUP($B39,'Data shares'!$C:$FB,67)</f>
        <v>222240150</v>
      </c>
      <c r="J39" s="81">
        <f t="shared" si="11"/>
        <v>-33.637261313943497</v>
      </c>
      <c r="K39" s="5">
        <f>VLOOKUP($B39,'Data Vlaue (Cr)'!$C:$FB,99)</f>
        <v>11104</v>
      </c>
      <c r="L39" s="81">
        <f>VLOOKUP(B39,'OI(Value)'!$A$7:$C$209,3,0)</f>
        <v>-33</v>
      </c>
      <c r="M39" s="33">
        <f t="shared" si="12"/>
        <v>-0.29719020172910665</v>
      </c>
      <c r="N39" s="5">
        <f>VLOOKUP($B39,'Data Vlaue (Cr)'!$C:$FB,67)</f>
        <v>5953</v>
      </c>
      <c r="O39" s="5">
        <f>VLOOKUP($B39,'Data Vlaue (Cr)'!$C:$FB,68)</f>
        <v>8971</v>
      </c>
      <c r="P39" s="5">
        <f t="shared" si="13"/>
        <v>-50.697127498740137</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BHARATFORG</v>
      </c>
      <c r="C40" s="4">
        <f>VLOOKUP($B40,'Data shares'!$C:$FB,7)</f>
        <v>1204.7</v>
      </c>
      <c r="D40" s="82">
        <f>VLOOKUP($B40,'Data shares'!$C:$FB,98)</f>
        <v>19941500</v>
      </c>
      <c r="E40" s="165">
        <f>VLOOKUP(B40,'Snapshot (Volume)'!$A$7:$G$168,7,0)</f>
        <v>19669500</v>
      </c>
      <c r="F40" s="165">
        <f t="shared" si="9"/>
        <v>272000</v>
      </c>
      <c r="G40" s="166">
        <f t="shared" si="10"/>
        <v>1.3828516230712525E-2</v>
      </c>
      <c r="H40" s="165">
        <f>VLOOKUP($B40,'Data shares'!$C:$FB,66)</f>
        <v>4883000</v>
      </c>
      <c r="I40" s="165">
        <f>VLOOKUP($B40,'Data shares'!$C:$FB,67)</f>
        <v>3574500</v>
      </c>
      <c r="J40" s="81">
        <f t="shared" si="11"/>
        <v>36.606518394181002</v>
      </c>
      <c r="K40" s="5">
        <f>VLOOKUP($B40,'Data Vlaue (Cr)'!$C:$FB,99)</f>
        <v>2406</v>
      </c>
      <c r="L40" s="81">
        <f>VLOOKUP(B40,'OI(Value)'!$A$7:$C$209,3,0)</f>
        <v>33</v>
      </c>
      <c r="M40" s="33">
        <f t="shared" si="12"/>
        <v>1.3715710723192018</v>
      </c>
      <c r="N40" s="5">
        <f>VLOOKUP($B40,'Data Vlaue (Cr)'!$C:$FB,67)</f>
        <v>589</v>
      </c>
      <c r="O40" s="5">
        <f>VLOOKUP($B40,'Data Vlaue (Cr)'!$C:$FB,68)</f>
        <v>431</v>
      </c>
      <c r="P40" s="5">
        <f t="shared" si="13"/>
        <v>26.825127334465193</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Telecom</v>
      </c>
      <c r="B41" s="79" t="str">
        <f>'Data shares'!C36</f>
        <v>BHARTIARTL</v>
      </c>
      <c r="C41" s="4">
        <f>VLOOKUP($B41,'Data shares'!$C:$FB,7)</f>
        <v>1906.8</v>
      </c>
      <c r="D41" s="82">
        <f>VLOOKUP($B41,'Data shares'!$C:$FB,98)</f>
        <v>80465475</v>
      </c>
      <c r="E41" s="165">
        <f>VLOOKUP(B41,'Snapshot (Volume)'!$A$7:$G$168,7,0)</f>
        <v>80772800</v>
      </c>
      <c r="F41" s="165">
        <f t="shared" si="9"/>
        <v>-307325</v>
      </c>
      <c r="G41" s="166">
        <f t="shared" si="10"/>
        <v>-3.8048080541964622E-3</v>
      </c>
      <c r="H41" s="165">
        <f>VLOOKUP($B41,'Data shares'!$C:$FB,66)</f>
        <v>25201125</v>
      </c>
      <c r="I41" s="165">
        <f>VLOOKUP($B41,'Data shares'!$C:$FB,67)</f>
        <v>24735150</v>
      </c>
      <c r="J41" s="81">
        <f t="shared" si="11"/>
        <v>1.8838575872796404</v>
      </c>
      <c r="K41" s="5">
        <f>VLOOKUP($B41,'Data Vlaue (Cr)'!$C:$FB,99)</f>
        <v>15354</v>
      </c>
      <c r="L41" s="81">
        <f>VLOOKUP(B41,'OI(Value)'!$A$7:$C$209,3,0)</f>
        <v>-59</v>
      </c>
      <c r="M41" s="33">
        <f t="shared" si="12"/>
        <v>-0.38426468672658587</v>
      </c>
      <c r="N41" s="5">
        <f>VLOOKUP($B41,'Data Vlaue (Cr)'!$C:$FB,67)</f>
        <v>4809</v>
      </c>
      <c r="O41" s="5">
        <f>VLOOKUP($B41,'Data Vlaue (Cr)'!$C:$FB,68)</f>
        <v>4720</v>
      </c>
      <c r="P41" s="5">
        <f t="shared" si="13"/>
        <v>1.8506966105219382</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Capital_Goods</v>
      </c>
      <c r="B42" s="79" t="str">
        <f>'Data shares'!C37</f>
        <v>BHEL</v>
      </c>
      <c r="C42" s="4">
        <f>VLOOKUP($B42,'Data shares'!$C:$FB,7)</f>
        <v>250.5</v>
      </c>
      <c r="D42" s="82">
        <f>VLOOKUP($B42,'Data shares'!$C:$FB,98)</f>
        <v>110040000</v>
      </c>
      <c r="E42" s="165">
        <f>VLOOKUP(B42,'Snapshot (Volume)'!$A$7:$G$168,7,0)</f>
        <v>107262750</v>
      </c>
      <c r="F42" s="165">
        <f t="shared" si="9"/>
        <v>2777250</v>
      </c>
      <c r="G42" s="166">
        <f t="shared" si="10"/>
        <v>2.5892026821986196E-2</v>
      </c>
      <c r="H42" s="165">
        <f>VLOOKUP($B42,'Data shares'!$C:$FB,66)</f>
        <v>42165375</v>
      </c>
      <c r="I42" s="165">
        <f>VLOOKUP($B42,'Data shares'!$C:$FB,67)</f>
        <v>43414875</v>
      </c>
      <c r="J42" s="81">
        <f t="shared" si="11"/>
        <v>-2.8780458310659651</v>
      </c>
      <c r="K42" s="5">
        <f>VLOOKUP($B42,'Data Vlaue (Cr)'!$C:$FB,99)</f>
        <v>2760</v>
      </c>
      <c r="L42" s="81">
        <f>VLOOKUP(B42,'OI(Value)'!$A$7:$C$209,3,0)</f>
        <v>70</v>
      </c>
      <c r="M42" s="33">
        <f t="shared" si="12"/>
        <v>2.5362318840579712</v>
      </c>
      <c r="N42" s="5">
        <f>VLOOKUP($B42,'Data Vlaue (Cr)'!$C:$FB,67)</f>
        <v>1058</v>
      </c>
      <c r="O42" s="5">
        <f>VLOOKUP($B42,'Data Vlaue (Cr)'!$C:$FB,68)</f>
        <v>1089</v>
      </c>
      <c r="P42" s="5">
        <f t="shared" si="13"/>
        <v>-2.9300567107750473</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Pharma</v>
      </c>
      <c r="B43" s="79" t="str">
        <f>'Data shares'!C38</f>
        <v>BIOCON</v>
      </c>
      <c r="C43" s="4">
        <f>VLOOKUP($B43,'Data shares'!$C:$FB,7)</f>
        <v>387.2</v>
      </c>
      <c r="D43" s="82">
        <f>VLOOKUP($B43,'Data shares'!$C:$FB,98)</f>
        <v>77152500</v>
      </c>
      <c r="E43" s="165">
        <f>VLOOKUP(B43,'Snapshot (Volume)'!$A$7:$G$168,7,0)</f>
        <v>79172500</v>
      </c>
      <c r="F43" s="165">
        <f t="shared" si="9"/>
        <v>-2020000</v>
      </c>
      <c r="G43" s="166">
        <f t="shared" si="10"/>
        <v>-2.5513909501405158E-2</v>
      </c>
      <c r="H43" s="165">
        <f>VLOOKUP($B43,'Data shares'!$C:$FB,66)</f>
        <v>36972500</v>
      </c>
      <c r="I43" s="165">
        <f>VLOOKUP($B43,'Data shares'!$C:$FB,67)</f>
        <v>27825000</v>
      </c>
      <c r="J43" s="81">
        <f t="shared" si="11"/>
        <v>32.875112309074574</v>
      </c>
      <c r="K43" s="5">
        <f>VLOOKUP($B43,'Data Vlaue (Cr)'!$C:$FB,99)</f>
        <v>2994</v>
      </c>
      <c r="L43" s="81">
        <f>VLOOKUP(B43,'OI(Value)'!$A$7:$C$209,3,0)</f>
        <v>-78</v>
      </c>
      <c r="M43" s="33">
        <f t="shared" si="12"/>
        <v>-2.6052104208416833</v>
      </c>
      <c r="N43" s="5">
        <f>VLOOKUP($B43,'Data Vlaue (Cr)'!$C:$FB,67)</f>
        <v>1435</v>
      </c>
      <c r="O43" s="5">
        <f>VLOOKUP($B43,'Data Vlaue (Cr)'!$C:$FB,68)</f>
        <v>1080</v>
      </c>
      <c r="P43" s="5">
        <f t="shared" si="13"/>
        <v>24.738675958188153</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Capital_Goods</v>
      </c>
      <c r="B44" s="79" t="str">
        <f>'Data shares'!C39</f>
        <v>BLUESTARCO</v>
      </c>
      <c r="C44" s="79">
        <f>VLOOKUP($B44,'Data shares'!$C:$FB,7)</f>
        <v>1764.2</v>
      </c>
      <c r="D44" s="165">
        <f>VLOOKUP($B44,'Data shares'!$C:$FB,98)</f>
        <v>5566275</v>
      </c>
      <c r="E44" s="165">
        <f>VLOOKUP(B44,'Snapshot (Volume)'!$A$7:$G$168,7,0)</f>
        <v>5431400</v>
      </c>
      <c r="F44" s="165">
        <f t="shared" ref="F44:F49" si="14">D44-E44</f>
        <v>134875</v>
      </c>
      <c r="G44" s="166">
        <f t="shared" ref="G44:G49" si="15">F44/E44</f>
        <v>2.4832455720440402E-2</v>
      </c>
      <c r="H44" s="165">
        <f>VLOOKUP($B44,'Data shares'!$C:$FB,66)</f>
        <v>6252025</v>
      </c>
      <c r="I44" s="165">
        <f>VLOOKUP($B44,'Data shares'!$C:$FB,67)</f>
        <v>6010875</v>
      </c>
      <c r="J44" s="81">
        <f t="shared" ref="J44:J49" si="16">(H44-I44)/I44*100</f>
        <v>4.0118951067856177</v>
      </c>
      <c r="K44" s="81">
        <f>VLOOKUP($B44,'Data Vlaue (Cr)'!$C:$FB,99)</f>
        <v>985</v>
      </c>
      <c r="L44" s="81">
        <f>VLOOKUP(B44,'OI(Value)'!$A$7:$C$209,3,0)</f>
        <v>24</v>
      </c>
      <c r="M44" s="81">
        <f t="shared" si="12"/>
        <v>2.4365482233502536</v>
      </c>
      <c r="N44" s="81">
        <f>VLOOKUP($B44,'Data Vlaue (Cr)'!$C:$FB,67)</f>
        <v>1106</v>
      </c>
      <c r="O44" s="81">
        <f>VLOOKUP($B44,'Data Vlaue (Cr)'!$C:$FB,68)</f>
        <v>1064</v>
      </c>
      <c r="P44" s="81">
        <f t="shared" ref="P44:P49" si="17">(N44-O44)/N44*100</f>
        <v>3.79746835443038</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Automobile</v>
      </c>
      <c r="B45" s="79" t="str">
        <f>'Data shares'!C40</f>
        <v>BOSCHLTD</v>
      </c>
      <c r="C45" s="4">
        <f>VLOOKUP($B45,'Data shares'!$C:$FB,7)</f>
        <v>37755</v>
      </c>
      <c r="D45" s="82">
        <f>VLOOKUP($B45,'Data shares'!$C:$FB,98)</f>
        <v>1020950</v>
      </c>
      <c r="E45" s="165">
        <f>VLOOKUP(B45,'Snapshot (Volume)'!$A$7:$G$168,7,0)</f>
        <v>1103800</v>
      </c>
      <c r="F45" s="165">
        <f t="shared" si="14"/>
        <v>-82850</v>
      </c>
      <c r="G45" s="166">
        <f t="shared" si="15"/>
        <v>-7.5058887479615866E-2</v>
      </c>
      <c r="H45" s="165">
        <f>VLOOKUP($B45,'Data shares'!$C:$FB,66)</f>
        <v>1148600</v>
      </c>
      <c r="I45" s="165">
        <f>VLOOKUP($B45,'Data shares'!$C:$FB,67)</f>
        <v>842300</v>
      </c>
      <c r="J45" s="81">
        <f t="shared" si="16"/>
        <v>36.364715659503737</v>
      </c>
      <c r="K45" s="5">
        <f>VLOOKUP($B45,'Data Vlaue (Cr)'!$C:$FB,99)</f>
        <v>3813</v>
      </c>
      <c r="L45" s="81">
        <f>VLOOKUP(B45,'OI(Value)'!$A$7:$C$209,3,0)</f>
        <v>-309</v>
      </c>
      <c r="M45" s="33">
        <f t="shared" si="12"/>
        <v>-8.1038552321007078</v>
      </c>
      <c r="N45" s="5">
        <f>VLOOKUP($B45,'Data Vlaue (Cr)'!$C:$FB,67)</f>
        <v>4290</v>
      </c>
      <c r="O45" s="5">
        <f>VLOOKUP($B45,'Data Vlaue (Cr)'!$C:$FB,68)</f>
        <v>3146</v>
      </c>
      <c r="P45" s="5">
        <f t="shared" si="17"/>
        <v>26.666666666666668</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Oil_Gas</v>
      </c>
      <c r="B46" s="79" t="str">
        <f>'Data shares'!C41</f>
        <v>BPCL</v>
      </c>
      <c r="C46" s="4">
        <f>VLOOKUP($B46,'Data shares'!$C:$FB,7)</f>
        <v>340.35</v>
      </c>
      <c r="D46" s="82">
        <f>VLOOKUP($B46,'Data shares'!$C:$FB,98)</f>
        <v>79707050</v>
      </c>
      <c r="E46" s="165">
        <f>VLOOKUP(B46,'Snapshot (Volume)'!$A$7:$G$168,7,0)</f>
        <v>80066500</v>
      </c>
      <c r="F46" s="165">
        <f t="shared" si="14"/>
        <v>-359450</v>
      </c>
      <c r="G46" s="166">
        <f t="shared" si="15"/>
        <v>-4.4893931919092259E-3</v>
      </c>
      <c r="H46" s="165">
        <f>VLOOKUP($B46,'Data shares'!$C:$FB,66)</f>
        <v>24249050</v>
      </c>
      <c r="I46" s="165">
        <f>VLOOKUP($B46,'Data shares'!$C:$FB,67)</f>
        <v>25242475</v>
      </c>
      <c r="J46" s="81">
        <f t="shared" si="16"/>
        <v>-3.935529301306627</v>
      </c>
      <c r="K46" s="5">
        <f>VLOOKUP($B46,'Data Vlaue (Cr)'!$C:$FB,99)</f>
        <v>2682</v>
      </c>
      <c r="L46" s="81">
        <f>VLOOKUP(B46,'OI(Value)'!$A$7:$C$209,3,0)</f>
        <v>-12</v>
      </c>
      <c r="M46" s="33">
        <f t="shared" si="12"/>
        <v>-0.44742729306487694</v>
      </c>
      <c r="N46" s="5">
        <f>VLOOKUP($B46,'Data Vlaue (Cr)'!$C:$FB,67)</f>
        <v>816</v>
      </c>
      <c r="O46" s="5">
        <f>VLOOKUP($B46,'Data Vlaue (Cr)'!$C:$FB,68)</f>
        <v>849</v>
      </c>
      <c r="P46" s="5">
        <f t="shared" si="17"/>
        <v>-4.0441176470588234</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FMCG</v>
      </c>
      <c r="B47" s="79" t="str">
        <f>'Data shares'!C42</f>
        <v>BRITANNIA</v>
      </c>
      <c r="C47" s="4">
        <f>VLOOKUP($B47,'Data shares'!$C:$FB,7)</f>
        <v>5708.5</v>
      </c>
      <c r="D47" s="82">
        <f>VLOOKUP($B47,'Data shares'!$C:$FB,98)</f>
        <v>4369125</v>
      </c>
      <c r="E47" s="165">
        <f>VLOOKUP(B47,'Snapshot (Volume)'!$A$7:$G$168,7,0)</f>
        <v>4333000</v>
      </c>
      <c r="F47" s="165">
        <f t="shared" si="14"/>
        <v>36125</v>
      </c>
      <c r="G47" s="166">
        <f t="shared" si="15"/>
        <v>8.3371797830602348E-3</v>
      </c>
      <c r="H47" s="165">
        <f>VLOOKUP($B47,'Data shares'!$C:$FB,66)</f>
        <v>2176750</v>
      </c>
      <c r="I47" s="165">
        <f>VLOOKUP($B47,'Data shares'!$C:$FB,67)</f>
        <v>1535125</v>
      </c>
      <c r="J47" s="81">
        <f t="shared" si="16"/>
        <v>41.796270661998207</v>
      </c>
      <c r="K47" s="5">
        <f>VLOOKUP($B47,'Data Vlaue (Cr)'!$C:$FB,99)</f>
        <v>2496</v>
      </c>
      <c r="L47" s="81">
        <f>VLOOKUP(B47,'OI(Value)'!$A$7:$C$209,3,0)</f>
        <v>21</v>
      </c>
      <c r="M47" s="33">
        <f t="shared" si="12"/>
        <v>0.84134615384615385</v>
      </c>
      <c r="N47" s="5">
        <f>VLOOKUP($B47,'Data Vlaue (Cr)'!$C:$FB,67)</f>
        <v>1244</v>
      </c>
      <c r="O47" s="5">
        <f>VLOOKUP($B47,'Data Vlaue (Cr)'!$C:$FB,68)</f>
        <v>877</v>
      </c>
      <c r="P47" s="5">
        <f t="shared" si="17"/>
        <v>29.5016077170418</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BSE</v>
      </c>
      <c r="C48" s="4">
        <f>VLOOKUP($B48,'Data shares'!$C:$FB,7)</f>
        <v>2548.4</v>
      </c>
      <c r="D48" s="82">
        <f>VLOOKUP($B48,'Data shares'!$C:$FB,98)</f>
        <v>43497000</v>
      </c>
      <c r="E48" s="165">
        <f>VLOOKUP(B48,'Snapshot (Volume)'!$A$7:$G$168,7,0)</f>
        <v>44714250</v>
      </c>
      <c r="F48" s="165">
        <f t="shared" si="14"/>
        <v>-1217250</v>
      </c>
      <c r="G48" s="166">
        <f t="shared" si="15"/>
        <v>-2.7222865193981784E-2</v>
      </c>
      <c r="H48" s="165">
        <f>VLOOKUP($B48,'Data shares'!$C:$FB,66)</f>
        <v>34615500</v>
      </c>
      <c r="I48" s="165">
        <f>VLOOKUP($B48,'Data shares'!$C:$FB,67)</f>
        <v>63047625</v>
      </c>
      <c r="J48" s="81">
        <f t="shared" si="16"/>
        <v>-45.096266512814722</v>
      </c>
      <c r="K48" s="5">
        <f>VLOOKUP($B48,'Data Vlaue (Cr)'!$C:$FB,99)</f>
        <v>11097</v>
      </c>
      <c r="L48" s="81">
        <f>VLOOKUP(B48,'OI(Value)'!$A$7:$C$209,3,0)</f>
        <v>-311</v>
      </c>
      <c r="M48" s="33">
        <f t="shared" si="12"/>
        <v>-2.8025592502478149</v>
      </c>
      <c r="N48" s="5">
        <f>VLOOKUP($B48,'Data Vlaue (Cr)'!$C:$FB,67)</f>
        <v>8831</v>
      </c>
      <c r="O48" s="5">
        <f>VLOOKUP($B48,'Data Vlaue (Cr)'!$C:$FB,68)</f>
        <v>16084</v>
      </c>
      <c r="P48" s="5">
        <f t="shared" si="17"/>
        <v>-82.13112897746575</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Technology</v>
      </c>
      <c r="B49" s="79" t="str">
        <f>'Data shares'!C44</f>
        <v>BSOFT</v>
      </c>
      <c r="C49" s="4">
        <f>VLOOKUP($B49,'Data shares'!$C:$FB,7)</f>
        <v>404.3</v>
      </c>
      <c r="D49" s="82">
        <f>VLOOKUP($B49,'Data shares'!$C:$FB,98)</f>
        <v>22295000</v>
      </c>
      <c r="E49" s="165">
        <f>VLOOKUP(B49,'Snapshot (Volume)'!$A$7:$G$168,7,0)</f>
        <v>22928100</v>
      </c>
      <c r="F49" s="165">
        <f t="shared" si="14"/>
        <v>-633100</v>
      </c>
      <c r="G49" s="166">
        <f t="shared" si="15"/>
        <v>-2.7612405737937291E-2</v>
      </c>
      <c r="H49" s="165">
        <f>VLOOKUP($B49,'Data shares'!$C:$FB,66)</f>
        <v>12356500</v>
      </c>
      <c r="I49" s="165">
        <f>VLOOKUP($B49,'Data shares'!$C:$FB,67)</f>
        <v>4625400</v>
      </c>
      <c r="J49" s="81">
        <f t="shared" si="16"/>
        <v>167.14446318156268</v>
      </c>
      <c r="K49" s="5">
        <f>VLOOKUP($B49,'Data Vlaue (Cr)'!$C:$FB,99)</f>
        <v>904</v>
      </c>
      <c r="L49" s="81">
        <f>VLOOKUP(B49,'OI(Value)'!$A$7:$C$209,3,0)</f>
        <v>-26</v>
      </c>
      <c r="M49" s="33">
        <f t="shared" si="12"/>
        <v>-2.8761061946902653</v>
      </c>
      <c r="N49" s="5">
        <f>VLOOKUP($B49,'Data Vlaue (Cr)'!$C:$FB,67)</f>
        <v>501</v>
      </c>
      <c r="O49" s="5">
        <f>VLOOKUP($B49,'Data Vlaue (Cr)'!$C:$FB,68)</f>
        <v>188</v>
      </c>
      <c r="P49" s="5">
        <f t="shared" si="17"/>
        <v>62.4750499001996</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Finance</v>
      </c>
      <c r="B50" s="79" t="str">
        <f>'Data shares'!C45</f>
        <v>CAMS</v>
      </c>
      <c r="C50" s="4">
        <f>VLOOKUP($B50,'Data shares'!$C:$FB,7)</f>
        <v>4247.5</v>
      </c>
      <c r="D50" s="82">
        <f>VLOOKUP($B50,'Data shares'!$C:$FB,98)</f>
        <v>4416150</v>
      </c>
      <c r="E50" s="165">
        <f>VLOOKUP(B50,'Snapshot (Volume)'!$A$7:$G$168,7,0)</f>
        <v>4398900</v>
      </c>
      <c r="F50" s="165">
        <f>D50-E50</f>
        <v>17250</v>
      </c>
      <c r="G50" s="166">
        <f>F50/E50</f>
        <v>3.9214349041805903E-3</v>
      </c>
      <c r="H50" s="165">
        <f>VLOOKUP($B50,'Data shares'!$C:$FB,66)</f>
        <v>1539450</v>
      </c>
      <c r="I50" s="165">
        <f>VLOOKUP($B50,'Data shares'!$C:$FB,67)</f>
        <v>1344150</v>
      </c>
      <c r="J50" s="81">
        <f>(H50-I50)/I50*100</f>
        <v>14.52962838968865</v>
      </c>
      <c r="K50" s="5">
        <f>VLOOKUP($B50,'Data Vlaue (Cr)'!$C:$FB,99)</f>
        <v>1882</v>
      </c>
      <c r="L50" s="81">
        <f>VLOOKUP(B50,'OI(Value)'!$A$7:$C$209,3,0)</f>
        <v>7</v>
      </c>
      <c r="M50" s="33">
        <f t="shared" si="12"/>
        <v>0.37194473963868224</v>
      </c>
      <c r="N50" s="5">
        <f>VLOOKUP($B50,'Data Vlaue (Cr)'!$C:$FB,67)</f>
        <v>656</v>
      </c>
      <c r="O50" s="5">
        <f>VLOOKUP($B50,'Data Vlaue (Cr)'!$C:$FB,68)</f>
        <v>573</v>
      </c>
      <c r="P50" s="5">
        <f>(N50-O50)/N50*100</f>
        <v>12.652439024390244</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Banking</v>
      </c>
      <c r="B51" s="79" t="str">
        <f>'Data shares'!C46</f>
        <v>CANBK</v>
      </c>
      <c r="C51" s="4">
        <f>VLOOKUP($B51,'Data shares'!$C:$FB,7)</f>
        <v>108.05</v>
      </c>
      <c r="D51" s="82">
        <f>VLOOKUP($B51,'Data shares'!$C:$FB,98)</f>
        <v>461018250</v>
      </c>
      <c r="E51" s="165">
        <f>VLOOKUP(B51,'Snapshot (Volume)'!$A$7:$G$168,7,0)</f>
        <v>412283250</v>
      </c>
      <c r="F51" s="165">
        <f>D51-E51</f>
        <v>48735000</v>
      </c>
      <c r="G51" s="166">
        <f>F51/E51</f>
        <v>0.11820756724897265</v>
      </c>
      <c r="H51" s="165">
        <f>VLOOKUP($B51,'Data shares'!$C:$FB,66)</f>
        <v>493269750</v>
      </c>
      <c r="I51" s="165">
        <f>VLOOKUP($B51,'Data shares'!$C:$FB,67)</f>
        <v>414605250</v>
      </c>
      <c r="J51" s="81">
        <f>(H51-I51)/I51*100</f>
        <v>18.973348745583902</v>
      </c>
      <c r="K51" s="5">
        <f>VLOOKUP($B51,'Data Vlaue (Cr)'!$C:$FB,99)</f>
        <v>4983</v>
      </c>
      <c r="L51" s="81">
        <f>VLOOKUP(B51,'OI(Value)'!$A$7:$C$209,3,0)</f>
        <v>527</v>
      </c>
      <c r="M51" s="33">
        <f t="shared" si="12"/>
        <v>10.575958258077463</v>
      </c>
      <c r="N51" s="5">
        <f>VLOOKUP($B51,'Data Vlaue (Cr)'!$C:$FB,67)</f>
        <v>5332</v>
      </c>
      <c r="O51" s="5">
        <f>VLOOKUP($B51,'Data Vlaue (Cr)'!$C:$FB,68)</f>
        <v>4481</v>
      </c>
      <c r="P51" s="5">
        <f>(N51-O51)/N51*100</f>
        <v>15.960240060015005</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Finance</v>
      </c>
      <c r="B52" s="79" t="str">
        <f>'Data shares'!C47</f>
        <v>CDSL</v>
      </c>
      <c r="C52" s="79">
        <f>VLOOKUP($B52,'Data shares'!$C:$FB,7)</f>
        <v>1714.7</v>
      </c>
      <c r="D52" s="80">
        <f>VLOOKUP($B52,'Data shares'!$C:$FB,98)</f>
        <v>24263475</v>
      </c>
      <c r="E52" s="165">
        <f>VLOOKUP(B52,'Snapshot (Volume)'!$A$7:$G$168,7,0)</f>
        <v>23077400</v>
      </c>
      <c r="F52" s="165">
        <f t="shared" ref="F52:F68" si="18">D52-E52</f>
        <v>1186075</v>
      </c>
      <c r="G52" s="166">
        <f t="shared" ref="G52:G68" si="19">F52/E52</f>
        <v>5.1395521159229379E-2</v>
      </c>
      <c r="H52" s="165">
        <f>VLOOKUP($B52,'Data shares'!$C:$FB,66)</f>
        <v>17020200</v>
      </c>
      <c r="I52" s="165">
        <f>VLOOKUP($B52,'Data shares'!$C:$FB,67)</f>
        <v>14529775</v>
      </c>
      <c r="J52" s="81">
        <f t="shared" ref="J52:J68" si="20">(H52-I52)/I52*100</f>
        <v>17.140148419366437</v>
      </c>
      <c r="K52" s="81">
        <f>VLOOKUP($B52,'Data Vlaue (Cr)'!$C:$FB,99)</f>
        <v>4164</v>
      </c>
      <c r="L52" s="81">
        <f>VLOOKUP(B52,'OI(Value)'!$A$7:$C$209,3,0)</f>
        <v>204</v>
      </c>
      <c r="M52" s="81">
        <f t="shared" si="12"/>
        <v>4.8991354466858787</v>
      </c>
      <c r="N52" s="81">
        <f>VLOOKUP($B52,'Data Vlaue (Cr)'!$C:$FB,67)</f>
        <v>2921</v>
      </c>
      <c r="O52" s="81">
        <f>VLOOKUP($B52,'Data Vlaue (Cr)'!$C:$FB,68)</f>
        <v>2494</v>
      </c>
      <c r="P52" s="81">
        <f t="shared" ref="P52:P68" si="21">(N52-O52)/N52*100</f>
        <v>14.618281410475864</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Power</v>
      </c>
      <c r="B53" s="79" t="str">
        <f>'Data shares'!C48</f>
        <v>CESC</v>
      </c>
      <c r="C53" s="4">
        <f>VLOOKUP($B53,'Data shares'!$C:$FB,7)</f>
        <v>177.93</v>
      </c>
      <c r="D53" s="82">
        <f>VLOOKUP($B53,'Data shares'!$C:$FB,98)</f>
        <v>34510000</v>
      </c>
      <c r="E53" s="165">
        <f>VLOOKUP(B53,'Snapshot (Volume)'!$A$7:$G$168,7,0)</f>
        <v>35372750</v>
      </c>
      <c r="F53" s="165">
        <f t="shared" si="18"/>
        <v>-862750</v>
      </c>
      <c r="G53" s="166">
        <f t="shared" si="19"/>
        <v>-2.4390243902439025E-2</v>
      </c>
      <c r="H53" s="165">
        <f>VLOOKUP($B53,'Data shares'!$C:$FB,66)</f>
        <v>6111750</v>
      </c>
      <c r="I53" s="165">
        <f>VLOOKUP($B53,'Data shares'!$C:$FB,67)</f>
        <v>16548125</v>
      </c>
      <c r="J53" s="81">
        <f t="shared" si="20"/>
        <v>-63.066812705366928</v>
      </c>
      <c r="K53" s="5">
        <f>VLOOKUP($B53,'Data Vlaue (Cr)'!$C:$FB,99)</f>
        <v>614</v>
      </c>
      <c r="L53" s="81">
        <f>VLOOKUP(B53,'OI(Value)'!$A$7:$C$209,3,0)</f>
        <v>-15</v>
      </c>
      <c r="M53" s="33">
        <f t="shared" si="12"/>
        <v>-2.44299674267101</v>
      </c>
      <c r="N53" s="5">
        <f>VLOOKUP($B53,'Data Vlaue (Cr)'!$C:$FB,67)</f>
        <v>109</v>
      </c>
      <c r="O53" s="5">
        <f>VLOOKUP($B53,'Data Vlaue (Cr)'!$C:$FB,68)</f>
        <v>295</v>
      </c>
      <c r="P53" s="5">
        <f t="shared" si="21"/>
        <v>-170.64220183486239</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Power</v>
      </c>
      <c r="B54" s="79" t="str">
        <f>'Data shares'!C49</f>
        <v>CGPOWER</v>
      </c>
      <c r="C54" s="4">
        <f>VLOOKUP($B54,'Data shares'!$C:$FB,7)</f>
        <v>683.8</v>
      </c>
      <c r="D54" s="82">
        <f>VLOOKUP($B54,'Data shares'!$C:$FB,98)</f>
        <v>27324100</v>
      </c>
      <c r="E54" s="165">
        <f>VLOOKUP(B54,'Snapshot (Volume)'!$A$7:$G$168,7,0)</f>
        <v>27302000</v>
      </c>
      <c r="F54" s="165">
        <f t="shared" si="18"/>
        <v>22100</v>
      </c>
      <c r="G54" s="166">
        <f t="shared" si="19"/>
        <v>8.0946450809464511E-4</v>
      </c>
      <c r="H54" s="165">
        <f>VLOOKUP($B54,'Data shares'!$C:$FB,66)</f>
        <v>12964200</v>
      </c>
      <c r="I54" s="165">
        <f>VLOOKUP($B54,'Data shares'!$C:$FB,67)</f>
        <v>12296100</v>
      </c>
      <c r="J54" s="81">
        <f t="shared" si="20"/>
        <v>5.4334301119867279</v>
      </c>
      <c r="K54" s="5">
        <f>VLOOKUP($B54,'Data Vlaue (Cr)'!$C:$FB,99)</f>
        <v>1872</v>
      </c>
      <c r="L54" s="81">
        <f>VLOOKUP(B54,'OI(Value)'!$A$7:$C$209,3,0)</f>
        <v>2</v>
      </c>
      <c r="M54" s="33">
        <f t="shared" si="12"/>
        <v>0.10683760683760685</v>
      </c>
      <c r="N54" s="5">
        <f>VLOOKUP($B54,'Data Vlaue (Cr)'!$C:$FB,67)</f>
        <v>888</v>
      </c>
      <c r="O54" s="5">
        <f>VLOOKUP($B54,'Data Vlaue (Cr)'!$C:$FB,68)</f>
        <v>842</v>
      </c>
      <c r="P54" s="5">
        <f t="shared" si="21"/>
        <v>5.1801801801801801</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Chemicals</v>
      </c>
      <c r="B55" s="79" t="str">
        <f>'Data shares'!C50</f>
        <v>CHAMBLFERT</v>
      </c>
      <c r="C55" s="4">
        <f>VLOOKUP($B55,'Data shares'!$C:$FB,7)</f>
        <v>550.20000000000005</v>
      </c>
      <c r="D55" s="82">
        <f>VLOOKUP($B55,'Data shares'!$C:$FB,98)</f>
        <v>19131100</v>
      </c>
      <c r="E55" s="165">
        <f>VLOOKUP(B55,'Snapshot (Volume)'!$A$7:$G$168,7,0)</f>
        <v>19507300</v>
      </c>
      <c r="F55" s="165">
        <f t="shared" si="18"/>
        <v>-376200</v>
      </c>
      <c r="G55" s="166">
        <f t="shared" si="19"/>
        <v>-1.9285088146488751E-2</v>
      </c>
      <c r="H55" s="165">
        <f>VLOOKUP($B55,'Data shares'!$C:$FB,66)</f>
        <v>4185700</v>
      </c>
      <c r="I55" s="165">
        <f>VLOOKUP($B55,'Data shares'!$C:$FB,67)</f>
        <v>5661050</v>
      </c>
      <c r="J55" s="81">
        <f t="shared" si="20"/>
        <v>-26.061419701292166</v>
      </c>
      <c r="K55" s="5">
        <f>VLOOKUP($B55,'Data Vlaue (Cr)'!$C:$FB,99)</f>
        <v>1056</v>
      </c>
      <c r="L55" s="81">
        <f>VLOOKUP(B55,'OI(Value)'!$A$7:$C$209,3,0)</f>
        <v>-21</v>
      </c>
      <c r="M55" s="33">
        <f t="shared" si="12"/>
        <v>-1.9886363636363635</v>
      </c>
      <c r="N55" s="5">
        <f>VLOOKUP($B55,'Data Vlaue (Cr)'!$C:$FB,67)</f>
        <v>231</v>
      </c>
      <c r="O55" s="5">
        <f>VLOOKUP($B55,'Data Vlaue (Cr)'!$C:$FB,68)</f>
        <v>312</v>
      </c>
      <c r="P55" s="5">
        <f t="shared" si="21"/>
        <v>-35.064935064935064</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Finance</v>
      </c>
      <c r="B56" s="79" t="str">
        <f>'Data shares'!C51</f>
        <v>CHOLAFIN</v>
      </c>
      <c r="C56" s="4">
        <f>VLOOKUP($B56,'Data shares'!$C:$FB,7)</f>
        <v>1565.4</v>
      </c>
      <c r="D56" s="82">
        <f>VLOOKUP($B56,'Data shares'!$C:$FB,98)</f>
        <v>19325625</v>
      </c>
      <c r="E56" s="165">
        <f>VLOOKUP(B56,'Snapshot (Volume)'!$A$7:$G$168,7,0)</f>
        <v>19151250</v>
      </c>
      <c r="F56" s="165">
        <f t="shared" si="18"/>
        <v>174375</v>
      </c>
      <c r="G56" s="166">
        <f t="shared" si="19"/>
        <v>9.1051497943998427E-3</v>
      </c>
      <c r="H56" s="165">
        <f>VLOOKUP($B56,'Data shares'!$C:$FB,66)</f>
        <v>4680000</v>
      </c>
      <c r="I56" s="165">
        <f>VLOOKUP($B56,'Data shares'!$C:$FB,67)</f>
        <v>12791875</v>
      </c>
      <c r="J56" s="81">
        <f t="shared" si="20"/>
        <v>-63.4142766404456</v>
      </c>
      <c r="K56" s="5">
        <f>VLOOKUP($B56,'Data Vlaue (Cr)'!$C:$FB,99)</f>
        <v>3024</v>
      </c>
      <c r="L56" s="81">
        <f>VLOOKUP(B56,'OI(Value)'!$A$7:$C$209,3,0)</f>
        <v>27</v>
      </c>
      <c r="M56" s="33">
        <f t="shared" si="12"/>
        <v>0.89285714285714279</v>
      </c>
      <c r="N56" s="5">
        <f>VLOOKUP($B56,'Data Vlaue (Cr)'!$C:$FB,67)</f>
        <v>732</v>
      </c>
      <c r="O56" s="5">
        <f>VLOOKUP($B56,'Data Vlaue (Cr)'!$C:$FB,68)</f>
        <v>2002</v>
      </c>
      <c r="P56" s="5">
        <f t="shared" si="21"/>
        <v>-173.49726775956285</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Pharma</v>
      </c>
      <c r="B57" s="79" t="str">
        <f>'Data shares'!C52</f>
        <v>CIPLA</v>
      </c>
      <c r="C57" s="4">
        <f>VLOOKUP($B57,'Data shares'!$C:$FB,7)</f>
        <v>1464.4</v>
      </c>
      <c r="D57" s="82">
        <f>VLOOKUP($B57,'Data shares'!$C:$FB,98)</f>
        <v>20369250</v>
      </c>
      <c r="E57" s="165">
        <f>VLOOKUP(B57,'Snapshot (Volume)'!$A$7:$G$168,7,0)</f>
        <v>20782125</v>
      </c>
      <c r="F57" s="165">
        <f t="shared" si="18"/>
        <v>-412875</v>
      </c>
      <c r="G57" s="166">
        <f t="shared" si="19"/>
        <v>-1.9866832674714448E-2</v>
      </c>
      <c r="H57" s="165">
        <f>VLOOKUP($B57,'Data shares'!$C:$FB,66)</f>
        <v>6915750</v>
      </c>
      <c r="I57" s="165">
        <f>VLOOKUP($B57,'Data shares'!$C:$FB,67)</f>
        <v>3965250</v>
      </c>
      <c r="J57" s="81">
        <f t="shared" si="20"/>
        <v>74.408927558161537</v>
      </c>
      <c r="K57" s="5">
        <f>VLOOKUP($B57,'Data Vlaue (Cr)'!$C:$FB,99)</f>
        <v>2985</v>
      </c>
      <c r="L57" s="81">
        <f>VLOOKUP(B57,'OI(Value)'!$A$7:$C$209,3,0)</f>
        <v>-61</v>
      </c>
      <c r="M57" s="33">
        <f t="shared" si="12"/>
        <v>-2.0435510887772192</v>
      </c>
      <c r="N57" s="5">
        <f>VLOOKUP($B57,'Data Vlaue (Cr)'!$C:$FB,67)</f>
        <v>1014</v>
      </c>
      <c r="O57" s="5">
        <f>VLOOKUP($B57,'Data Vlaue (Cr)'!$C:$FB,68)</f>
        <v>581</v>
      </c>
      <c r="P57" s="5">
        <f t="shared" si="21"/>
        <v>42.702169625246547</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Metals</v>
      </c>
      <c r="B58" s="79" t="str">
        <f>'Data shares'!C53</f>
        <v>COALINDIA</v>
      </c>
      <c r="C58" s="4">
        <f>VLOOKUP($B58,'Data shares'!$C:$FB,7)</f>
        <v>389.1</v>
      </c>
      <c r="D58" s="82">
        <f>VLOOKUP($B58,'Data shares'!$C:$FB,98)</f>
        <v>154836900</v>
      </c>
      <c r="E58" s="165">
        <f>VLOOKUP(B58,'Snapshot (Volume)'!$A$7:$G$168,7,0)</f>
        <v>160465050</v>
      </c>
      <c r="F58" s="165">
        <f t="shared" si="18"/>
        <v>-5628150</v>
      </c>
      <c r="G58" s="166">
        <f t="shared" si="19"/>
        <v>-3.5073992747953524E-2</v>
      </c>
      <c r="H58" s="165">
        <f>VLOOKUP($B58,'Data shares'!$C:$FB,66)</f>
        <v>62722350</v>
      </c>
      <c r="I58" s="165">
        <f>VLOOKUP($B58,'Data shares'!$C:$FB,67)</f>
        <v>41440950</v>
      </c>
      <c r="J58" s="81">
        <f t="shared" si="20"/>
        <v>51.3535524644102</v>
      </c>
      <c r="K58" s="5">
        <f>VLOOKUP($B58,'Data Vlaue (Cr)'!$C:$FB,99)</f>
        <v>6040</v>
      </c>
      <c r="L58" s="81">
        <f>VLOOKUP(B58,'OI(Value)'!$A$7:$C$209,3,0)</f>
        <v>-220</v>
      </c>
      <c r="M58" s="33">
        <f t="shared" si="12"/>
        <v>-3.6423841059602649</v>
      </c>
      <c r="N58" s="5">
        <f>VLOOKUP($B58,'Data Vlaue (Cr)'!$C:$FB,67)</f>
        <v>2447</v>
      </c>
      <c r="O58" s="5">
        <f>VLOOKUP($B58,'Data Vlaue (Cr)'!$C:$FB,68)</f>
        <v>1617</v>
      </c>
      <c r="P58" s="5">
        <f t="shared" si="21"/>
        <v>33.919084593379651</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Technology</v>
      </c>
      <c r="B59" s="79" t="str">
        <f>'Data shares'!C54</f>
        <v>COFORGE</v>
      </c>
      <c r="C59" s="4">
        <f>VLOOKUP($B59,'Data shares'!$C:$FB,7)</f>
        <v>1858.4</v>
      </c>
      <c r="D59" s="82">
        <f>VLOOKUP($B59,'Data shares'!$C:$FB,98)</f>
        <v>22157250</v>
      </c>
      <c r="E59" s="165">
        <f>VLOOKUP(B59,'Snapshot (Volume)'!$A$7:$G$168,7,0)</f>
        <v>21978375</v>
      </c>
      <c r="F59" s="165">
        <f t="shared" si="18"/>
        <v>178875</v>
      </c>
      <c r="G59" s="166">
        <f t="shared" si="19"/>
        <v>8.138681772424031E-3</v>
      </c>
      <c r="H59" s="165">
        <f>VLOOKUP($B59,'Data shares'!$C:$FB,66)</f>
        <v>8163000</v>
      </c>
      <c r="I59" s="165">
        <f>VLOOKUP($B59,'Data shares'!$C:$FB,67)</f>
        <v>6381375</v>
      </c>
      <c r="J59" s="81">
        <f t="shared" si="20"/>
        <v>27.919139683845568</v>
      </c>
      <c r="K59" s="5">
        <f>VLOOKUP($B59,'Data Vlaue (Cr)'!$C:$FB,99)</f>
        <v>4119</v>
      </c>
      <c r="L59" s="81">
        <f>VLOOKUP(B59,'OI(Value)'!$A$7:$C$209,3,0)</f>
        <v>33</v>
      </c>
      <c r="M59" s="33">
        <f t="shared" si="12"/>
        <v>0.80116533139111445</v>
      </c>
      <c r="N59" s="5">
        <f>VLOOKUP($B59,'Data Vlaue (Cr)'!$C:$FB,67)</f>
        <v>1518</v>
      </c>
      <c r="O59" s="5">
        <f>VLOOKUP($B59,'Data Vlaue (Cr)'!$C:$FB,68)</f>
        <v>1186</v>
      </c>
      <c r="P59" s="5">
        <f t="shared" si="21"/>
        <v>21.870882740447957</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FMCG</v>
      </c>
      <c r="B60" s="79" t="str">
        <f>'Data shares'!C55</f>
        <v>COLPAL</v>
      </c>
      <c r="C60" s="4">
        <f>VLOOKUP($B60,'Data shares'!$C:$FB,7)</f>
        <v>2379.5</v>
      </c>
      <c r="D60" s="82">
        <f>VLOOKUP($B60,'Data shares'!$C:$FB,98)</f>
        <v>9188550</v>
      </c>
      <c r="E60" s="165">
        <f>VLOOKUP(B60,'Snapshot (Volume)'!$A$7:$G$168,7,0)</f>
        <v>8360100</v>
      </c>
      <c r="F60" s="165">
        <f t="shared" si="18"/>
        <v>828450</v>
      </c>
      <c r="G60" s="166">
        <f t="shared" si="19"/>
        <v>9.9095704596834963E-2</v>
      </c>
      <c r="H60" s="165">
        <f>VLOOKUP($B60,'Data shares'!$C:$FB,66)</f>
        <v>17249850</v>
      </c>
      <c r="I60" s="165">
        <f>VLOOKUP($B60,'Data shares'!$C:$FB,67)</f>
        <v>2920050</v>
      </c>
      <c r="J60" s="81">
        <f t="shared" si="20"/>
        <v>490.73817229157032</v>
      </c>
      <c r="K60" s="5">
        <f>VLOOKUP($B60,'Data Vlaue (Cr)'!$C:$FB,99)</f>
        <v>2183</v>
      </c>
      <c r="L60" s="81">
        <f>VLOOKUP(B60,'OI(Value)'!$A$7:$C$209,3,0)</f>
        <v>197</v>
      </c>
      <c r="M60" s="33">
        <f t="shared" si="12"/>
        <v>9.0242785158039389</v>
      </c>
      <c r="N60" s="5">
        <f>VLOOKUP($B60,'Data Vlaue (Cr)'!$C:$FB,67)</f>
        <v>4098</v>
      </c>
      <c r="O60" s="5">
        <f>VLOOKUP($B60,'Data Vlaue (Cr)'!$C:$FB,68)</f>
        <v>694</v>
      </c>
      <c r="P60" s="5">
        <f t="shared" si="21"/>
        <v>83.064909712054657</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Infrastructure</v>
      </c>
      <c r="B61" s="79" t="str">
        <f>'Data shares'!C56</f>
        <v>CONCOR</v>
      </c>
      <c r="C61" s="4">
        <f>VLOOKUP($B61,'Data shares'!$C:$FB,7)</f>
        <v>607.5</v>
      </c>
      <c r="D61" s="82">
        <f>VLOOKUP($B61,'Data shares'!$C:$FB,98)</f>
        <v>32168750</v>
      </c>
      <c r="E61" s="165">
        <f>VLOOKUP(B61,'Snapshot (Volume)'!$A$7:$G$168,7,0)</f>
        <v>31633750</v>
      </c>
      <c r="F61" s="165">
        <f t="shared" si="18"/>
        <v>535000</v>
      </c>
      <c r="G61" s="166">
        <f t="shared" si="19"/>
        <v>1.6912316750306241E-2</v>
      </c>
      <c r="H61" s="165">
        <f>VLOOKUP($B61,'Data shares'!$C:$FB,66)</f>
        <v>9645000</v>
      </c>
      <c r="I61" s="165">
        <f>VLOOKUP($B61,'Data shares'!$C:$FB,67)</f>
        <v>6985000</v>
      </c>
      <c r="J61" s="81">
        <f t="shared" si="20"/>
        <v>38.081603435934149</v>
      </c>
      <c r="K61" s="5">
        <f>VLOOKUP($B61,'Data Vlaue (Cr)'!$C:$FB,99)</f>
        <v>1956</v>
      </c>
      <c r="L61" s="81">
        <f>VLOOKUP(B61,'OI(Value)'!$A$7:$C$209,3,0)</f>
        <v>33</v>
      </c>
      <c r="M61" s="33">
        <f t="shared" si="12"/>
        <v>1.6871165644171779</v>
      </c>
      <c r="N61" s="5">
        <f>VLOOKUP($B61,'Data Vlaue (Cr)'!$C:$FB,67)</f>
        <v>586</v>
      </c>
      <c r="O61" s="5">
        <f>VLOOKUP($B61,'Data Vlaue (Cr)'!$C:$FB,68)</f>
        <v>425</v>
      </c>
      <c r="P61" s="5">
        <f t="shared" si="21"/>
        <v>27.474402730375424</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Capital_Goods</v>
      </c>
      <c r="B62" s="79" t="str">
        <f>'Data shares'!C57</f>
        <v>CROMPTON</v>
      </c>
      <c r="C62" s="4">
        <f>VLOOKUP($B62,'Data shares'!$C:$FB,7)</f>
        <v>335.95</v>
      </c>
      <c r="D62" s="82">
        <f>VLOOKUP($B62,'Data shares'!$C:$FB,98)</f>
        <v>50005800</v>
      </c>
      <c r="E62" s="165">
        <f>VLOOKUP(B62,'Snapshot (Volume)'!$A$7:$G$168,7,0)</f>
        <v>49125600</v>
      </c>
      <c r="F62" s="165">
        <f t="shared" si="18"/>
        <v>880200</v>
      </c>
      <c r="G62" s="166"/>
      <c r="H62" s="165">
        <f>VLOOKUP($B62,'Data shares'!$C:$FB,66)</f>
        <v>21263400</v>
      </c>
      <c r="I62" s="165">
        <f>VLOOKUP($B62,'Data shares'!$C:$FB,67)</f>
        <v>8604000</v>
      </c>
      <c r="J62" s="81"/>
      <c r="K62" s="5">
        <f>VLOOKUP($B62,'Data Vlaue (Cr)'!$C:$FB,99)</f>
        <v>1670</v>
      </c>
      <c r="L62" s="81">
        <f>VLOOKUP(B62,'OI(Value)'!$A$7:$C$209,3,0)</f>
        <v>29</v>
      </c>
      <c r="M62" s="33"/>
      <c r="N62" s="5">
        <f>VLOOKUP($B62,'Data Vlaue (Cr)'!$C:$FB,67)</f>
        <v>710</v>
      </c>
      <c r="O62" s="5">
        <f>VLOOKUP($B62,'Data Vlaue (Cr)'!$C:$FB,68)</f>
        <v>287</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Capital_Goods</v>
      </c>
      <c r="B63" s="79" t="str">
        <f>'Data shares'!C58</f>
        <v>CUMMINSIND</v>
      </c>
      <c r="C63" s="4">
        <f>VLOOKUP($B63,'Data shares'!$C:$FB,7)</f>
        <v>3587.4</v>
      </c>
      <c r="D63" s="82">
        <f>VLOOKUP($B63,'Data shares'!$C:$FB,98)</f>
        <v>4754000</v>
      </c>
      <c r="E63" s="165">
        <f>VLOOKUP(B63,'Snapshot (Volume)'!$A$7:$G$168,7,0)</f>
        <v>4910200</v>
      </c>
      <c r="F63" s="165">
        <f t="shared" si="18"/>
        <v>-156200</v>
      </c>
      <c r="G63" s="166">
        <f t="shared" si="19"/>
        <v>-3.1811331513991285E-2</v>
      </c>
      <c r="H63" s="165">
        <f>VLOOKUP($B63,'Data shares'!$C:$FB,66)</f>
        <v>2087600</v>
      </c>
      <c r="I63" s="165">
        <f>VLOOKUP($B63,'Data shares'!$C:$FB,67)</f>
        <v>4072400</v>
      </c>
      <c r="J63" s="81">
        <f t="shared" si="20"/>
        <v>-48.737845005402221</v>
      </c>
      <c r="K63" s="5">
        <f>VLOOKUP($B63,'Data Vlaue (Cr)'!$C:$FB,99)</f>
        <v>1706</v>
      </c>
      <c r="L63" s="81">
        <f>VLOOKUP(B63,'OI(Value)'!$A$7:$C$209,3,0)</f>
        <v>-56</v>
      </c>
      <c r="M63" s="33">
        <f t="shared" si="12"/>
        <v>-3.2825322391559206</v>
      </c>
      <c r="N63" s="5">
        <f>VLOOKUP($B63,'Data Vlaue (Cr)'!$C:$FB,67)</f>
        <v>749</v>
      </c>
      <c r="O63" s="5">
        <f>VLOOKUP($B63,'Data Vlaue (Cr)'!$C:$FB,68)</f>
        <v>1462</v>
      </c>
      <c r="P63" s="5">
        <f t="shared" si="21"/>
        <v>-95.19359145527369</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Technology</v>
      </c>
      <c r="B64" s="79" t="str">
        <f>'Data shares'!C59</f>
        <v>CYIENT</v>
      </c>
      <c r="C64" s="4">
        <f>VLOOKUP($B64,'Data shares'!$C:$FB,7)</f>
        <v>1271.2</v>
      </c>
      <c r="D64" s="82">
        <f>VLOOKUP($B64,'Data shares'!$C:$FB,98)</f>
        <v>5386025</v>
      </c>
      <c r="E64" s="165">
        <f>VLOOKUP(B64,'Snapshot (Volume)'!$A$7:$G$168,7,0)</f>
        <v>5339700</v>
      </c>
      <c r="F64" s="165">
        <f t="shared" si="18"/>
        <v>46325</v>
      </c>
      <c r="G64" s="166">
        <f t="shared" si="19"/>
        <v>8.6755810251512265E-3</v>
      </c>
      <c r="H64" s="165">
        <f>VLOOKUP($B64,'Data shares'!$C:$FB,66)</f>
        <v>1092250</v>
      </c>
      <c r="I64" s="165">
        <f>VLOOKUP($B64,'Data shares'!$C:$FB,67)</f>
        <v>1327275</v>
      </c>
      <c r="J64" s="81">
        <f t="shared" si="20"/>
        <v>-17.707332692923472</v>
      </c>
      <c r="K64" s="5">
        <f>VLOOKUP($B64,'Data Vlaue (Cr)'!$C:$FB,99)</f>
        <v>686</v>
      </c>
      <c r="L64" s="81">
        <f>VLOOKUP(B64,'OI(Value)'!$A$7:$C$209,3,0)</f>
        <v>6</v>
      </c>
      <c r="M64" s="33">
        <f t="shared" si="12"/>
        <v>0.87463556851311952</v>
      </c>
      <c r="N64" s="5">
        <f>VLOOKUP($B64,'Data Vlaue (Cr)'!$C:$FB,67)</f>
        <v>139</v>
      </c>
      <c r="O64" s="5">
        <f>VLOOKUP($B64,'Data Vlaue (Cr)'!$C:$FB,68)</f>
        <v>169</v>
      </c>
      <c r="P64" s="5">
        <f t="shared" si="21"/>
        <v>-21.582733812949641</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FMCG</v>
      </c>
      <c r="B65" s="79" t="str">
        <f>'Data shares'!C60</f>
        <v>DABUR</v>
      </c>
      <c r="C65" s="4">
        <f>VLOOKUP($B65,'Data shares'!$C:$FB,7)</f>
        <v>515.04999999999995</v>
      </c>
      <c r="D65" s="82">
        <f>VLOOKUP($B65,'Data shares'!$C:$FB,98)</f>
        <v>44146250</v>
      </c>
      <c r="E65" s="165">
        <f>VLOOKUP(B65,'Snapshot (Volume)'!$A$7:$G$168,7,0)</f>
        <v>44710000</v>
      </c>
      <c r="F65" s="165">
        <f t="shared" si="18"/>
        <v>-563750</v>
      </c>
      <c r="G65" s="166">
        <f t="shared" si="19"/>
        <v>-1.26090360098412E-2</v>
      </c>
      <c r="H65" s="165">
        <f>VLOOKUP($B65,'Data shares'!$C:$FB,66)</f>
        <v>11286250</v>
      </c>
      <c r="I65" s="165">
        <f>VLOOKUP($B65,'Data shares'!$C:$FB,67)</f>
        <v>13845000</v>
      </c>
      <c r="J65" s="81">
        <f t="shared" si="20"/>
        <v>-18.481401227880102</v>
      </c>
      <c r="K65" s="5">
        <f>VLOOKUP($B65,'Data Vlaue (Cr)'!$C:$FB,99)</f>
        <v>2275</v>
      </c>
      <c r="L65" s="81">
        <f>VLOOKUP(B65,'OI(Value)'!$A$7:$C$209,3,0)</f>
        <v>-29</v>
      </c>
      <c r="M65" s="33">
        <f t="shared" si="12"/>
        <v>-1.2747252747252749</v>
      </c>
      <c r="N65" s="5">
        <f>VLOOKUP($B65,'Data Vlaue (Cr)'!$C:$FB,67)</f>
        <v>582</v>
      </c>
      <c r="O65" s="5">
        <f>VLOOKUP($B65,'Data Vlaue (Cr)'!$C:$FB,68)</f>
        <v>713</v>
      </c>
      <c r="P65" s="5">
        <f t="shared" si="21"/>
        <v>-22.508591065292098</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Cement</v>
      </c>
      <c r="B66" s="79" t="str">
        <f>'Data shares'!C61</f>
        <v>DALBHARAT</v>
      </c>
      <c r="C66" s="4">
        <f>VLOOKUP($B66,'Data shares'!$C:$FB,7)</f>
        <v>2320.1999999999998</v>
      </c>
      <c r="D66" s="82">
        <f>VLOOKUP($B66,'Data shares'!$C:$FB,98)</f>
        <v>5344625</v>
      </c>
      <c r="E66" s="165">
        <f>VLOOKUP(B66,'Snapshot (Volume)'!$A$7:$G$168,7,0)</f>
        <v>4714775</v>
      </c>
      <c r="F66" s="165">
        <f t="shared" si="18"/>
        <v>629850</v>
      </c>
      <c r="G66" s="166">
        <f t="shared" si="19"/>
        <v>0.13359068036120494</v>
      </c>
      <c r="H66" s="165">
        <f>VLOOKUP($B66,'Data shares'!$C:$FB,66)</f>
        <v>9040200</v>
      </c>
      <c r="I66" s="165">
        <f>VLOOKUP($B66,'Data shares'!$C:$FB,67)</f>
        <v>4534400</v>
      </c>
      <c r="J66" s="81">
        <f t="shared" si="20"/>
        <v>99.36926605504587</v>
      </c>
      <c r="K66" s="5">
        <f>VLOOKUP($B66,'Data Vlaue (Cr)'!$C:$FB,99)</f>
        <v>1241</v>
      </c>
      <c r="L66" s="81">
        <f>VLOOKUP(B66,'OI(Value)'!$A$7:$C$209,3,0)</f>
        <v>146</v>
      </c>
      <c r="M66" s="33">
        <f t="shared" ref="M66:M93" si="22">L66/K66*100</f>
        <v>11.76470588235294</v>
      </c>
      <c r="N66" s="5">
        <f>VLOOKUP($B66,'Data Vlaue (Cr)'!$C:$FB,67)</f>
        <v>2099</v>
      </c>
      <c r="O66" s="5">
        <f>VLOOKUP($B66,'Data Vlaue (Cr)'!$C:$FB,68)</f>
        <v>1053</v>
      </c>
      <c r="P66" s="5">
        <f t="shared" si="21"/>
        <v>49.833253930443064</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New_Age</v>
      </c>
      <c r="B67" s="79" t="str">
        <f>'Data shares'!C62</f>
        <v>DELHIVERY</v>
      </c>
      <c r="C67" s="4">
        <f>VLOOKUP($B67,'Data shares'!$C:$FB,7)</f>
        <v>436.85</v>
      </c>
      <c r="D67" s="82">
        <f>VLOOKUP($B67,'Data shares'!$C:$FB,98)</f>
        <v>25312925</v>
      </c>
      <c r="E67" s="165">
        <f>VLOOKUP(B67,'Snapshot (Volume)'!$A$7:$G$168,7,0)</f>
        <v>24242225</v>
      </c>
      <c r="F67" s="165">
        <f t="shared" si="18"/>
        <v>1070700</v>
      </c>
      <c r="G67" s="166">
        <f t="shared" si="19"/>
        <v>4.4166737995377903E-2</v>
      </c>
      <c r="H67" s="165">
        <f>VLOOKUP($B67,'Data shares'!$C:$FB,66)</f>
        <v>30979750</v>
      </c>
      <c r="I67" s="165">
        <f>VLOOKUP($B67,'Data shares'!$C:$FB,67)</f>
        <v>15355000</v>
      </c>
      <c r="J67" s="81">
        <f t="shared" si="20"/>
        <v>101.75675675675674</v>
      </c>
      <c r="K67" s="5">
        <f>VLOOKUP($B67,'Data Vlaue (Cr)'!$C:$FB,99)</f>
        <v>1101</v>
      </c>
      <c r="L67" s="81">
        <f>VLOOKUP(B67,'OI(Value)'!$A$7:$C$209,3,0)</f>
        <v>47</v>
      </c>
      <c r="M67" s="33">
        <f t="shared" si="22"/>
        <v>4.2688465031789278</v>
      </c>
      <c r="N67" s="5">
        <f>VLOOKUP($B67,'Data Vlaue (Cr)'!$C:$FB,67)</f>
        <v>1347</v>
      </c>
      <c r="O67" s="5">
        <f>VLOOKUP($B67,'Data Vlaue (Cr)'!$C:$FB,68)</f>
        <v>668</v>
      </c>
      <c r="P67" s="5">
        <f t="shared" si="21"/>
        <v>50.408314773570893</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Pharma</v>
      </c>
      <c r="B68" s="79" t="str">
        <f>'Data shares'!C63</f>
        <v>DIVISLAB</v>
      </c>
      <c r="C68" s="4">
        <f>VLOOKUP($B68,'Data shares'!$C:$FB,7)</f>
        <v>6613</v>
      </c>
      <c r="D68" s="82">
        <f>VLOOKUP($B68,'Data shares'!$C:$FB,98)</f>
        <v>4855300</v>
      </c>
      <c r="E68" s="165">
        <f>VLOOKUP(B68,'Snapshot (Volume)'!$A$7:$G$168,7,0)</f>
        <v>4824800</v>
      </c>
      <c r="F68" s="165">
        <f t="shared" si="18"/>
        <v>30500</v>
      </c>
      <c r="G68" s="166">
        <f t="shared" si="19"/>
        <v>6.3215055546343886E-3</v>
      </c>
      <c r="H68" s="165">
        <f>VLOOKUP($B68,'Data shares'!$C:$FB,66)</f>
        <v>1695200</v>
      </c>
      <c r="I68" s="165">
        <f>VLOOKUP($B68,'Data shares'!$C:$FB,67)</f>
        <v>1319600</v>
      </c>
      <c r="J68" s="81">
        <f t="shared" si="20"/>
        <v>28.463170657775084</v>
      </c>
      <c r="K68" s="5">
        <f>VLOOKUP($B68,'Data Vlaue (Cr)'!$C:$FB,99)</f>
        <v>3205</v>
      </c>
      <c r="L68" s="81">
        <f>VLOOKUP(B68,'OI(Value)'!$A$7:$C$209,3,0)</f>
        <v>20</v>
      </c>
      <c r="M68" s="33">
        <f t="shared" si="22"/>
        <v>0.62402496099843996</v>
      </c>
      <c r="N68" s="5">
        <f>VLOOKUP($B68,'Data Vlaue (Cr)'!$C:$FB,67)</f>
        <v>1119</v>
      </c>
      <c r="O68" s="5">
        <f>VLOOKUP($B68,'Data Vlaue (Cr)'!$C:$FB,68)</f>
        <v>871</v>
      </c>
      <c r="P68" s="5">
        <f t="shared" si="21"/>
        <v>22.162645218945485</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Capital_Goods</v>
      </c>
      <c r="B69" s="79" t="str">
        <f>'Data shares'!C64</f>
        <v>DIXON</v>
      </c>
      <c r="C69" s="79">
        <f>VLOOKUP($B69,'Data shares'!$C:$FB,7)</f>
        <v>16112</v>
      </c>
      <c r="D69" s="165">
        <f>VLOOKUP($B69,'Data shares'!$C:$FB,98)</f>
        <v>4200500</v>
      </c>
      <c r="E69" s="165">
        <f>VLOOKUP(B69,'Snapshot (Volume)'!$A$7:$G$168,7,0)</f>
        <v>3720900</v>
      </c>
      <c r="F69" s="165">
        <f t="shared" ref="F69:F85" si="23">D69-E69</f>
        <v>479600</v>
      </c>
      <c r="G69" s="166">
        <f t="shared" ref="G69:G85" si="24">F69/E69</f>
        <v>0.12889354726007149</v>
      </c>
      <c r="H69" s="165">
        <f>VLOOKUP($B69,'Data shares'!$C:$FB,66)</f>
        <v>4822200</v>
      </c>
      <c r="I69" s="165">
        <f>VLOOKUP($B69,'Data shares'!$C:$FB,67)</f>
        <v>4841550</v>
      </c>
      <c r="J69" s="81">
        <f t="shared" ref="J69:J85" si="25">(H69-I69)/I69*100</f>
        <v>-0.39966539641230592</v>
      </c>
      <c r="K69" s="81">
        <f>VLOOKUP($B69,'Data Vlaue (Cr)'!$C:$FB,99)</f>
        <v>6777</v>
      </c>
      <c r="L69" s="81">
        <f>VLOOKUP(B69,'OI(Value)'!$A$7:$C$209,3,0)</f>
        <v>774</v>
      </c>
      <c r="M69" s="81">
        <f t="shared" si="22"/>
        <v>11.42098273572377</v>
      </c>
      <c r="N69" s="81">
        <f>VLOOKUP($B69,'Data Vlaue (Cr)'!$C:$FB,67)</f>
        <v>7780</v>
      </c>
      <c r="O69" s="81">
        <f>VLOOKUP($B69,'Data Vlaue (Cr)'!$C:$FB,68)</f>
        <v>7811</v>
      </c>
      <c r="P69" s="81">
        <f t="shared" ref="P69:P85" si="26">(N69-O69)/N69*100</f>
        <v>-0.39845758354755784</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Realty</v>
      </c>
      <c r="B70" s="79" t="str">
        <f>'Data shares'!C65</f>
        <v>DLF</v>
      </c>
      <c r="C70" s="79">
        <f>VLOOKUP($B70,'Data shares'!$C:$FB,7)</f>
        <v>845.5</v>
      </c>
      <c r="D70" s="165">
        <f>VLOOKUP($B70,'Data shares'!$C:$FB,98)</f>
        <v>73772325</v>
      </c>
      <c r="E70" s="165">
        <f>VLOOKUP(B70,'Snapshot (Volume)'!$A$7:$G$168,7,0)</f>
        <v>74420775</v>
      </c>
      <c r="F70" s="165">
        <f t="shared" si="23"/>
        <v>-648450</v>
      </c>
      <c r="G70" s="166">
        <f t="shared" si="24"/>
        <v>-8.7132927599853673E-3</v>
      </c>
      <c r="H70" s="165">
        <f>VLOOKUP($B70,'Data shares'!$C:$FB,66)</f>
        <v>27410625</v>
      </c>
      <c r="I70" s="165">
        <f>VLOOKUP($B70,'Data shares'!$C:$FB,67)</f>
        <v>22430100</v>
      </c>
      <c r="J70" s="81">
        <f t="shared" si="25"/>
        <v>22.204649109901428</v>
      </c>
      <c r="K70" s="81">
        <f>VLOOKUP($B70,'Data Vlaue (Cr)'!$C:$FB,99)</f>
        <v>6196</v>
      </c>
      <c r="L70" s="81">
        <f>VLOOKUP(B70,'OI(Value)'!$A$7:$C$209,3,0)</f>
        <v>-54</v>
      </c>
      <c r="M70" s="81">
        <f t="shared" si="22"/>
        <v>-0.87153001936733387</v>
      </c>
      <c r="N70" s="81">
        <f>VLOOKUP($B70,'Data Vlaue (Cr)'!$C:$FB,67)</f>
        <v>2302</v>
      </c>
      <c r="O70" s="81">
        <f>VLOOKUP($B70,'Data Vlaue (Cr)'!$C:$FB,68)</f>
        <v>1884</v>
      </c>
      <c r="P70" s="81">
        <f t="shared" si="26"/>
        <v>18.158123370981755</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New_Age</v>
      </c>
      <c r="B71" s="79" t="str">
        <f>'Data shares'!C66</f>
        <v>DMART</v>
      </c>
      <c r="C71" s="4">
        <f>VLOOKUP($B71,'Data shares'!$C:$FB,7)</f>
        <v>4033.3</v>
      </c>
      <c r="D71" s="82">
        <f>VLOOKUP($B71,'Data shares'!$C:$FB,98)</f>
        <v>10971450</v>
      </c>
      <c r="E71" s="165">
        <f>VLOOKUP(B71,'Snapshot (Volume)'!$A$7:$G$168,7,0)</f>
        <v>11059950</v>
      </c>
      <c r="F71" s="165">
        <f t="shared" si="23"/>
        <v>-88500</v>
      </c>
      <c r="G71" s="166">
        <f t="shared" si="24"/>
        <v>-8.0018444929678707E-3</v>
      </c>
      <c r="H71" s="165">
        <f>VLOOKUP($B71,'Data shares'!$C:$FB,66)</f>
        <v>4199250</v>
      </c>
      <c r="I71" s="165">
        <f>VLOOKUP($B71,'Data shares'!$C:$FB,67)</f>
        <v>3223800</v>
      </c>
      <c r="J71" s="81">
        <f t="shared" si="25"/>
        <v>30.257770333147217</v>
      </c>
      <c r="K71" s="5">
        <f>VLOOKUP($B71,'Data Vlaue (Cr)'!$C:$FB,99)</f>
        <v>4437</v>
      </c>
      <c r="L71" s="81">
        <f>VLOOKUP(B71,'OI(Value)'!$A$7:$C$209,3,0)</f>
        <v>-36</v>
      </c>
      <c r="M71" s="33">
        <f t="shared" si="22"/>
        <v>-0.81135902636916835</v>
      </c>
      <c r="N71" s="5">
        <f>VLOOKUP($B71,'Data Vlaue (Cr)'!$C:$FB,67)</f>
        <v>1698</v>
      </c>
      <c r="O71" s="5">
        <f>VLOOKUP($B71,'Data Vlaue (Cr)'!$C:$FB,68)</f>
        <v>1304</v>
      </c>
      <c r="P71" s="5">
        <f t="shared" si="26"/>
        <v>23.203769140164901</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DRREDDY</v>
      </c>
      <c r="C72" s="4">
        <f>VLOOKUP($B72,'Data shares'!$C:$FB,7)</f>
        <v>1240</v>
      </c>
      <c r="D72" s="82">
        <f>VLOOKUP($B72,'Data shares'!$C:$FB,98)</f>
        <v>28465625</v>
      </c>
      <c r="E72" s="165">
        <f>VLOOKUP(B72,'Snapshot (Volume)'!$A$7:$G$168,7,0)</f>
        <v>27771875</v>
      </c>
      <c r="F72" s="165">
        <f t="shared" si="23"/>
        <v>693750</v>
      </c>
      <c r="G72" s="166">
        <f t="shared" si="24"/>
        <v>2.4980308315517046E-2</v>
      </c>
      <c r="H72" s="165">
        <f>VLOOKUP($B72,'Data shares'!$C:$FB,66)</f>
        <v>14695625</v>
      </c>
      <c r="I72" s="165">
        <f>VLOOKUP($B72,'Data shares'!$C:$FB,67)</f>
        <v>6153125</v>
      </c>
      <c r="J72" s="81">
        <f t="shared" si="25"/>
        <v>138.83189436262063</v>
      </c>
      <c r="K72" s="5">
        <f>VLOOKUP($B72,'Data Vlaue (Cr)'!$C:$FB,99)</f>
        <v>3532</v>
      </c>
      <c r="L72" s="81">
        <f>VLOOKUP(B72,'OI(Value)'!$A$7:$C$209,3,0)</f>
        <v>86</v>
      </c>
      <c r="M72" s="33">
        <f t="shared" si="22"/>
        <v>2.4348810872027182</v>
      </c>
      <c r="N72" s="5">
        <f>VLOOKUP($B72,'Data Vlaue (Cr)'!$C:$FB,67)</f>
        <v>1824</v>
      </c>
      <c r="O72" s="5">
        <f>VLOOKUP($B72,'Data Vlaue (Cr)'!$C:$FB,68)</f>
        <v>764</v>
      </c>
      <c r="P72" s="5">
        <f t="shared" si="26"/>
        <v>58.114035087719294</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Automobile</v>
      </c>
      <c r="B73" s="79" t="str">
        <f>'Data shares'!C68</f>
        <v>EICHERMOT</v>
      </c>
      <c r="C73" s="4">
        <f>VLOOKUP($B73,'Data shares'!$C:$FB,7)</f>
        <v>5439.5</v>
      </c>
      <c r="D73" s="82">
        <f>VLOOKUP($B73,'Data shares'!$C:$FB,98)</f>
        <v>5752775</v>
      </c>
      <c r="E73" s="165">
        <f>VLOOKUP(B73,'Snapshot (Volume)'!$A$7:$G$168,7,0)</f>
        <v>5334175</v>
      </c>
      <c r="F73" s="165">
        <f t="shared" si="23"/>
        <v>418600</v>
      </c>
      <c r="G73" s="166">
        <f t="shared" si="24"/>
        <v>7.8475115645812152E-2</v>
      </c>
      <c r="H73" s="165">
        <f>VLOOKUP($B73,'Data shares'!$C:$FB,66)</f>
        <v>3694600</v>
      </c>
      <c r="I73" s="165">
        <f>VLOOKUP($B73,'Data shares'!$C:$FB,67)</f>
        <v>2203075</v>
      </c>
      <c r="J73" s="81">
        <f t="shared" si="25"/>
        <v>67.70196203034395</v>
      </c>
      <c r="K73" s="5">
        <f>VLOOKUP($B73,'Data Vlaue (Cr)'!$C:$FB,99)</f>
        <v>3138</v>
      </c>
      <c r="L73" s="81">
        <f>VLOOKUP(B73,'OI(Value)'!$A$7:$C$209,3,0)</f>
        <v>228</v>
      </c>
      <c r="M73" s="33">
        <f t="shared" si="22"/>
        <v>7.2657743785850863</v>
      </c>
      <c r="N73" s="5">
        <f>VLOOKUP($B73,'Data Vlaue (Cr)'!$C:$FB,67)</f>
        <v>2016</v>
      </c>
      <c r="O73" s="5">
        <f>VLOOKUP($B73,'Data Vlaue (Cr)'!$C:$FB,68)</f>
        <v>1202</v>
      </c>
      <c r="P73" s="5">
        <f t="shared" si="26"/>
        <v>40.376984126984127</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New_Age</v>
      </c>
      <c r="B74" s="79" t="str">
        <f>'Data shares'!C69</f>
        <v>ETERNAL</v>
      </c>
      <c r="C74" s="4">
        <f>VLOOKUP($B74,'Data shares'!$C:$FB,7)</f>
        <v>299.8</v>
      </c>
      <c r="D74" s="82">
        <f>VLOOKUP($B74,'Data shares'!$C:$FB,98)</f>
        <v>376903200</v>
      </c>
      <c r="E74" s="165">
        <f>VLOOKUP(B74,'Snapshot (Volume)'!$A$7:$G$168,7,0)</f>
        <v>283038725</v>
      </c>
      <c r="F74" s="165">
        <f t="shared" si="23"/>
        <v>93864475</v>
      </c>
      <c r="G74" s="166">
        <f t="shared" si="24"/>
        <v>0.33163121053488354</v>
      </c>
      <c r="H74" s="165">
        <f>VLOOKUP($B74,'Data shares'!$C:$FB,66)</f>
        <v>1678182450</v>
      </c>
      <c r="I74" s="165">
        <f>VLOOKUP($B74,'Data shares'!$C:$FB,67)</f>
        <v>621777275</v>
      </c>
      <c r="J74" s="81">
        <f t="shared" si="25"/>
        <v>169.90089819541893</v>
      </c>
      <c r="K74" s="5">
        <f>VLOOKUP($B74,'Data Vlaue (Cr)'!$C:$FB,99)</f>
        <v>11335</v>
      </c>
      <c r="L74" s="81">
        <f>VLOOKUP(B74,'OI(Value)'!$A$7:$C$209,3,0)</f>
        <v>2823</v>
      </c>
      <c r="M74" s="33">
        <f t="shared" si="22"/>
        <v>24.905161005734449</v>
      </c>
      <c r="N74" s="5">
        <f>VLOOKUP($B74,'Data Vlaue (Cr)'!$C:$FB,67)</f>
        <v>50471</v>
      </c>
      <c r="O74" s="5">
        <f>VLOOKUP($B74,'Data Vlaue (Cr)'!$C:$FB,68)</f>
        <v>18700</v>
      </c>
      <c r="P74" s="5">
        <f t="shared" si="26"/>
        <v>62.949020229438688</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Automobile</v>
      </c>
      <c r="B75" s="79" t="str">
        <f>'Data shares'!C70</f>
        <v>EXIDEIND</v>
      </c>
      <c r="C75" s="4">
        <f>VLOOKUP($B75,'Data shares'!$C:$FB,7)</f>
        <v>394.25</v>
      </c>
      <c r="D75" s="82">
        <f>VLOOKUP($B75,'Data shares'!$C:$FB,98)</f>
        <v>45567000</v>
      </c>
      <c r="E75" s="165">
        <f>VLOOKUP(B75,'Snapshot (Volume)'!$A$7:$G$168,7,0)</f>
        <v>43385400</v>
      </c>
      <c r="F75" s="165">
        <f t="shared" si="23"/>
        <v>2181600</v>
      </c>
      <c r="G75" s="166">
        <f t="shared" si="24"/>
        <v>5.0284196987926813E-2</v>
      </c>
      <c r="H75" s="165">
        <f>VLOOKUP($B75,'Data shares'!$C:$FB,66)</f>
        <v>48726000</v>
      </c>
      <c r="I75" s="165">
        <f>VLOOKUP($B75,'Data shares'!$C:$FB,67)</f>
        <v>42395400</v>
      </c>
      <c r="J75" s="81">
        <f t="shared" si="25"/>
        <v>14.932280388910119</v>
      </c>
      <c r="K75" s="5">
        <f>VLOOKUP($B75,'Data Vlaue (Cr)'!$C:$FB,99)</f>
        <v>1801</v>
      </c>
      <c r="L75" s="81">
        <f>VLOOKUP(B75,'OI(Value)'!$A$7:$C$209,3,0)</f>
        <v>86</v>
      </c>
      <c r="M75" s="33">
        <f t="shared" si="22"/>
        <v>4.7751249305941146</v>
      </c>
      <c r="N75" s="5">
        <f>VLOOKUP($B75,'Data Vlaue (Cr)'!$C:$FB,67)</f>
        <v>1926</v>
      </c>
      <c r="O75" s="5">
        <f>VLOOKUP($B75,'Data Vlaue (Cr)'!$C:$FB,68)</f>
        <v>1676</v>
      </c>
      <c r="P75" s="5">
        <f t="shared" si="26"/>
        <v>12.980269989615783</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Banking</v>
      </c>
      <c r="B76" s="79" t="str">
        <f>'Data shares'!C71</f>
        <v>FEDERALBNK</v>
      </c>
      <c r="C76" s="4">
        <f>VLOOKUP($B76,'Data shares'!$C:$FB,7)</f>
        <v>212.4</v>
      </c>
      <c r="D76" s="82">
        <f>VLOOKUP($B76,'Data shares'!$C:$FB,98)</f>
        <v>162860000</v>
      </c>
      <c r="E76" s="165">
        <f>VLOOKUP(B76,'Snapshot (Volume)'!$A$7:$G$168,7,0)</f>
        <v>162405000</v>
      </c>
      <c r="F76" s="165">
        <f t="shared" si="23"/>
        <v>455000</v>
      </c>
      <c r="G76" s="166">
        <f t="shared" si="24"/>
        <v>2.8016378806071242E-3</v>
      </c>
      <c r="H76" s="165">
        <f>VLOOKUP($B76,'Data shares'!$C:$FB,66)</f>
        <v>60395000</v>
      </c>
      <c r="I76" s="165">
        <f>VLOOKUP($B76,'Data shares'!$C:$FB,67)</f>
        <v>124275000</v>
      </c>
      <c r="J76" s="81">
        <f t="shared" si="25"/>
        <v>-51.402132367732854</v>
      </c>
      <c r="K76" s="5">
        <f>VLOOKUP($B76,'Data Vlaue (Cr)'!$C:$FB,99)</f>
        <v>3459</v>
      </c>
      <c r="L76" s="81">
        <f>VLOOKUP(B76,'OI(Value)'!$A$7:$C$209,3,0)</f>
        <v>10</v>
      </c>
      <c r="M76" s="33">
        <f t="shared" si="22"/>
        <v>0.28910089621277824</v>
      </c>
      <c r="N76" s="5">
        <f>VLOOKUP($B76,'Data Vlaue (Cr)'!$C:$FB,67)</f>
        <v>1283</v>
      </c>
      <c r="O76" s="5">
        <f>VLOOKUP($B76,'Data Vlaue (Cr)'!$C:$FB,68)</f>
        <v>2639</v>
      </c>
      <c r="P76" s="5">
        <f t="shared" si="26"/>
        <v>-105.68978955572877</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Index</v>
      </c>
      <c r="B77" s="79" t="str">
        <f>'Data shares'!C72</f>
        <v>FINNIFTY</v>
      </c>
      <c r="C77" s="4">
        <f>VLOOKUP($B77,'Data shares'!$C:$FB,7)</f>
        <v>26990.45</v>
      </c>
      <c r="D77" s="82">
        <f>VLOOKUP($B77,'Data shares'!$C:$FB,98)</f>
        <v>2997735</v>
      </c>
      <c r="E77" s="165">
        <f>VLOOKUP(B77,'Snapshot (Volume)'!$A$7:$G$168,7,0)</f>
        <v>2853435</v>
      </c>
      <c r="F77" s="165">
        <f t="shared" si="23"/>
        <v>144300</v>
      </c>
      <c r="G77" s="166">
        <f t="shared" si="24"/>
        <v>5.0570628032529215E-2</v>
      </c>
      <c r="H77" s="165">
        <f>VLOOKUP($B77,'Data shares'!$C:$FB,66)</f>
        <v>6596200</v>
      </c>
      <c r="I77" s="165">
        <f>VLOOKUP($B77,'Data shares'!$C:$FB,67)</f>
        <v>9493315</v>
      </c>
      <c r="J77" s="81">
        <f t="shared" si="25"/>
        <v>-30.517421996425909</v>
      </c>
      <c r="K77" s="5">
        <f>VLOOKUP($B77,'Data Vlaue (Cr)'!$C:$FB,99)</f>
        <v>8095</v>
      </c>
      <c r="L77" s="81">
        <f>VLOOKUP(B77,'OI(Value)'!$A$7:$C$209,3,0)</f>
        <v>390</v>
      </c>
      <c r="M77" s="33">
        <f t="shared" si="22"/>
        <v>4.8177887584928971</v>
      </c>
      <c r="N77" s="5">
        <f>VLOOKUP($B77,'Data Vlaue (Cr)'!$C:$FB,67)</f>
        <v>17813</v>
      </c>
      <c r="O77" s="5">
        <f>VLOOKUP($B77,'Data Vlaue (Cr)'!$C:$FB,68)</f>
        <v>25636</v>
      </c>
      <c r="P77" s="5">
        <f t="shared" si="26"/>
        <v>-43.917363723123557</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Pharma</v>
      </c>
      <c r="B78" s="79" t="str">
        <f>'Data shares'!C73</f>
        <v>FORTIS</v>
      </c>
      <c r="C78" s="4">
        <f>VLOOKUP($B78,'Data shares'!$C:$FB,7)</f>
        <v>809.1</v>
      </c>
      <c r="D78" s="82">
        <f>VLOOKUP($B78,'Data shares'!$C:$FB,98)</f>
        <v>13906600</v>
      </c>
      <c r="E78" s="165">
        <f>VLOOKUP(B78,'Snapshot (Volume)'!$A$7:$G$168,7,0)</f>
        <v>13099050</v>
      </c>
      <c r="F78" s="165">
        <f t="shared" si="23"/>
        <v>807550</v>
      </c>
      <c r="G78" s="166">
        <f t="shared" si="24"/>
        <v>6.1649508933853979E-2</v>
      </c>
      <c r="H78" s="165">
        <f>VLOOKUP($B78,'Data shares'!$C:$FB,66)</f>
        <v>9250400</v>
      </c>
      <c r="I78" s="165">
        <f>VLOOKUP($B78,'Data shares'!$C:$FB,67)</f>
        <v>7712800</v>
      </c>
      <c r="J78" s="81">
        <f t="shared" si="25"/>
        <v>19.935691318327976</v>
      </c>
      <c r="K78" s="5">
        <f>VLOOKUP($B78,'Data Vlaue (Cr)'!$C:$FB,99)</f>
        <v>1127</v>
      </c>
      <c r="L78" s="81">
        <f>VLOOKUP(B78,'OI(Value)'!$A$7:$C$209,3,0)</f>
        <v>65</v>
      </c>
      <c r="M78" s="33">
        <f t="shared" si="22"/>
        <v>5.7675244010647742</v>
      </c>
      <c r="N78" s="5">
        <f>VLOOKUP($B78,'Data Vlaue (Cr)'!$C:$FB,67)</f>
        <v>750</v>
      </c>
      <c r="O78" s="5">
        <f>VLOOKUP($B78,'Data Vlaue (Cr)'!$C:$FB,68)</f>
        <v>625</v>
      </c>
      <c r="P78" s="5">
        <f t="shared" si="26"/>
        <v>16.666666666666664</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Oil_Gas</v>
      </c>
      <c r="B79" s="79" t="str">
        <f>'Data shares'!C74</f>
        <v>GAIL</v>
      </c>
      <c r="C79" s="4">
        <f>VLOOKUP($B79,'Data shares'!$C:$FB,7)</f>
        <v>184.03</v>
      </c>
      <c r="D79" s="82">
        <f>VLOOKUP($B79,'Data shares'!$C:$FB,98)</f>
        <v>187639200</v>
      </c>
      <c r="E79" s="165">
        <f>VLOOKUP(B79,'Snapshot (Volume)'!$A$7:$G$168,7,0)</f>
        <v>188549550</v>
      </c>
      <c r="F79" s="165">
        <f t="shared" si="23"/>
        <v>-910350</v>
      </c>
      <c r="G79" s="166">
        <f t="shared" si="24"/>
        <v>-4.8281738142573133E-3</v>
      </c>
      <c r="H79" s="165">
        <f>VLOOKUP($B79,'Data shares'!$C:$FB,66)</f>
        <v>50973300</v>
      </c>
      <c r="I79" s="165">
        <f>VLOOKUP($B79,'Data shares'!$C:$FB,67)</f>
        <v>32615100</v>
      </c>
      <c r="J79" s="81">
        <f t="shared" si="25"/>
        <v>56.287425149700596</v>
      </c>
      <c r="K79" s="5">
        <f>VLOOKUP($B79,'Data Vlaue (Cr)'!$C:$FB,99)</f>
        <v>3452</v>
      </c>
      <c r="L79" s="81">
        <f>VLOOKUP(B79,'OI(Value)'!$A$7:$C$209,3,0)</f>
        <v>-17</v>
      </c>
      <c r="M79" s="33">
        <f t="shared" si="22"/>
        <v>-0.49246813441483195</v>
      </c>
      <c r="N79" s="5">
        <f>VLOOKUP($B79,'Data Vlaue (Cr)'!$C:$FB,67)</f>
        <v>938</v>
      </c>
      <c r="O79" s="5">
        <f>VLOOKUP($B79,'Data Vlaue (Cr)'!$C:$FB,68)</f>
        <v>600</v>
      </c>
      <c r="P79" s="5">
        <f t="shared" si="26"/>
        <v>36.034115138592746</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Pharma</v>
      </c>
      <c r="B80" s="79" t="str">
        <f>'Data shares'!C75</f>
        <v>GLENMARK</v>
      </c>
      <c r="C80" s="4">
        <f>VLOOKUP($B80,'Data shares'!$C:$FB,7)</f>
        <v>2157.9</v>
      </c>
      <c r="D80" s="82">
        <f>VLOOKUP($B80,'Data shares'!$C:$FB,98)</f>
        <v>23221500</v>
      </c>
      <c r="E80" s="165">
        <f>VLOOKUP(B80,'Snapshot (Volume)'!$A$7:$G$168,7,0)</f>
        <v>24119625</v>
      </c>
      <c r="F80" s="165">
        <f t="shared" si="23"/>
        <v>-898125</v>
      </c>
      <c r="G80" s="166">
        <f t="shared" si="24"/>
        <v>-3.7236275439605712E-2</v>
      </c>
      <c r="H80" s="165">
        <f>VLOOKUP($B80,'Data shares'!$C:$FB,66)</f>
        <v>10852125</v>
      </c>
      <c r="I80" s="165">
        <f>VLOOKUP($B80,'Data shares'!$C:$FB,67)</f>
        <v>9789375</v>
      </c>
      <c r="J80" s="81">
        <f t="shared" si="25"/>
        <v>10.856157824171616</v>
      </c>
      <c r="K80" s="5">
        <f>VLOOKUP($B80,'Data Vlaue (Cr)'!$C:$FB,99)</f>
        <v>5019</v>
      </c>
      <c r="L80" s="81">
        <f>VLOOKUP(B80,'OI(Value)'!$A$7:$C$209,3,0)</f>
        <v>-194</v>
      </c>
      <c r="M80" s="33">
        <f t="shared" si="22"/>
        <v>-3.86531181510261</v>
      </c>
      <c r="N80" s="5">
        <f>VLOOKUP($B80,'Data Vlaue (Cr)'!$C:$FB,67)</f>
        <v>2346</v>
      </c>
      <c r="O80" s="5">
        <f>VLOOKUP($B80,'Data Vlaue (Cr)'!$C:$FB,68)</f>
        <v>2116</v>
      </c>
      <c r="P80" s="5">
        <f t="shared" si="26"/>
        <v>9.8039215686274517</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Infrastructure</v>
      </c>
      <c r="B81" s="79" t="str">
        <f>'Data shares'!C76</f>
        <v>GMRAIRPORT</v>
      </c>
      <c r="C81" s="4">
        <f>VLOOKUP($B81,'Data shares'!$C:$FB,7)</f>
        <v>91.92</v>
      </c>
      <c r="D81" s="82">
        <f>VLOOKUP($B81,'Data shares'!$C:$FB,98)</f>
        <v>321233625</v>
      </c>
      <c r="E81" s="165">
        <f>VLOOKUP(B81,'Snapshot (Volume)'!$A$7:$G$168,7,0)</f>
        <v>322000875</v>
      </c>
      <c r="F81" s="165">
        <f t="shared" si="23"/>
        <v>-767250</v>
      </c>
      <c r="G81" s="166">
        <f t="shared" si="24"/>
        <v>-2.3827575002707681E-3</v>
      </c>
      <c r="H81" s="165">
        <f>VLOOKUP($B81,'Data shares'!$C:$FB,66)</f>
        <v>97629075</v>
      </c>
      <c r="I81" s="165">
        <f>VLOOKUP($B81,'Data shares'!$C:$FB,67)</f>
        <v>75364875</v>
      </c>
      <c r="J81" s="81">
        <f t="shared" si="25"/>
        <v>29.541878759833413</v>
      </c>
      <c r="K81" s="5">
        <f>VLOOKUP($B81,'Data Vlaue (Cr)'!$C:$FB,99)</f>
        <v>2955</v>
      </c>
      <c r="L81" s="81">
        <f>VLOOKUP(B81,'OI(Value)'!$A$7:$C$209,3,0)</f>
        <v>-7</v>
      </c>
      <c r="M81" s="33">
        <f t="shared" si="22"/>
        <v>-0.23688663282571912</v>
      </c>
      <c r="N81" s="5">
        <f>VLOOKUP($B81,'Data Vlaue (Cr)'!$C:$FB,67)</f>
        <v>898</v>
      </c>
      <c r="O81" s="5">
        <f>VLOOKUP($B81,'Data Vlaue (Cr)'!$C:$FB,68)</f>
        <v>693</v>
      </c>
      <c r="P81" s="5">
        <f t="shared" si="26"/>
        <v>22.828507795100222</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FMCG</v>
      </c>
      <c r="B82" s="79" t="str">
        <f>'Data shares'!C77</f>
        <v>GODREJCP</v>
      </c>
      <c r="C82" s="4">
        <f>VLOOKUP($B82,'Data shares'!$C:$FB,7)</f>
        <v>1242.4000000000001</v>
      </c>
      <c r="D82" s="82">
        <f>VLOOKUP($B82,'Data shares'!$C:$FB,98)</f>
        <v>15369000</v>
      </c>
      <c r="E82" s="165">
        <f>VLOOKUP(B82,'Snapshot (Volume)'!$A$7:$G$168,7,0)</f>
        <v>15284500</v>
      </c>
      <c r="F82" s="165">
        <f t="shared" si="23"/>
        <v>84500</v>
      </c>
      <c r="G82" s="166">
        <f t="shared" si="24"/>
        <v>5.528476561222153E-3</v>
      </c>
      <c r="H82" s="165">
        <f>VLOOKUP($B82,'Data shares'!$C:$FB,66)</f>
        <v>3006000</v>
      </c>
      <c r="I82" s="165">
        <f>VLOOKUP($B82,'Data shares'!$C:$FB,67)</f>
        <v>3135500</v>
      </c>
      <c r="J82" s="81">
        <f t="shared" si="25"/>
        <v>-4.130122787434221</v>
      </c>
      <c r="K82" s="5">
        <f>VLOOKUP($B82,'Data Vlaue (Cr)'!$C:$FB,99)</f>
        <v>1918</v>
      </c>
      <c r="L82" s="81">
        <f>VLOOKUP(B82,'OI(Value)'!$A$7:$C$209,3,0)</f>
        <v>11</v>
      </c>
      <c r="M82" s="33">
        <f t="shared" si="22"/>
        <v>0.57351407716371217</v>
      </c>
      <c r="N82" s="5">
        <f>VLOOKUP($B82,'Data Vlaue (Cr)'!$C:$FB,67)</f>
        <v>375</v>
      </c>
      <c r="O82" s="5">
        <f>VLOOKUP($B82,'Data Vlaue (Cr)'!$C:$FB,68)</f>
        <v>391</v>
      </c>
      <c r="P82" s="5">
        <f t="shared" si="26"/>
        <v>-4.2666666666666666</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Realty</v>
      </c>
      <c r="B83" s="79" t="str">
        <f>'Data shares'!C78</f>
        <v>GODREJPROP</v>
      </c>
      <c r="C83" s="4">
        <f>VLOOKUP($B83,'Data shares'!$C:$FB,7)</f>
        <v>2363.5</v>
      </c>
      <c r="D83" s="82">
        <f>VLOOKUP($B83,'Data shares'!$C:$FB,98)</f>
        <v>10830600</v>
      </c>
      <c r="E83" s="165">
        <f>VLOOKUP(B83,'Snapshot (Volume)'!$A$7:$G$168,7,0)</f>
        <v>10938400</v>
      </c>
      <c r="F83" s="165">
        <f t="shared" si="23"/>
        <v>-107800</v>
      </c>
      <c r="G83" s="166">
        <f t="shared" si="24"/>
        <v>-9.8551890587288814E-3</v>
      </c>
      <c r="H83" s="165">
        <f>VLOOKUP($B83,'Data shares'!$C:$FB,66)</f>
        <v>4393950</v>
      </c>
      <c r="I83" s="165">
        <f>VLOOKUP($B83,'Data shares'!$C:$FB,67)</f>
        <v>6329400</v>
      </c>
      <c r="J83" s="81">
        <f t="shared" si="25"/>
        <v>-30.578727841501564</v>
      </c>
      <c r="K83" s="5">
        <f>VLOOKUP($B83,'Data Vlaue (Cr)'!$C:$FB,99)</f>
        <v>2560</v>
      </c>
      <c r="L83" s="81">
        <f>VLOOKUP(B83,'OI(Value)'!$A$7:$C$209,3,0)</f>
        <v>-25</v>
      </c>
      <c r="M83" s="33">
        <f t="shared" si="22"/>
        <v>-0.9765625</v>
      </c>
      <c r="N83" s="5">
        <f>VLOOKUP($B83,'Data Vlaue (Cr)'!$C:$FB,67)</f>
        <v>1039</v>
      </c>
      <c r="O83" s="5">
        <f>VLOOKUP($B83,'Data Vlaue (Cr)'!$C:$FB,68)</f>
        <v>1496</v>
      </c>
      <c r="P83" s="5">
        <f t="shared" si="26"/>
        <v>-43.984600577478346</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Pharma</v>
      </c>
      <c r="B84" s="79" t="str">
        <f>'Data shares'!C79</f>
        <v>GRANULES</v>
      </c>
      <c r="C84" s="4">
        <f>VLOOKUP($B84,'Data shares'!$C:$FB,7)</f>
        <v>477.1</v>
      </c>
      <c r="D84" s="82">
        <f>VLOOKUP($B84,'Data shares'!$C:$FB,98)</f>
        <v>20233650</v>
      </c>
      <c r="E84" s="165">
        <f>VLOOKUP(B84,'Snapshot (Volume)'!$A$7:$G$168,7,0)</f>
        <v>19827300</v>
      </c>
      <c r="F84" s="165">
        <f t="shared" si="23"/>
        <v>406350</v>
      </c>
      <c r="G84" s="166">
        <f t="shared" si="24"/>
        <v>2.0494469746258945E-2</v>
      </c>
      <c r="H84" s="165">
        <f>VLOOKUP($B84,'Data shares'!$C:$FB,66)</f>
        <v>8131300</v>
      </c>
      <c r="I84" s="165">
        <f>VLOOKUP($B84,'Data shares'!$C:$FB,67)</f>
        <v>3502350</v>
      </c>
      <c r="J84" s="81">
        <f t="shared" si="25"/>
        <v>132.1669736034377</v>
      </c>
      <c r="K84" s="5">
        <f>VLOOKUP($B84,'Data Vlaue (Cr)'!$C:$FB,99)</f>
        <v>964</v>
      </c>
      <c r="L84" s="81">
        <f>VLOOKUP(B84,'OI(Value)'!$A$7:$C$209,3,0)</f>
        <v>19</v>
      </c>
      <c r="M84" s="33">
        <f t="shared" si="22"/>
        <v>1.9709543568464729</v>
      </c>
      <c r="N84" s="5">
        <f>VLOOKUP($B84,'Data Vlaue (Cr)'!$C:$FB,67)</f>
        <v>388</v>
      </c>
      <c r="O84" s="5">
        <f>VLOOKUP($B84,'Data Vlaue (Cr)'!$C:$FB,68)</f>
        <v>167</v>
      </c>
      <c r="P84" s="5">
        <f t="shared" si="26"/>
        <v>56.958762886597938</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Cement</v>
      </c>
      <c r="B85" s="79" t="str">
        <f>'Data shares'!C80</f>
        <v>GRASIM</v>
      </c>
      <c r="C85" s="4">
        <f>VLOOKUP($B85,'Data shares'!$C:$FB,7)</f>
        <v>2722.7</v>
      </c>
      <c r="D85" s="82">
        <f>VLOOKUP($B85,'Data shares'!$C:$FB,98)</f>
        <v>16166250</v>
      </c>
      <c r="E85" s="165">
        <f>VLOOKUP(B85,'Snapshot (Volume)'!$A$7:$G$168,7,0)</f>
        <v>15949000</v>
      </c>
      <c r="F85" s="165">
        <f t="shared" si="23"/>
        <v>217250</v>
      </c>
      <c r="G85" s="166">
        <f t="shared" si="24"/>
        <v>1.3621543670449559E-2</v>
      </c>
      <c r="H85" s="165">
        <f>VLOOKUP($B85,'Data shares'!$C:$FB,66)</f>
        <v>3134500</v>
      </c>
      <c r="I85" s="165">
        <f>VLOOKUP($B85,'Data shares'!$C:$FB,67)</f>
        <v>3371500</v>
      </c>
      <c r="J85" s="81">
        <f t="shared" si="25"/>
        <v>-7.0295120866083343</v>
      </c>
      <c r="K85" s="5">
        <f>VLOOKUP($B85,'Data Vlaue (Cr)'!$C:$FB,99)</f>
        <v>4413</v>
      </c>
      <c r="L85" s="81">
        <f>VLOOKUP(B85,'OI(Value)'!$A$7:$C$209,3,0)</f>
        <v>59</v>
      </c>
      <c r="M85" s="33">
        <f t="shared" si="22"/>
        <v>1.3369589848175845</v>
      </c>
      <c r="N85" s="5">
        <f>VLOOKUP($B85,'Data Vlaue (Cr)'!$C:$FB,67)</f>
        <v>856</v>
      </c>
      <c r="O85" s="5">
        <f>VLOOKUP($B85,'Data Vlaue (Cr)'!$C:$FB,68)</f>
        <v>920</v>
      </c>
      <c r="P85" s="5">
        <f t="shared" si="26"/>
        <v>-7.4766355140186906</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Capital_Goods</v>
      </c>
      <c r="B86" s="79" t="str">
        <f>'Data shares'!C81</f>
        <v>HAL</v>
      </c>
      <c r="C86" s="4">
        <f>VLOOKUP($B86,'Data shares'!$C:$FB,7)</f>
        <v>4758.2</v>
      </c>
      <c r="D86" s="82">
        <f>VLOOKUP($B86,'Data shares'!$C:$FB,98)</f>
        <v>20104650</v>
      </c>
      <c r="E86" s="165">
        <f>VLOOKUP(B86,'Snapshot (Volume)'!$A$7:$G$168,7,0)</f>
        <v>20205600</v>
      </c>
      <c r="F86" s="165">
        <f t="shared" ref="F86:F96" si="27">D86-E86</f>
        <v>-100950</v>
      </c>
      <c r="G86" s="166">
        <f t="shared" ref="G86:G96" si="28">F86/E86</f>
        <v>-4.9961396840479868E-3</v>
      </c>
      <c r="H86" s="165">
        <f>VLOOKUP($B86,'Data shares'!$C:$FB,66)</f>
        <v>13200000</v>
      </c>
      <c r="I86" s="165">
        <f>VLOOKUP($B86,'Data shares'!$C:$FB,67)</f>
        <v>18745050</v>
      </c>
      <c r="J86" s="81">
        <f t="shared" ref="J86:J96" si="29">(H86-I86)/I86*100</f>
        <v>-29.581409492105916</v>
      </c>
      <c r="K86" s="5">
        <f>VLOOKUP($B86,'Data Vlaue (Cr)'!$C:$FB,99)</f>
        <v>9587</v>
      </c>
      <c r="L86" s="81">
        <f>VLOOKUP(B86,'OI(Value)'!$A$7:$C$209,3,0)</f>
        <v>-48</v>
      </c>
      <c r="M86" s="33">
        <f t="shared" si="22"/>
        <v>-0.50067800146031083</v>
      </c>
      <c r="N86" s="5">
        <f>VLOOKUP($B86,'Data Vlaue (Cr)'!$C:$FB,67)</f>
        <v>6295</v>
      </c>
      <c r="O86" s="5">
        <f>VLOOKUP($B86,'Data Vlaue (Cr)'!$C:$FB,68)</f>
        <v>8939</v>
      </c>
      <c r="P86" s="5">
        <f t="shared" ref="P86:P96" si="30">(N86-O86)/N86*100</f>
        <v>-42.001588562351074</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Capital_Goods</v>
      </c>
      <c r="B87" s="79" t="str">
        <f>'Data shares'!C82</f>
        <v>HAVELLS</v>
      </c>
      <c r="C87" s="4">
        <f>VLOOKUP($B87,'Data shares'!$C:$FB,7)</f>
        <v>1578.6</v>
      </c>
      <c r="D87" s="82">
        <f>VLOOKUP($B87,'Data shares'!$C:$FB,98)</f>
        <v>16683000</v>
      </c>
      <c r="E87" s="165">
        <f>VLOOKUP(B87,'Snapshot (Volume)'!$A$7:$G$168,7,0)</f>
        <v>18801000</v>
      </c>
      <c r="F87" s="165">
        <f t="shared" si="27"/>
        <v>-2118000</v>
      </c>
      <c r="G87" s="166">
        <f t="shared" si="28"/>
        <v>-0.11265358225626297</v>
      </c>
      <c r="H87" s="165">
        <f>VLOOKUP($B87,'Data shares'!$C:$FB,66)</f>
        <v>71440000</v>
      </c>
      <c r="I87" s="165">
        <f>VLOOKUP($B87,'Data shares'!$C:$FB,67)</f>
        <v>18631000</v>
      </c>
      <c r="J87" s="81">
        <f t="shared" si="29"/>
        <v>283.44694326659868</v>
      </c>
      <c r="K87" s="5">
        <f>VLOOKUP($B87,'Data Vlaue (Cr)'!$C:$FB,99)</f>
        <v>2638</v>
      </c>
      <c r="L87" s="81">
        <f>VLOOKUP(B87,'OI(Value)'!$A$7:$C$209,3,0)</f>
        <v>-335</v>
      </c>
      <c r="M87" s="33">
        <f t="shared" si="22"/>
        <v>-12.699014404852161</v>
      </c>
      <c r="N87" s="5">
        <f>VLOOKUP($B87,'Data Vlaue (Cr)'!$C:$FB,67)</f>
        <v>11296</v>
      </c>
      <c r="O87" s="5">
        <f>VLOOKUP($B87,'Data Vlaue (Cr)'!$C:$FB,68)</f>
        <v>2946</v>
      </c>
      <c r="P87" s="5">
        <f t="shared" si="30"/>
        <v>73.919971671388112</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Technology</v>
      </c>
      <c r="B88" s="79" t="str">
        <f>'Data shares'!C83</f>
        <v>HCLTECH</v>
      </c>
      <c r="C88" s="4">
        <f>VLOOKUP($B88,'Data shares'!$C:$FB,7)</f>
        <v>1520.1</v>
      </c>
      <c r="D88" s="82">
        <f>VLOOKUP($B88,'Data shares'!$C:$FB,98)</f>
        <v>43713950</v>
      </c>
      <c r="E88" s="165">
        <f>VLOOKUP(B88,'Snapshot (Volume)'!$A$7:$G$168,7,0)</f>
        <v>43776600</v>
      </c>
      <c r="F88" s="165">
        <f t="shared" si="27"/>
        <v>-62650</v>
      </c>
      <c r="G88" s="166">
        <f t="shared" si="28"/>
        <v>-1.4311298730371935E-3</v>
      </c>
      <c r="H88" s="165">
        <f>VLOOKUP($B88,'Data shares'!$C:$FB,66)</f>
        <v>17588550</v>
      </c>
      <c r="I88" s="165">
        <f>VLOOKUP($B88,'Data shares'!$C:$FB,67)</f>
        <v>23830450</v>
      </c>
      <c r="J88" s="81">
        <f t="shared" si="29"/>
        <v>-26.192959008327581</v>
      </c>
      <c r="K88" s="5">
        <f>VLOOKUP($B88,'Data Vlaue (Cr)'!$C:$FB,99)</f>
        <v>6666</v>
      </c>
      <c r="L88" s="81">
        <f>VLOOKUP(B88,'OI(Value)'!$A$7:$C$209,3,0)</f>
        <v>-10</v>
      </c>
      <c r="M88" s="33">
        <f t="shared" si="22"/>
        <v>-0.15001500150015001</v>
      </c>
      <c r="N88" s="5">
        <f>VLOOKUP($B88,'Data Vlaue (Cr)'!$C:$FB,67)</f>
        <v>2682</v>
      </c>
      <c r="O88" s="5">
        <f>VLOOKUP($B88,'Data Vlaue (Cr)'!$C:$FB,68)</f>
        <v>3634</v>
      </c>
      <c r="P88" s="5">
        <f t="shared" si="30"/>
        <v>-35.495898583146904</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Finance</v>
      </c>
      <c r="B89" s="79" t="str">
        <f>'Data shares'!C84</f>
        <v>HDFCAMC</v>
      </c>
      <c r="C89" s="4">
        <f>VLOOKUP($B89,'Data shares'!$C:$FB,7)</f>
        <v>5592.5</v>
      </c>
      <c r="D89" s="82">
        <f>VLOOKUP($B89,'Data shares'!$C:$FB,98)</f>
        <v>6207450</v>
      </c>
      <c r="E89" s="165">
        <f>VLOOKUP(B89,'Snapshot (Volume)'!$A$7:$G$168,7,0)</f>
        <v>6402750</v>
      </c>
      <c r="F89" s="165">
        <f t="shared" si="27"/>
        <v>-195300</v>
      </c>
      <c r="G89" s="166">
        <f t="shared" si="28"/>
        <v>-3.0502518449103899E-2</v>
      </c>
      <c r="H89" s="165">
        <f>VLOOKUP($B89,'Data shares'!$C:$FB,66)</f>
        <v>3433350</v>
      </c>
      <c r="I89" s="165">
        <f>VLOOKUP($B89,'Data shares'!$C:$FB,67)</f>
        <v>6442800</v>
      </c>
      <c r="J89" s="81">
        <f t="shared" si="29"/>
        <v>-46.710281244179548</v>
      </c>
      <c r="K89" s="5">
        <f>VLOOKUP($B89,'Data Vlaue (Cr)'!$C:$FB,99)</f>
        <v>3472</v>
      </c>
      <c r="L89" s="81">
        <f>VLOOKUP(B89,'OI(Value)'!$A$7:$C$209,3,0)</f>
        <v>-109</v>
      </c>
      <c r="M89" s="33">
        <f t="shared" si="22"/>
        <v>-3.1394009216589867</v>
      </c>
      <c r="N89" s="5">
        <f>VLOOKUP($B89,'Data Vlaue (Cr)'!$C:$FB,67)</f>
        <v>1920</v>
      </c>
      <c r="O89" s="5">
        <f>VLOOKUP($B89,'Data Vlaue (Cr)'!$C:$FB,68)</f>
        <v>3604</v>
      </c>
      <c r="P89" s="5">
        <f t="shared" si="30"/>
        <v>-87.708333333333329</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HDFCBANK</v>
      </c>
      <c r="C90" s="4">
        <f>VLOOKUP($B90,'Data shares'!$C:$FB,7)</f>
        <v>2007.1</v>
      </c>
      <c r="D90" s="82">
        <f>VLOOKUP($B90,'Data shares'!$C:$FB,98)</f>
        <v>162228550</v>
      </c>
      <c r="E90" s="165">
        <f>VLOOKUP(B90,'Snapshot (Volume)'!$A$7:$G$168,7,0)</f>
        <v>165111100</v>
      </c>
      <c r="F90" s="165">
        <f t="shared" si="27"/>
        <v>-2882550</v>
      </c>
      <c r="G90" s="166">
        <f t="shared" si="28"/>
        <v>-1.7458244781846891E-2</v>
      </c>
      <c r="H90" s="165">
        <f>VLOOKUP($B90,'Data shares'!$C:$FB,66)</f>
        <v>106014150</v>
      </c>
      <c r="I90" s="165">
        <f>VLOOKUP($B90,'Data shares'!$C:$FB,67)</f>
        <v>253475200</v>
      </c>
      <c r="J90" s="81">
        <f t="shared" si="29"/>
        <v>-58.175730801277602</v>
      </c>
      <c r="K90" s="5">
        <f>VLOOKUP($B90,'Data Vlaue (Cr)'!$C:$FB,99)</f>
        <v>32511</v>
      </c>
      <c r="L90" s="81">
        <f>VLOOKUP(B90,'OI(Value)'!$A$7:$C$209,3,0)</f>
        <v>-578</v>
      </c>
      <c r="M90" s="33">
        <f t="shared" si="22"/>
        <v>-1.777859801298022</v>
      </c>
      <c r="N90" s="5">
        <f>VLOOKUP($B90,'Data Vlaue (Cr)'!$C:$FB,67)</f>
        <v>21245</v>
      </c>
      <c r="O90" s="5">
        <f>VLOOKUP($B90,'Data Vlaue (Cr)'!$C:$FB,68)</f>
        <v>50796</v>
      </c>
      <c r="P90" s="5">
        <f t="shared" si="30"/>
        <v>-139.09625794304543</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HDFCLIFE</v>
      </c>
      <c r="C91" s="4">
        <f>VLOOKUP($B91,'Data shares'!$C:$FB,7)</f>
        <v>763.3</v>
      </c>
      <c r="D91" s="82">
        <f>VLOOKUP($B91,'Data shares'!$C:$FB,98)</f>
        <v>60084200</v>
      </c>
      <c r="E91" s="165">
        <f>VLOOKUP(B91,'Snapshot (Volume)'!$A$7:$G$168,7,0)</f>
        <v>64322500</v>
      </c>
      <c r="F91" s="165">
        <f t="shared" si="27"/>
        <v>-4238300</v>
      </c>
      <c r="G91" s="166">
        <f t="shared" si="28"/>
        <v>-6.5891406584010256E-2</v>
      </c>
      <c r="H91" s="165">
        <f>VLOOKUP($B91,'Data shares'!$C:$FB,66)</f>
        <v>63276400</v>
      </c>
      <c r="I91" s="165">
        <f>VLOOKUP($B91,'Data shares'!$C:$FB,67)</f>
        <v>30145500</v>
      </c>
      <c r="J91" s="81">
        <f t="shared" si="29"/>
        <v>109.90330231709542</v>
      </c>
      <c r="K91" s="5">
        <f>VLOOKUP($B91,'Data Vlaue (Cr)'!$C:$FB,99)</f>
        <v>4589</v>
      </c>
      <c r="L91" s="81">
        <f>VLOOKUP(B91,'OI(Value)'!$A$7:$C$209,3,0)</f>
        <v>-324</v>
      </c>
      <c r="M91" s="33">
        <f t="shared" si="22"/>
        <v>-7.0603617345826972</v>
      </c>
      <c r="N91" s="5">
        <f>VLOOKUP($B91,'Data Vlaue (Cr)'!$C:$FB,67)</f>
        <v>4833</v>
      </c>
      <c r="O91" s="5">
        <f>VLOOKUP($B91,'Data Vlaue (Cr)'!$C:$FB,68)</f>
        <v>2303</v>
      </c>
      <c r="P91" s="5">
        <f t="shared" si="30"/>
        <v>52.348437823298156</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Automobile</v>
      </c>
      <c r="B92" s="79" t="str">
        <f>'Data shares'!C87</f>
        <v>HEROMOTOCO</v>
      </c>
      <c r="C92" s="4">
        <f>VLOOKUP($B92,'Data shares'!$C:$FB,7)</f>
        <v>4342.3999999999996</v>
      </c>
      <c r="D92" s="82">
        <f>VLOOKUP($B92,'Data shares'!$C:$FB,98)</f>
        <v>13135950</v>
      </c>
      <c r="E92" s="165">
        <f>VLOOKUP(B92,'Snapshot (Volume)'!$A$7:$G$168,7,0)</f>
        <v>12509700</v>
      </c>
      <c r="F92" s="165">
        <f t="shared" si="27"/>
        <v>626250</v>
      </c>
      <c r="G92" s="166">
        <f t="shared" si="28"/>
        <v>5.0061152545624599E-2</v>
      </c>
      <c r="H92" s="165">
        <f>VLOOKUP($B92,'Data shares'!$C:$FB,66)</f>
        <v>9512850</v>
      </c>
      <c r="I92" s="165">
        <f>VLOOKUP($B92,'Data shares'!$C:$FB,67)</f>
        <v>7107750</v>
      </c>
      <c r="J92" s="81">
        <f t="shared" si="29"/>
        <v>33.837712356230874</v>
      </c>
      <c r="K92" s="5">
        <f>VLOOKUP($B92,'Data Vlaue (Cr)'!$C:$FB,99)</f>
        <v>5600</v>
      </c>
      <c r="L92" s="81">
        <f>VLOOKUP(B92,'OI(Value)'!$A$7:$C$209,3,0)</f>
        <v>267</v>
      </c>
      <c r="M92" s="33">
        <f t="shared" si="22"/>
        <v>4.7678571428571432</v>
      </c>
      <c r="N92" s="5">
        <f>VLOOKUP($B92,'Data Vlaue (Cr)'!$C:$FB,67)</f>
        <v>4055</v>
      </c>
      <c r="O92" s="5">
        <f>VLOOKUP($B92,'Data Vlaue (Cr)'!$C:$FB,68)</f>
        <v>3030</v>
      </c>
      <c r="P92" s="5">
        <f t="shared" si="30"/>
        <v>25.27743526510481</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Technology</v>
      </c>
      <c r="B93" s="79" t="str">
        <f>'Data shares'!C88</f>
        <v>HFCL</v>
      </c>
      <c r="C93" s="4">
        <f>VLOOKUP($B93,'Data shares'!$C:$FB,7)</f>
        <v>80.319999999999993</v>
      </c>
      <c r="D93" s="82">
        <f>VLOOKUP($B93,'Data shares'!$C:$FB,98)</f>
        <v>137443050</v>
      </c>
      <c r="E93" s="165">
        <f>VLOOKUP(B93,'Snapshot (Volume)'!$A$7:$G$168,7,0)</f>
        <v>132283050</v>
      </c>
      <c r="F93" s="165">
        <f t="shared" si="27"/>
        <v>5160000</v>
      </c>
      <c r="G93" s="166">
        <f t="shared" si="28"/>
        <v>3.9007265103125459E-2</v>
      </c>
      <c r="H93" s="165">
        <f>VLOOKUP($B93,'Data shares'!$C:$FB,66)</f>
        <v>44169600</v>
      </c>
      <c r="I93" s="165">
        <f>VLOOKUP($B93,'Data shares'!$C:$FB,67)</f>
        <v>20369100</v>
      </c>
      <c r="J93" s="81">
        <f t="shared" si="29"/>
        <v>116.846105129829</v>
      </c>
      <c r="K93" s="5">
        <f>VLOOKUP($B93,'Data Vlaue (Cr)'!$C:$FB,99)</f>
        <v>1109</v>
      </c>
      <c r="L93" s="81">
        <f>VLOOKUP(B93,'OI(Value)'!$A$7:$C$209,3,0)</f>
        <v>42</v>
      </c>
      <c r="M93" s="33">
        <f t="shared" si="22"/>
        <v>3.7871956717763751</v>
      </c>
      <c r="N93" s="5">
        <f>VLOOKUP($B93,'Data Vlaue (Cr)'!$C:$FB,67)</f>
        <v>356</v>
      </c>
      <c r="O93" s="5">
        <f>VLOOKUP($B93,'Data Vlaue (Cr)'!$C:$FB,68)</f>
        <v>164</v>
      </c>
      <c r="P93" s="5">
        <f t="shared" si="30"/>
        <v>53.932584269662918</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Metals</v>
      </c>
      <c r="B94" s="79" t="str">
        <f>'Data shares'!C89</f>
        <v>HINDALCO</v>
      </c>
      <c r="C94" s="4">
        <f>VLOOKUP($B94,'Data shares'!$C:$FB,7)</f>
        <v>690.05</v>
      </c>
      <c r="D94" s="82">
        <f>VLOOKUP($B94,'Data shares'!$C:$FB,98)</f>
        <v>82874400</v>
      </c>
      <c r="E94" s="165">
        <f>VLOOKUP(B94,'Snapshot (Volume)'!$A$7:$G$168,7,0)</f>
        <v>81629800</v>
      </c>
      <c r="F94" s="165">
        <f t="shared" si="27"/>
        <v>1244600</v>
      </c>
      <c r="G94" s="166">
        <f t="shared" si="28"/>
        <v>1.5246882878556606E-2</v>
      </c>
      <c r="H94" s="165">
        <f>VLOOKUP($B94,'Data shares'!$C:$FB,66)</f>
        <v>46520600</v>
      </c>
      <c r="I94" s="165">
        <f>VLOOKUP($B94,'Data shares'!$C:$FB,67)</f>
        <v>49245000</v>
      </c>
      <c r="J94" s="81">
        <f t="shared" si="29"/>
        <v>-5.5323383084577111</v>
      </c>
      <c r="K94" s="5">
        <f>VLOOKUP($B94,'Data Vlaue (Cr)'!$C:$FB,99)</f>
        <v>5718</v>
      </c>
      <c r="L94" s="81">
        <f>VLOOKUP(B94,'OI(Value)'!$A$7:$C$209,3,0)</f>
        <v>86</v>
      </c>
      <c r="M94" s="33">
        <f t="shared" ref="M94:M122" si="31">L94/K94*100</f>
        <v>1.5040223854494577</v>
      </c>
      <c r="N94" s="5">
        <f>VLOOKUP($B94,'Data Vlaue (Cr)'!$C:$FB,67)</f>
        <v>3210</v>
      </c>
      <c r="O94" s="5">
        <f>VLOOKUP($B94,'Data Vlaue (Cr)'!$C:$FB,68)</f>
        <v>3398</v>
      </c>
      <c r="P94" s="5">
        <f t="shared" si="30"/>
        <v>-5.8566978193146415</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Metals</v>
      </c>
      <c r="B95" s="79" t="str">
        <f>'Data shares'!C90</f>
        <v>HINDCOPPER</v>
      </c>
      <c r="C95" s="4">
        <f>VLOOKUP($B95,'Data shares'!$C:$FB,7)</f>
        <v>271.95</v>
      </c>
      <c r="D95" s="82">
        <f>VLOOKUP($B95,'Data shares'!$C:$FB,98)</f>
        <v>49464900</v>
      </c>
      <c r="E95" s="165">
        <f>VLOOKUP(B95,'Snapshot (Volume)'!$A$7:$G$168,7,0)</f>
        <v>52154650</v>
      </c>
      <c r="F95" s="165">
        <f t="shared" si="27"/>
        <v>-2689750</v>
      </c>
      <c r="G95" s="166">
        <f t="shared" si="28"/>
        <v>-5.1572582693968805E-2</v>
      </c>
      <c r="H95" s="165">
        <f>VLOOKUP($B95,'Data shares'!$C:$FB,66)</f>
        <v>33845800</v>
      </c>
      <c r="I95" s="165">
        <f>VLOOKUP($B95,'Data shares'!$C:$FB,67)</f>
        <v>2840800</v>
      </c>
      <c r="J95" s="81">
        <f t="shared" si="29"/>
        <v>1091.4179104477612</v>
      </c>
      <c r="K95" s="5">
        <f>VLOOKUP($B95,'Data Vlaue (Cr)'!$C:$FB,99)</f>
        <v>1351</v>
      </c>
      <c r="L95" s="81">
        <f>VLOOKUP(B95,'OI(Value)'!$A$7:$C$209,3,0)</f>
        <v>-73</v>
      </c>
      <c r="M95" s="33">
        <f t="shared" si="31"/>
        <v>-5.4034048852701702</v>
      </c>
      <c r="N95" s="5">
        <f>VLOOKUP($B95,'Data Vlaue (Cr)'!$C:$FB,67)</f>
        <v>924</v>
      </c>
      <c r="O95" s="5">
        <f>VLOOKUP($B95,'Data Vlaue (Cr)'!$C:$FB,68)</f>
        <v>78</v>
      </c>
      <c r="P95" s="5">
        <f t="shared" si="30"/>
        <v>91.558441558441558</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HINDPETRO</v>
      </c>
      <c r="C96" s="4">
        <f>VLOOKUP($B96,'Data shares'!$C:$FB,7)</f>
        <v>429.25</v>
      </c>
      <c r="D96" s="82">
        <f>VLOOKUP($B96,'Data shares'!$C:$FB,98)</f>
        <v>83006775</v>
      </c>
      <c r="E96" s="165">
        <f>VLOOKUP(B96,'Snapshot (Volume)'!$A$7:$G$168,7,0)</f>
        <v>82696950</v>
      </c>
      <c r="F96" s="165">
        <f t="shared" si="27"/>
        <v>309825</v>
      </c>
      <c r="G96" s="166">
        <f t="shared" si="28"/>
        <v>3.7465106028698762E-3</v>
      </c>
      <c r="H96" s="165">
        <f>VLOOKUP($B96,'Data shares'!$C:$FB,66)</f>
        <v>18056925</v>
      </c>
      <c r="I96" s="165">
        <f>VLOOKUP($B96,'Data shares'!$C:$FB,67)</f>
        <v>18405225</v>
      </c>
      <c r="J96" s="81">
        <f t="shared" si="29"/>
        <v>-1.8923974034547253</v>
      </c>
      <c r="K96" s="5">
        <f>VLOOKUP($B96,'Data Vlaue (Cr)'!$C:$FB,99)</f>
        <v>3566</v>
      </c>
      <c r="L96" s="81">
        <f>VLOOKUP(B96,'OI(Value)'!$A$7:$C$209,3,0)</f>
        <v>13</v>
      </c>
      <c r="M96" s="33">
        <f t="shared" si="31"/>
        <v>0.36455412226584405</v>
      </c>
      <c r="N96" s="5">
        <f>VLOOKUP($B96,'Data Vlaue (Cr)'!$C:$FB,67)</f>
        <v>776</v>
      </c>
      <c r="O96" s="5">
        <f>VLOOKUP($B96,'Data Vlaue (Cr)'!$C:$FB,68)</f>
        <v>791</v>
      </c>
      <c r="P96" s="5">
        <f t="shared" si="30"/>
        <v>-1.9329896907216495</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FMCG</v>
      </c>
      <c r="B97" s="79" t="str">
        <f>'Data shares'!C92</f>
        <v>HINDUNILVR</v>
      </c>
      <c r="C97" s="4">
        <f>VLOOKUP($B97,'Data shares'!$C:$FB,7)</f>
        <v>2479.6999999999998</v>
      </c>
      <c r="D97" s="82">
        <f>VLOOKUP($B97,'Data shares'!$C:$FB,98)</f>
        <v>33282600</v>
      </c>
      <c r="E97" s="165">
        <f>VLOOKUP(B97,'Snapshot (Volume)'!$A$7:$G$168,7,0)</f>
        <v>33682500</v>
      </c>
      <c r="F97" s="165">
        <f t="shared" ref="F97:F105" si="32">D97-E97</f>
        <v>-399900</v>
      </c>
      <c r="G97" s="166">
        <f t="shared" ref="G97:G105" si="33">F97/E97</f>
        <v>-1.1872634157203295E-2</v>
      </c>
      <c r="H97" s="165">
        <f>VLOOKUP($B97,'Data shares'!$C:$FB,66)</f>
        <v>10554900</v>
      </c>
      <c r="I97" s="165">
        <f>VLOOKUP($B97,'Data shares'!$C:$FB,67)</f>
        <v>17748000</v>
      </c>
      <c r="J97" s="81">
        <f t="shared" ref="J97:J105" si="34">(H97-I97)/I97*100</f>
        <v>-40.529073698444897</v>
      </c>
      <c r="K97" s="5">
        <f>VLOOKUP($B97,'Data Vlaue (Cr)'!$C:$FB,99)</f>
        <v>8256</v>
      </c>
      <c r="L97" s="81">
        <f>VLOOKUP(B97,'OI(Value)'!$A$7:$C$209,3,0)</f>
        <v>-99</v>
      </c>
      <c r="M97" s="33">
        <f t="shared" si="31"/>
        <v>-1.1991279069767442</v>
      </c>
      <c r="N97" s="5">
        <f>VLOOKUP($B97,'Data Vlaue (Cr)'!$C:$FB,67)</f>
        <v>2618</v>
      </c>
      <c r="O97" s="5">
        <f>VLOOKUP($B97,'Data Vlaue (Cr)'!$C:$FB,68)</f>
        <v>4403</v>
      </c>
      <c r="P97" s="5">
        <f t="shared" ref="P97:P105" si="35">(N97-O97)/N97*100</f>
        <v>-68.181818181818173</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Metals</v>
      </c>
      <c r="B98" s="79" t="str">
        <f>'Data shares'!C93</f>
        <v>HINDZINC</v>
      </c>
      <c r="C98" s="4">
        <f>VLOOKUP($B98,'Data shares'!$C:$FB,7)</f>
        <v>443.2</v>
      </c>
      <c r="D98" s="82">
        <f>VLOOKUP($B98,'Data shares'!$C:$FB,98)</f>
        <v>72994075</v>
      </c>
      <c r="E98" s="165">
        <f>VLOOKUP(B98,'Snapshot (Volume)'!$A$7:$G$168,7,0)</f>
        <v>74668650</v>
      </c>
      <c r="F98" s="165">
        <f t="shared" si="32"/>
        <v>-1674575</v>
      </c>
      <c r="G98" s="166">
        <f t="shared" si="33"/>
        <v>-2.2426748039505201E-2</v>
      </c>
      <c r="H98" s="165">
        <f>VLOOKUP($B98,'Data shares'!$C:$FB,66)</f>
        <v>13143025</v>
      </c>
      <c r="I98" s="165">
        <f>VLOOKUP($B98,'Data shares'!$C:$FB,67)</f>
        <v>36061550</v>
      </c>
      <c r="J98" s="81">
        <f t="shared" si="34"/>
        <v>-63.553909912358172</v>
      </c>
      <c r="K98" s="5">
        <f>VLOOKUP($B98,'Data Vlaue (Cr)'!$C:$FB,99)</f>
        <v>3237</v>
      </c>
      <c r="L98" s="81">
        <f>VLOOKUP(B98,'OI(Value)'!$A$7:$C$209,3,0)</f>
        <v>-74</v>
      </c>
      <c r="M98" s="33">
        <f t="shared" si="31"/>
        <v>-2.2860673463083101</v>
      </c>
      <c r="N98" s="5">
        <f>VLOOKUP($B98,'Data Vlaue (Cr)'!$C:$FB,67)</f>
        <v>583</v>
      </c>
      <c r="O98" s="5">
        <f>VLOOKUP($B98,'Data Vlaue (Cr)'!$C:$FB,68)</f>
        <v>1599</v>
      </c>
      <c r="P98" s="5">
        <f t="shared" si="35"/>
        <v>-174.27101200686107</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Realty</v>
      </c>
      <c r="B99" s="79" t="str">
        <f>'Data shares'!C94</f>
        <v>HUDCO</v>
      </c>
      <c r="C99" s="4">
        <f>VLOOKUP($B99,'Data shares'!$C:$FB,7)</f>
        <v>225.46</v>
      </c>
      <c r="D99" s="82">
        <f>VLOOKUP($B99,'Data shares'!$C:$FB,98)</f>
        <v>68861625</v>
      </c>
      <c r="E99" s="165">
        <f>VLOOKUP(B99,'Snapshot (Volume)'!$A$7:$G$168,7,0)</f>
        <v>69164100</v>
      </c>
      <c r="F99" s="165">
        <f t="shared" si="32"/>
        <v>-302475</v>
      </c>
      <c r="G99" s="166">
        <f t="shared" si="33"/>
        <v>-4.3732948162413738E-3</v>
      </c>
      <c r="H99" s="165">
        <f>VLOOKUP($B99,'Data shares'!$C:$FB,66)</f>
        <v>17080125</v>
      </c>
      <c r="I99" s="165">
        <f>VLOOKUP($B99,'Data shares'!$C:$FB,67)</f>
        <v>21189900</v>
      </c>
      <c r="J99" s="81">
        <f t="shared" si="34"/>
        <v>-19.394971189104243</v>
      </c>
      <c r="K99" s="5">
        <f>VLOOKUP($B99,'Data Vlaue (Cr)'!$C:$FB,99)</f>
        <v>1552</v>
      </c>
      <c r="L99" s="81">
        <f>VLOOKUP(B99,'OI(Value)'!$A$7:$C$209,3,0)</f>
        <v>-7</v>
      </c>
      <c r="M99" s="33">
        <f t="shared" si="31"/>
        <v>-0.4510309278350515</v>
      </c>
      <c r="N99" s="5">
        <f>VLOOKUP($B99,'Data Vlaue (Cr)'!$C:$FB,67)</f>
        <v>385</v>
      </c>
      <c r="O99" s="5">
        <f>VLOOKUP($B99,'Data Vlaue (Cr)'!$C:$FB,68)</f>
        <v>478</v>
      </c>
      <c r="P99" s="5">
        <f t="shared" si="35"/>
        <v>-24.155844155844157</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Banking</v>
      </c>
      <c r="B100" s="79" t="str">
        <f>'Data shares'!C95</f>
        <v>ICICIBANK</v>
      </c>
      <c r="C100" s="4">
        <f>VLOOKUP($B100,'Data shares'!$C:$FB,7)</f>
        <v>1473.6</v>
      </c>
      <c r="D100" s="82">
        <f>VLOOKUP($B100,'Data shares'!$C:$FB,98)</f>
        <v>154910000</v>
      </c>
      <c r="E100" s="165">
        <f>VLOOKUP(B100,'Snapshot (Volume)'!$A$7:$G$168,7,0)</f>
        <v>156051000</v>
      </c>
      <c r="F100" s="165">
        <f t="shared" si="32"/>
        <v>-1141000</v>
      </c>
      <c r="G100" s="166">
        <f t="shared" si="33"/>
        <v>-7.3117121966536584E-3</v>
      </c>
      <c r="H100" s="165">
        <f>VLOOKUP($B100,'Data shares'!$C:$FB,66)</f>
        <v>122846500</v>
      </c>
      <c r="I100" s="165">
        <f>VLOOKUP($B100,'Data shares'!$C:$FB,67)</f>
        <v>261034200</v>
      </c>
      <c r="J100" s="81">
        <f t="shared" si="34"/>
        <v>-52.938542152714085</v>
      </c>
      <c r="K100" s="5">
        <f>VLOOKUP($B100,'Data Vlaue (Cr)'!$C:$FB,99)</f>
        <v>22838</v>
      </c>
      <c r="L100" s="81">
        <f>VLOOKUP(B100,'OI(Value)'!$A$7:$C$209,3,0)</f>
        <v>-168</v>
      </c>
      <c r="M100" s="33">
        <f t="shared" si="31"/>
        <v>-0.73561607846571508</v>
      </c>
      <c r="N100" s="5">
        <f>VLOOKUP($B100,'Data Vlaue (Cr)'!$C:$FB,67)</f>
        <v>18111</v>
      </c>
      <c r="O100" s="5">
        <f>VLOOKUP($B100,'Data Vlaue (Cr)'!$C:$FB,68)</f>
        <v>38484</v>
      </c>
      <c r="P100" s="5">
        <f t="shared" si="35"/>
        <v>-112.48964717574954</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Finance</v>
      </c>
      <c r="B101" s="79" t="str">
        <f>'Data shares'!C96</f>
        <v>ICICIGI</v>
      </c>
      <c r="C101" s="4">
        <f>VLOOKUP($B101,'Data shares'!$C:$FB,7)</f>
        <v>1962.3</v>
      </c>
      <c r="D101" s="82">
        <f>VLOOKUP($B101,'Data shares'!$C:$FB,98)</f>
        <v>9319050</v>
      </c>
      <c r="E101" s="165">
        <f>VLOOKUP(B101,'Snapshot (Volume)'!$A$7:$G$168,7,0)</f>
        <v>9838400</v>
      </c>
      <c r="F101" s="165">
        <f t="shared" si="32"/>
        <v>-519350</v>
      </c>
      <c r="G101" s="166">
        <f t="shared" si="33"/>
        <v>-5.2788054968287527E-2</v>
      </c>
      <c r="H101" s="165">
        <f>VLOOKUP($B101,'Data shares'!$C:$FB,66)</f>
        <v>3296150</v>
      </c>
      <c r="I101" s="165">
        <f>VLOOKUP($B101,'Data shares'!$C:$FB,67)</f>
        <v>4005950</v>
      </c>
      <c r="J101" s="81">
        <f t="shared" si="34"/>
        <v>-17.718643517767322</v>
      </c>
      <c r="K101" s="5">
        <f>VLOOKUP($B101,'Data Vlaue (Cr)'!$C:$FB,99)</f>
        <v>1828</v>
      </c>
      <c r="L101" s="81">
        <f>VLOOKUP(B101,'OI(Value)'!$A$7:$C$209,3,0)</f>
        <v>-102</v>
      </c>
      <c r="M101" s="33">
        <f t="shared" si="31"/>
        <v>-5.5798687089715537</v>
      </c>
      <c r="N101" s="5">
        <f>VLOOKUP($B101,'Data Vlaue (Cr)'!$C:$FB,67)</f>
        <v>647</v>
      </c>
      <c r="O101" s="5">
        <f>VLOOKUP($B101,'Data Vlaue (Cr)'!$C:$FB,68)</f>
        <v>786</v>
      </c>
      <c r="P101" s="5">
        <f t="shared" si="35"/>
        <v>-21.483771251931994</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Finance</v>
      </c>
      <c r="B102" s="79" t="str">
        <f>'Data shares'!C97</f>
        <v>ICICIPRULI</v>
      </c>
      <c r="C102" s="4">
        <f>VLOOKUP($B102,'Data shares'!$C:$FB,7)</f>
        <v>625.1</v>
      </c>
      <c r="D102" s="82">
        <f>VLOOKUP($B102,'Data shares'!$C:$FB,98)</f>
        <v>26969300</v>
      </c>
      <c r="E102" s="165">
        <f>VLOOKUP(B102,'Snapshot (Volume)'!$A$7:$G$168,7,0)</f>
        <v>26384700</v>
      </c>
      <c r="F102" s="165">
        <f t="shared" si="32"/>
        <v>584600</v>
      </c>
      <c r="G102" s="166">
        <f t="shared" si="33"/>
        <v>2.2156780255223673E-2</v>
      </c>
      <c r="H102" s="165">
        <f>VLOOKUP($B102,'Data shares'!$C:$FB,66)</f>
        <v>17146725</v>
      </c>
      <c r="I102" s="165">
        <f>VLOOKUP($B102,'Data shares'!$C:$FB,67)</f>
        <v>11217475</v>
      </c>
      <c r="J102" s="81">
        <f t="shared" si="34"/>
        <v>52.857260658035784</v>
      </c>
      <c r="K102" s="5">
        <f>VLOOKUP($B102,'Data Vlaue (Cr)'!$C:$FB,99)</f>
        <v>1692</v>
      </c>
      <c r="L102" s="81">
        <f>VLOOKUP(B102,'OI(Value)'!$A$7:$C$209,3,0)</f>
        <v>37</v>
      </c>
      <c r="M102" s="33">
        <f t="shared" si="31"/>
        <v>2.186761229314421</v>
      </c>
      <c r="N102" s="5">
        <f>VLOOKUP($B102,'Data Vlaue (Cr)'!$C:$FB,67)</f>
        <v>1076</v>
      </c>
      <c r="O102" s="5">
        <f>VLOOKUP($B102,'Data Vlaue (Cr)'!$C:$FB,68)</f>
        <v>704</v>
      </c>
      <c r="P102" s="5">
        <f t="shared" si="35"/>
        <v>34.572490706319705</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IDEA</v>
      </c>
      <c r="C103" s="4">
        <f>VLOOKUP($B103,'Data shares'!$C:$FB,7)</f>
        <v>7.37</v>
      </c>
      <c r="D103" s="82">
        <f>VLOOKUP($B103,'Data shares'!$C:$FB,98)</f>
        <v>7501015350</v>
      </c>
      <c r="E103" s="165">
        <f>VLOOKUP(B103,'Snapshot (Volume)'!$A$7:$G$168,7,0)</f>
        <v>7393302525</v>
      </c>
      <c r="F103" s="165">
        <f t="shared" si="32"/>
        <v>107712825</v>
      </c>
      <c r="G103" s="166">
        <f t="shared" si="33"/>
        <v>1.456897301791394E-2</v>
      </c>
      <c r="H103" s="165">
        <f>VLOOKUP($B103,'Data shares'!$C:$FB,66)</f>
        <v>1205640300</v>
      </c>
      <c r="I103" s="165">
        <f>VLOOKUP($B103,'Data shares'!$C:$FB,67)</f>
        <v>921098325</v>
      </c>
      <c r="J103" s="81">
        <f t="shared" si="34"/>
        <v>30.891596182199116</v>
      </c>
      <c r="K103" s="5">
        <f>VLOOKUP($B103,'Data Vlaue (Cr)'!$C:$FB,99)</f>
        <v>5543</v>
      </c>
      <c r="L103" s="81">
        <f>VLOOKUP(B103,'OI(Value)'!$A$7:$C$209,3,0)</f>
        <v>80</v>
      </c>
      <c r="M103" s="33">
        <f t="shared" si="31"/>
        <v>1.4432617716038245</v>
      </c>
      <c r="N103" s="5">
        <f>VLOOKUP($B103,'Data Vlaue (Cr)'!$C:$FB,67)</f>
        <v>891</v>
      </c>
      <c r="O103" s="5">
        <f>VLOOKUP($B103,'Data Vlaue (Cr)'!$C:$FB,68)</f>
        <v>681</v>
      </c>
      <c r="P103" s="5">
        <f t="shared" si="35"/>
        <v>23.569023569023571</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Banking</v>
      </c>
      <c r="B104" s="79" t="str">
        <f>'Data shares'!C99</f>
        <v>IDFCFIRSTB</v>
      </c>
      <c r="C104" s="4">
        <f>VLOOKUP($B104,'Data shares'!$C:$FB,7)</f>
        <v>72.44</v>
      </c>
      <c r="D104" s="82">
        <f>VLOOKUP($B104,'Data shares'!$C:$FB,98)</f>
        <v>618067450</v>
      </c>
      <c r="E104" s="165">
        <f>VLOOKUP(B104,'Snapshot (Volume)'!$A$7:$G$168,7,0)</f>
        <v>609914725</v>
      </c>
      <c r="F104" s="165">
        <f t="shared" si="32"/>
        <v>8152725</v>
      </c>
      <c r="G104" s="166">
        <f t="shared" si="33"/>
        <v>1.3366991590504721E-2</v>
      </c>
      <c r="H104" s="165">
        <f>VLOOKUP($B104,'Data shares'!$C:$FB,66)</f>
        <v>176178625</v>
      </c>
      <c r="I104" s="165">
        <f>VLOOKUP($B104,'Data shares'!$C:$FB,67)</f>
        <v>361919775</v>
      </c>
      <c r="J104" s="81">
        <f t="shared" si="34"/>
        <v>-51.321083519130731</v>
      </c>
      <c r="K104" s="5">
        <f>VLOOKUP($B104,'Data Vlaue (Cr)'!$C:$FB,99)</f>
        <v>4485</v>
      </c>
      <c r="L104" s="81">
        <f>VLOOKUP(B104,'OI(Value)'!$A$7:$C$209,3,0)</f>
        <v>59</v>
      </c>
      <c r="M104" s="33">
        <f t="shared" si="31"/>
        <v>1.3154960981047938</v>
      </c>
      <c r="N104" s="5">
        <f>VLOOKUP($B104,'Data Vlaue (Cr)'!$C:$FB,67)</f>
        <v>1278</v>
      </c>
      <c r="O104" s="5">
        <f>VLOOKUP($B104,'Data Vlaue (Cr)'!$C:$FB,68)</f>
        <v>2626</v>
      </c>
      <c r="P104" s="5">
        <f t="shared" si="35"/>
        <v>-105.47730829420969</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IEX</v>
      </c>
      <c r="C105" s="4">
        <f>VLOOKUP($B105,'Data shares'!$C:$FB,7)</f>
        <v>192.56</v>
      </c>
      <c r="D105" s="82">
        <f>VLOOKUP($B105,'Data shares'!$C:$FB,98)</f>
        <v>202252500</v>
      </c>
      <c r="E105" s="165">
        <f>VLOOKUP(B105,'Snapshot (Volume)'!$A$7:$G$168,7,0)</f>
        <v>131775000</v>
      </c>
      <c r="F105" s="165">
        <f t="shared" si="32"/>
        <v>70477500</v>
      </c>
      <c r="G105" s="166">
        <f t="shared" si="33"/>
        <v>0.53483210017074556</v>
      </c>
      <c r="H105" s="165">
        <f>VLOOKUP($B105,'Data shares'!$C:$FB,66)</f>
        <v>418826250</v>
      </c>
      <c r="I105" s="165">
        <f>VLOOKUP($B105,'Data shares'!$C:$FB,67)</f>
        <v>241057500</v>
      </c>
      <c r="J105" s="81">
        <f t="shared" si="34"/>
        <v>73.745371954824051</v>
      </c>
      <c r="K105" s="5">
        <f>VLOOKUP($B105,'Data Vlaue (Cr)'!$C:$FB,99)</f>
        <v>3896</v>
      </c>
      <c r="L105" s="81">
        <f>VLOOKUP(B105,'OI(Value)'!$A$7:$C$209,3,0)</f>
        <v>1357</v>
      </c>
      <c r="M105" s="33">
        <f t="shared" si="31"/>
        <v>34.830595482546201</v>
      </c>
      <c r="N105" s="5">
        <f>VLOOKUP($B105,'Data Vlaue (Cr)'!$C:$FB,67)</f>
        <v>8067</v>
      </c>
      <c r="O105" s="5">
        <f>VLOOKUP($B105,'Data Vlaue (Cr)'!$C:$FB,68)</f>
        <v>4643</v>
      </c>
      <c r="P105" s="5">
        <f t="shared" si="35"/>
        <v>42.444527085657619</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IGL</v>
      </c>
      <c r="C106" s="79">
        <f>VLOOKUP($B106,'Data shares'!$C:$FB,7)</f>
        <v>212.88</v>
      </c>
      <c r="D106" s="80">
        <f>VLOOKUP($B106,'Data shares'!$C:$FB,98)</f>
        <v>44002750</v>
      </c>
      <c r="E106" s="165">
        <f>VLOOKUP(B106,'Snapshot (Volume)'!$A$7:$G$168,7,0)</f>
        <v>40727500</v>
      </c>
      <c r="F106" s="165">
        <f t="shared" ref="F106:F114" si="36">D106-E106</f>
        <v>3275250</v>
      </c>
      <c r="G106" s="166">
        <f t="shared" ref="G106:G114" si="37">F106/E106</f>
        <v>8.0418636056718437E-2</v>
      </c>
      <c r="H106" s="165">
        <f>VLOOKUP($B106,'Data shares'!$C:$FB,66)</f>
        <v>61998750</v>
      </c>
      <c r="I106" s="165">
        <f>VLOOKUP($B106,'Data shares'!$C:$FB,67)</f>
        <v>38777750</v>
      </c>
      <c r="J106" s="81">
        <f t="shared" ref="J106:J114" si="38">(H106-I106)/I106*100</f>
        <v>59.882277852634566</v>
      </c>
      <c r="K106" s="81">
        <f>VLOOKUP($B106,'Data Vlaue (Cr)'!$C:$FB,99)</f>
        <v>939</v>
      </c>
      <c r="L106" s="81">
        <f>VLOOKUP(B106,'OI(Value)'!$A$7:$C$209,3,0)</f>
        <v>70</v>
      </c>
      <c r="M106" s="81">
        <f t="shared" si="31"/>
        <v>7.454739084132056</v>
      </c>
      <c r="N106" s="81">
        <f>VLOOKUP($B106,'Data Vlaue (Cr)'!$C:$FB,67)</f>
        <v>1324</v>
      </c>
      <c r="O106" s="81">
        <f>VLOOKUP($B106,'Data Vlaue (Cr)'!$C:$FB,68)</f>
        <v>828</v>
      </c>
      <c r="P106" s="81">
        <f t="shared" ref="P106:P114" si="39">(N106-O106)/N106*100</f>
        <v>37.462235649546827</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Finance</v>
      </c>
      <c r="B107" s="79" t="str">
        <f>'Data shares'!C102</f>
        <v>IIFL</v>
      </c>
      <c r="C107" s="79">
        <f>VLOOKUP($B107,'Data shares'!$C:$FB,7)</f>
        <v>529.79999999999995</v>
      </c>
      <c r="D107" s="80">
        <f>VLOOKUP($B107,'Data shares'!$C:$FB,98)</f>
        <v>23642850</v>
      </c>
      <c r="E107" s="165">
        <f>VLOOKUP(B107,'Snapshot (Volume)'!$A$7:$G$168,7,0)</f>
        <v>24570150</v>
      </c>
      <c r="F107" s="165">
        <f t="shared" si="36"/>
        <v>-927300</v>
      </c>
      <c r="G107" s="166">
        <f t="shared" si="37"/>
        <v>-3.7740917332617016E-2</v>
      </c>
      <c r="H107" s="165">
        <f>VLOOKUP($B107,'Data shares'!$C:$FB,66)</f>
        <v>7854000</v>
      </c>
      <c r="I107" s="165">
        <f>VLOOKUP($B107,'Data shares'!$C:$FB,67)</f>
        <v>6098400</v>
      </c>
      <c r="J107" s="81">
        <f t="shared" si="38"/>
        <v>28.787878787878789</v>
      </c>
      <c r="K107" s="81">
        <f>VLOOKUP($B107,'Data Vlaue (Cr)'!$C:$FB,99)</f>
        <v>1253</v>
      </c>
      <c r="L107" s="81">
        <f>VLOOKUP(B107,'OI(Value)'!$A$7:$C$209,3,0)</f>
        <v>-49</v>
      </c>
      <c r="M107" s="81">
        <f t="shared" si="31"/>
        <v>-3.9106145251396649</v>
      </c>
      <c r="N107" s="81">
        <f>VLOOKUP($B107,'Data Vlaue (Cr)'!$C:$FB,67)</f>
        <v>416</v>
      </c>
      <c r="O107" s="81">
        <f>VLOOKUP($B107,'Data Vlaue (Cr)'!$C:$FB,68)</f>
        <v>323</v>
      </c>
      <c r="P107" s="81">
        <f t="shared" si="39"/>
        <v>22.355769230769234</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Realty</v>
      </c>
      <c r="B108" s="79" t="str">
        <f>'Data shares'!C103</f>
        <v>INDHOTEL</v>
      </c>
      <c r="C108" s="4">
        <f>VLOOKUP($B108,'Data shares'!$C:$FB,7)</f>
        <v>756.3</v>
      </c>
      <c r="D108" s="82">
        <f>VLOOKUP($B108,'Data shares'!$C:$FB,98)</f>
        <v>46989000</v>
      </c>
      <c r="E108" s="165">
        <f>VLOOKUP(B108,'Snapshot (Volume)'!$A$7:$G$168,7,0)</f>
        <v>45952000</v>
      </c>
      <c r="F108" s="165">
        <f t="shared" si="36"/>
        <v>1037000</v>
      </c>
      <c r="G108" s="166">
        <f t="shared" si="37"/>
        <v>2.2567026462395542E-2</v>
      </c>
      <c r="H108" s="165">
        <f>VLOOKUP($B108,'Data shares'!$C:$FB,66)</f>
        <v>25180000</v>
      </c>
      <c r="I108" s="165">
        <f>VLOOKUP($B108,'Data shares'!$C:$FB,67)</f>
        <v>35432000</v>
      </c>
      <c r="J108" s="81">
        <f t="shared" si="38"/>
        <v>-28.934296680966359</v>
      </c>
      <c r="K108" s="5">
        <f>VLOOKUP($B108,'Data Vlaue (Cr)'!$C:$FB,99)</f>
        <v>3560</v>
      </c>
      <c r="L108" s="81">
        <f>VLOOKUP(B108,'OI(Value)'!$A$7:$C$209,3,0)</f>
        <v>79</v>
      </c>
      <c r="M108" s="33">
        <f t="shared" si="31"/>
        <v>2.2191011235955056</v>
      </c>
      <c r="N108" s="5">
        <f>VLOOKUP($B108,'Data Vlaue (Cr)'!$C:$FB,67)</f>
        <v>1908</v>
      </c>
      <c r="O108" s="5">
        <f>VLOOKUP($B108,'Data Vlaue (Cr)'!$C:$FB,68)</f>
        <v>2684</v>
      </c>
      <c r="P108" s="5">
        <f t="shared" si="39"/>
        <v>-40.670859538784065</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Banking</v>
      </c>
      <c r="B109" s="79" t="str">
        <f>'Data shares'!C104</f>
        <v>INDIANB</v>
      </c>
      <c r="C109" s="4">
        <f>VLOOKUP($B109,'Data shares'!$C:$FB,7)</f>
        <v>627.9</v>
      </c>
      <c r="D109" s="82">
        <f>VLOOKUP($B109,'Data shares'!$C:$FB,98)</f>
        <v>11232000</v>
      </c>
      <c r="E109" s="165">
        <f>VLOOKUP(B109,'Snapshot (Volume)'!$A$7:$G$168,7,0)</f>
        <v>11208000</v>
      </c>
      <c r="F109" s="165">
        <f t="shared" si="36"/>
        <v>24000</v>
      </c>
      <c r="G109" s="166">
        <f t="shared" si="37"/>
        <v>2.1413276231263384E-3</v>
      </c>
      <c r="H109" s="165">
        <f>VLOOKUP($B109,'Data shares'!$C:$FB,66)</f>
        <v>2174000</v>
      </c>
      <c r="I109" s="165">
        <f>VLOOKUP($B109,'Data shares'!$C:$FB,67)</f>
        <v>2917000</v>
      </c>
      <c r="J109" s="81">
        <f t="shared" si="38"/>
        <v>-25.471374700034282</v>
      </c>
      <c r="K109" s="5">
        <f>VLOOKUP($B109,'Data Vlaue (Cr)'!$C:$FB,99)</f>
        <v>706</v>
      </c>
      <c r="L109" s="81">
        <f>VLOOKUP(B109,'OI(Value)'!$A$7:$C$209,3,0)</f>
        <v>2</v>
      </c>
      <c r="M109" s="33">
        <f t="shared" si="31"/>
        <v>0.28328611898016998</v>
      </c>
      <c r="N109" s="5">
        <f>VLOOKUP($B109,'Data Vlaue (Cr)'!$C:$FB,67)</f>
        <v>137</v>
      </c>
      <c r="O109" s="5">
        <f>VLOOKUP($B109,'Data Vlaue (Cr)'!$C:$FB,68)</f>
        <v>183</v>
      </c>
      <c r="P109" s="5">
        <f t="shared" si="39"/>
        <v>-33.576642335766422</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Index</v>
      </c>
      <c r="B110" s="79" t="str">
        <f>'Data shares'!C105</f>
        <v>INDIAVIX</v>
      </c>
      <c r="C110" s="4">
        <f>VLOOKUP($B110,'Data shares'!$C:$FB,7)</f>
        <v>10.75</v>
      </c>
      <c r="D110" s="82">
        <f>VLOOKUP($B110,'Data shares'!$C:$FB,98)</f>
        <v>0</v>
      </c>
      <c r="E110" s="165">
        <f>VLOOKUP(B110,'Snapshot (Volume)'!$A$7:$G$168,7,0)</f>
        <v>0</v>
      </c>
      <c r="F110" s="165">
        <f t="shared" si="36"/>
        <v>0</v>
      </c>
      <c r="G110" s="166" t="e">
        <f t="shared" si="37"/>
        <v>#DIV/0!</v>
      </c>
      <c r="H110" s="165">
        <f>VLOOKUP($B110,'Data shares'!$C:$FB,66)</f>
        <v>0</v>
      </c>
      <c r="I110" s="165">
        <f>VLOOKUP($B110,'Data shares'!$C:$FB,67)</f>
        <v>0</v>
      </c>
      <c r="J110" s="81" t="e">
        <f t="shared" si="38"/>
        <v>#DIV/0!</v>
      </c>
      <c r="K110" s="5">
        <f>VLOOKUP($B110,'Data Vlaue (Cr)'!$C:$FB,99)</f>
        <v>0</v>
      </c>
      <c r="L110" s="81">
        <f>VLOOKUP(B110,'OI(Value)'!$A$7:$C$209,3,0)</f>
        <v>0</v>
      </c>
      <c r="M110" s="33" t="e">
        <f t="shared" si="31"/>
        <v>#DIV/0!</v>
      </c>
      <c r="N110" s="5">
        <f>VLOOKUP($B110,'Data Vlaue (Cr)'!$C:$FB,67)</f>
        <v>0</v>
      </c>
      <c r="O110" s="5">
        <f>VLOOKUP($B110,'Data Vlaue (Cr)'!$C:$FB,68)</f>
        <v>0</v>
      </c>
      <c r="P110" s="5" t="e">
        <f t="shared" si="39"/>
        <v>#DIV/0!</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Infrastructure</v>
      </c>
      <c r="B111" s="79" t="str">
        <f>'Data shares'!C106</f>
        <v>INDIGO</v>
      </c>
      <c r="C111" s="4">
        <f>VLOOKUP($B111,'Data shares'!$C:$FB,7)</f>
        <v>5948</v>
      </c>
      <c r="D111" s="82">
        <f>VLOOKUP($B111,'Data shares'!$C:$FB,98)</f>
        <v>13502400</v>
      </c>
      <c r="E111" s="165">
        <f>VLOOKUP(B111,'Snapshot (Volume)'!$A$7:$G$168,7,0)</f>
        <v>13419900</v>
      </c>
      <c r="F111" s="165">
        <f t="shared" si="36"/>
        <v>82500</v>
      </c>
      <c r="G111" s="166">
        <f t="shared" si="37"/>
        <v>6.1475867927480833E-3</v>
      </c>
      <c r="H111" s="165">
        <f>VLOOKUP($B111,'Data shares'!$C:$FB,66)</f>
        <v>5527950</v>
      </c>
      <c r="I111" s="165">
        <f>VLOOKUP($B111,'Data shares'!$C:$FB,67)</f>
        <v>3783600</v>
      </c>
      <c r="J111" s="81">
        <f t="shared" si="38"/>
        <v>46.102917856010151</v>
      </c>
      <c r="K111" s="5">
        <f>VLOOKUP($B111,'Data Vlaue (Cr)'!$C:$FB,99)</f>
        <v>8018</v>
      </c>
      <c r="L111" s="81">
        <f>VLOOKUP(B111,'OI(Value)'!$A$7:$C$209,3,0)</f>
        <v>49</v>
      </c>
      <c r="M111" s="33">
        <f t="shared" si="31"/>
        <v>0.61112496882015466</v>
      </c>
      <c r="N111" s="5">
        <f>VLOOKUP($B111,'Data Vlaue (Cr)'!$C:$FB,67)</f>
        <v>3283</v>
      </c>
      <c r="O111" s="5">
        <f>VLOOKUP($B111,'Data Vlaue (Cr)'!$C:$FB,68)</f>
        <v>2247</v>
      </c>
      <c r="P111" s="5">
        <f t="shared" si="39"/>
        <v>31.556503198294244</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Banking</v>
      </c>
      <c r="B112" s="79" t="str">
        <f>'Data shares'!C107</f>
        <v>INDUSINDBK</v>
      </c>
      <c r="C112" s="4">
        <f>VLOOKUP($B112,'Data shares'!$C:$FB,7)</f>
        <v>843.2</v>
      </c>
      <c r="D112" s="82">
        <f>VLOOKUP($B112,'Data shares'!$C:$FB,98)</f>
        <v>74508000</v>
      </c>
      <c r="E112" s="165">
        <f>VLOOKUP(B112,'Snapshot (Volume)'!$A$7:$G$168,7,0)</f>
        <v>71789200</v>
      </c>
      <c r="F112" s="165">
        <f t="shared" si="36"/>
        <v>2718800</v>
      </c>
      <c r="G112" s="166">
        <f t="shared" si="37"/>
        <v>3.7871991887359104E-2</v>
      </c>
      <c r="H112" s="165">
        <f>VLOOKUP($B112,'Data shares'!$C:$FB,66)</f>
        <v>75797400</v>
      </c>
      <c r="I112" s="165">
        <f>VLOOKUP($B112,'Data shares'!$C:$FB,67)</f>
        <v>106350300</v>
      </c>
      <c r="J112" s="81">
        <f t="shared" si="38"/>
        <v>-28.728550836245876</v>
      </c>
      <c r="K112" s="5">
        <f>VLOOKUP($B112,'Data Vlaue (Cr)'!$C:$FB,99)</f>
        <v>6299</v>
      </c>
      <c r="L112" s="81">
        <f>VLOOKUP(B112,'OI(Value)'!$A$7:$C$209,3,0)</f>
        <v>230</v>
      </c>
      <c r="M112" s="33">
        <f t="shared" si="31"/>
        <v>3.651373233846642</v>
      </c>
      <c r="N112" s="5">
        <f>VLOOKUP($B112,'Data Vlaue (Cr)'!$C:$FB,67)</f>
        <v>6408</v>
      </c>
      <c r="O112" s="5">
        <f>VLOOKUP($B112,'Data Vlaue (Cr)'!$C:$FB,68)</f>
        <v>8991</v>
      </c>
      <c r="P112" s="5">
        <f t="shared" si="39"/>
        <v>-40.308988764044948</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Telecom</v>
      </c>
      <c r="B113" s="79" t="str">
        <f>'Data shares'!C108</f>
        <v>INDUSTOWER</v>
      </c>
      <c r="C113" s="4">
        <f>VLOOKUP($B113,'Data shares'!$C:$FB,7)</f>
        <v>396.3</v>
      </c>
      <c r="D113" s="82">
        <f>VLOOKUP($B113,'Data shares'!$C:$FB,98)</f>
        <v>88146700</v>
      </c>
      <c r="E113" s="165">
        <f>VLOOKUP(B113,'Snapshot (Volume)'!$A$7:$G$168,7,0)</f>
        <v>87398700</v>
      </c>
      <c r="F113" s="165">
        <f t="shared" si="36"/>
        <v>748000</v>
      </c>
      <c r="G113" s="166">
        <f t="shared" si="37"/>
        <v>8.5584797027873413E-3</v>
      </c>
      <c r="H113" s="165">
        <f>VLOOKUP($B113,'Data shares'!$C:$FB,66)</f>
        <v>21175200</v>
      </c>
      <c r="I113" s="165">
        <f>VLOOKUP($B113,'Data shares'!$C:$FB,67)</f>
        <v>19725100</v>
      </c>
      <c r="J113" s="81">
        <f t="shared" si="38"/>
        <v>7.3515470137033523</v>
      </c>
      <c r="K113" s="5">
        <f>VLOOKUP($B113,'Data Vlaue (Cr)'!$C:$FB,99)</f>
        <v>3496</v>
      </c>
      <c r="L113" s="81">
        <f>VLOOKUP(B113,'OI(Value)'!$A$7:$C$209,3,0)</f>
        <v>30</v>
      </c>
      <c r="M113" s="33">
        <f t="shared" si="31"/>
        <v>0.85812356979405036</v>
      </c>
      <c r="N113" s="5">
        <f>VLOOKUP($B113,'Data Vlaue (Cr)'!$C:$FB,67)</f>
        <v>840</v>
      </c>
      <c r="O113" s="5">
        <f>VLOOKUP($B113,'Data Vlaue (Cr)'!$C:$FB,68)</f>
        <v>782</v>
      </c>
      <c r="P113" s="5">
        <f t="shared" si="39"/>
        <v>6.9047619047619051</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Technology</v>
      </c>
      <c r="B114" s="79" t="str">
        <f>'Data shares'!C109</f>
        <v>INFY</v>
      </c>
      <c r="C114" s="4">
        <f>VLOOKUP($B114,'Data shares'!$C:$FB,7)</f>
        <v>1570.9</v>
      </c>
      <c r="D114" s="82">
        <f>VLOOKUP($B114,'Data shares'!$C:$FB,98)</f>
        <v>119963200</v>
      </c>
      <c r="E114" s="165">
        <f>VLOOKUP(B114,'Snapshot (Volume)'!$A$7:$G$168,7,0)</f>
        <v>114298800</v>
      </c>
      <c r="F114" s="165">
        <f t="shared" si="36"/>
        <v>5664400</v>
      </c>
      <c r="G114" s="166">
        <f t="shared" si="37"/>
        <v>4.9557825628965484E-2</v>
      </c>
      <c r="H114" s="165">
        <f>VLOOKUP($B114,'Data shares'!$C:$FB,66)</f>
        <v>50698800</v>
      </c>
      <c r="I114" s="165">
        <f>VLOOKUP($B114,'Data shares'!$C:$FB,67)</f>
        <v>31849600</v>
      </c>
      <c r="J114" s="81">
        <f t="shared" si="38"/>
        <v>59.181904953280416</v>
      </c>
      <c r="K114" s="5">
        <f>VLOOKUP($B114,'Data Vlaue (Cr)'!$C:$FB,99)</f>
        <v>18912</v>
      </c>
      <c r="L114" s="81">
        <f>VLOOKUP(B114,'OI(Value)'!$A$7:$C$209,3,0)</f>
        <v>893</v>
      </c>
      <c r="M114" s="33">
        <f t="shared" si="31"/>
        <v>4.7218697123519453</v>
      </c>
      <c r="N114" s="5">
        <f>VLOOKUP($B114,'Data Vlaue (Cr)'!$C:$FB,67)</f>
        <v>7993</v>
      </c>
      <c r="O114" s="5">
        <f>VLOOKUP($B114,'Data Vlaue (Cr)'!$C:$FB,68)</f>
        <v>5021</v>
      </c>
      <c r="P114" s="5">
        <f t="shared" si="39"/>
        <v>37.182534717878141</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Power</v>
      </c>
      <c r="B115" s="79" t="str">
        <f>'Data shares'!C110</f>
        <v>INOXWIND</v>
      </c>
      <c r="C115" s="79">
        <f>VLOOKUP($B115,'Data shares'!$C:$FB,7)</f>
        <v>165.53</v>
      </c>
      <c r="D115" s="80">
        <f>VLOOKUP($B115,'Data shares'!$C:$FB,98)</f>
        <v>74474925</v>
      </c>
      <c r="E115" s="165">
        <f>VLOOKUP(B115,'Snapshot (Volume)'!$A$7:$G$168,7,0)</f>
        <v>74300775</v>
      </c>
      <c r="F115" s="165">
        <f t="shared" ref="F115:F126" si="40">D115-E115</f>
        <v>174150</v>
      </c>
      <c r="G115" s="166">
        <f t="shared" ref="G115:G126" si="41">F115/E115</f>
        <v>2.3438517296757674E-3</v>
      </c>
      <c r="H115" s="165">
        <f>VLOOKUP($B115,'Data shares'!$C:$FB,66)</f>
        <v>15441300</v>
      </c>
      <c r="I115" s="165">
        <f>VLOOKUP($B115,'Data shares'!$C:$FB,67)</f>
        <v>18969450</v>
      </c>
      <c r="J115" s="81">
        <f t="shared" ref="J115:J126" si="42">(H115-I115)/I115*100</f>
        <v>-18.599115946956818</v>
      </c>
      <c r="K115" s="81">
        <f>VLOOKUP($B115,'Data Vlaue (Cr)'!$C:$FB,99)</f>
        <v>1235</v>
      </c>
      <c r="L115" s="81">
        <f>VLOOKUP(B115,'OI(Value)'!$A$7:$C$209,3,0)</f>
        <v>3</v>
      </c>
      <c r="M115" s="81">
        <f t="shared" si="31"/>
        <v>0.24291497975708504</v>
      </c>
      <c r="N115" s="81">
        <f>VLOOKUP($B115,'Data Vlaue (Cr)'!$C:$FB,67)</f>
        <v>256</v>
      </c>
      <c r="O115" s="81">
        <f>VLOOKUP($B115,'Data Vlaue (Cr)'!$C:$FB,68)</f>
        <v>315</v>
      </c>
      <c r="P115" s="81">
        <f t="shared" ref="P115:P126" si="43">(N115-O115)/N115*100</f>
        <v>-23.046875</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Oil_Gas</v>
      </c>
      <c r="B116" s="79" t="str">
        <f>'Data shares'!C111</f>
        <v>IOC</v>
      </c>
      <c r="C116" s="4">
        <f>VLOOKUP($B116,'Data shares'!$C:$FB,7)</f>
        <v>151.97999999999999</v>
      </c>
      <c r="D116" s="82">
        <f>VLOOKUP($B116,'Data shares'!$C:$FB,98)</f>
        <v>206792625</v>
      </c>
      <c r="E116" s="165">
        <f>VLOOKUP(B116,'Snapshot (Volume)'!$A$7:$G$168,7,0)</f>
        <v>206982750</v>
      </c>
      <c r="F116" s="165">
        <f t="shared" si="40"/>
        <v>-190125</v>
      </c>
      <c r="G116" s="166">
        <f t="shared" si="41"/>
        <v>-9.1855480710349051E-4</v>
      </c>
      <c r="H116" s="165">
        <f>VLOOKUP($B116,'Data shares'!$C:$FB,66)</f>
        <v>96910125</v>
      </c>
      <c r="I116" s="165">
        <f>VLOOKUP($B116,'Data shares'!$C:$FB,67)</f>
        <v>54234375</v>
      </c>
      <c r="J116" s="81">
        <f t="shared" si="42"/>
        <v>78.687640449438206</v>
      </c>
      <c r="K116" s="5">
        <f>VLOOKUP($B116,'Data Vlaue (Cr)'!$C:$FB,99)</f>
        <v>3143</v>
      </c>
      <c r="L116" s="81">
        <f>VLOOKUP(B116,'OI(Value)'!$A$7:$C$209,3,0)</f>
        <v>-3</v>
      </c>
      <c r="M116" s="33">
        <f t="shared" si="31"/>
        <v>-9.5450206808781426E-2</v>
      </c>
      <c r="N116" s="5">
        <f>VLOOKUP($B116,'Data Vlaue (Cr)'!$C:$FB,67)</f>
        <v>1473</v>
      </c>
      <c r="O116" s="5">
        <f>VLOOKUP($B116,'Data Vlaue (Cr)'!$C:$FB,68)</f>
        <v>824</v>
      </c>
      <c r="P116" s="5">
        <f t="shared" si="43"/>
        <v>44.059742023082144</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Infrastructure</v>
      </c>
      <c r="B117" s="79" t="str">
        <f>'Data shares'!C112</f>
        <v>IRB</v>
      </c>
      <c r="C117" s="4">
        <f>VLOOKUP($B117,'Data shares'!$C:$FB,7)</f>
        <v>48.36</v>
      </c>
      <c r="D117" s="82">
        <f>VLOOKUP($B117,'Data shares'!$C:$FB,98)</f>
        <v>146813125</v>
      </c>
      <c r="E117" s="165">
        <f>VLOOKUP(B117,'Snapshot (Volume)'!$A$7:$G$168,7,0)</f>
        <v>151226275</v>
      </c>
      <c r="F117" s="165">
        <f t="shared" si="40"/>
        <v>-4413150</v>
      </c>
      <c r="G117" s="166">
        <f t="shared" si="41"/>
        <v>-2.918242878097738E-2</v>
      </c>
      <c r="H117" s="165">
        <f>VLOOKUP($B117,'Data shares'!$C:$FB,66)</f>
        <v>33402175</v>
      </c>
      <c r="I117" s="165">
        <f>VLOOKUP($B117,'Data shares'!$C:$FB,67)</f>
        <v>31172250</v>
      </c>
      <c r="J117" s="81">
        <f t="shared" si="42"/>
        <v>7.1535580524344571</v>
      </c>
      <c r="K117" s="5">
        <f>VLOOKUP($B117,'Data Vlaue (Cr)'!$C:$FB,99)</f>
        <v>710</v>
      </c>
      <c r="L117" s="81">
        <f>VLOOKUP(B117,'OI(Value)'!$A$7:$C$209,3,0)</f>
        <v>-21</v>
      </c>
      <c r="M117" s="33">
        <f t="shared" si="31"/>
        <v>-2.9577464788732395</v>
      </c>
      <c r="N117" s="5">
        <f>VLOOKUP($B117,'Data Vlaue (Cr)'!$C:$FB,67)</f>
        <v>162</v>
      </c>
      <c r="O117" s="5">
        <f>VLOOKUP($B117,'Data Vlaue (Cr)'!$C:$FB,68)</f>
        <v>151</v>
      </c>
      <c r="P117" s="5">
        <f t="shared" si="43"/>
        <v>6.7901234567901234</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Infrastructure</v>
      </c>
      <c r="B118" s="79" t="str">
        <f>'Data shares'!C113</f>
        <v>IRCTC</v>
      </c>
      <c r="C118" s="4">
        <f>VLOOKUP($B118,'Data shares'!$C:$FB,7)</f>
        <v>760.6</v>
      </c>
      <c r="D118" s="82">
        <f>VLOOKUP($B118,'Data shares'!$C:$FB,98)</f>
        <v>28792750</v>
      </c>
      <c r="E118" s="165">
        <f>VLOOKUP(B118,'Snapshot (Volume)'!$A$7:$G$168,7,0)</f>
        <v>27926500</v>
      </c>
      <c r="F118" s="165">
        <f t="shared" si="40"/>
        <v>866250</v>
      </c>
      <c r="G118" s="166">
        <f t="shared" si="41"/>
        <v>3.1018924677277855E-2</v>
      </c>
      <c r="H118" s="165">
        <f>VLOOKUP($B118,'Data shares'!$C:$FB,66)</f>
        <v>8662500</v>
      </c>
      <c r="I118" s="165">
        <f>VLOOKUP($B118,'Data shares'!$C:$FB,67)</f>
        <v>9023875</v>
      </c>
      <c r="J118" s="81">
        <f t="shared" si="42"/>
        <v>-4.0046543197905553</v>
      </c>
      <c r="K118" s="5">
        <f>VLOOKUP($B118,'Data Vlaue (Cr)'!$C:$FB,99)</f>
        <v>2191</v>
      </c>
      <c r="L118" s="81">
        <f>VLOOKUP(B118,'OI(Value)'!$A$7:$C$209,3,0)</f>
        <v>66</v>
      </c>
      <c r="M118" s="33">
        <f t="shared" si="31"/>
        <v>3.0123231401186676</v>
      </c>
      <c r="N118" s="5">
        <f>VLOOKUP($B118,'Data Vlaue (Cr)'!$C:$FB,67)</f>
        <v>659</v>
      </c>
      <c r="O118" s="5">
        <f>VLOOKUP($B118,'Data Vlaue (Cr)'!$C:$FB,68)</f>
        <v>687</v>
      </c>
      <c r="P118" s="5">
        <f t="shared" si="43"/>
        <v>-4.2488619119878601</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IREDA</v>
      </c>
      <c r="C119" s="4">
        <f>VLOOKUP($B119,'Data shares'!$C:$FB,7)</f>
        <v>156.22</v>
      </c>
      <c r="D119" s="82">
        <f>VLOOKUP($B119,'Data shares'!$C:$FB,98)</f>
        <v>102351150</v>
      </c>
      <c r="E119" s="165">
        <f>VLOOKUP(B119,'Snapshot (Volume)'!$A$7:$G$168,7,0)</f>
        <v>101454150</v>
      </c>
      <c r="F119" s="165">
        <f t="shared" si="40"/>
        <v>897000</v>
      </c>
      <c r="G119" s="166">
        <f t="shared" si="41"/>
        <v>8.841432312034549E-3</v>
      </c>
      <c r="H119" s="165">
        <f>VLOOKUP($B119,'Data shares'!$C:$FB,66)</f>
        <v>29407800</v>
      </c>
      <c r="I119" s="165">
        <f>VLOOKUP($B119,'Data shares'!$C:$FB,67)</f>
        <v>29601000</v>
      </c>
      <c r="J119" s="81">
        <f t="shared" si="42"/>
        <v>-0.65268065268065267</v>
      </c>
      <c r="K119" s="5">
        <f>VLOOKUP($B119,'Data Vlaue (Cr)'!$C:$FB,99)</f>
        <v>1600</v>
      </c>
      <c r="L119" s="81">
        <f>VLOOKUP(B119,'OI(Value)'!$A$7:$C$209,3,0)</f>
        <v>14</v>
      </c>
      <c r="M119" s="33">
        <f t="shared" si="31"/>
        <v>0.87500000000000011</v>
      </c>
      <c r="N119" s="5">
        <f>VLOOKUP($B119,'Data Vlaue (Cr)'!$C:$FB,67)</f>
        <v>460</v>
      </c>
      <c r="O119" s="5">
        <f>VLOOKUP($B119,'Data Vlaue (Cr)'!$C:$FB,68)</f>
        <v>463</v>
      </c>
      <c r="P119" s="5">
        <f t="shared" si="43"/>
        <v>-0.65217391304347827</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Infrastructure</v>
      </c>
      <c r="B120" s="79" t="str">
        <f>'Data shares'!C115</f>
        <v>IRFC</v>
      </c>
      <c r="C120" s="4">
        <f>VLOOKUP($B120,'Data shares'!$C:$FB,7)</f>
        <v>130.77000000000001</v>
      </c>
      <c r="D120" s="82">
        <f>VLOOKUP($B120,'Data shares'!$C:$FB,98)</f>
        <v>124010750</v>
      </c>
      <c r="E120" s="165">
        <f>VLOOKUP(B120,'Snapshot (Volume)'!$A$7:$G$168,7,0)</f>
        <v>100988500</v>
      </c>
      <c r="F120" s="165">
        <f t="shared" si="40"/>
        <v>23022250</v>
      </c>
      <c r="G120" s="166">
        <f t="shared" si="41"/>
        <v>0.22796902617624779</v>
      </c>
      <c r="H120" s="165">
        <f>VLOOKUP($B120,'Data shares'!$C:$FB,66)</f>
        <v>113424000</v>
      </c>
      <c r="I120" s="165">
        <f>VLOOKUP($B120,'Data shares'!$C:$FB,67)</f>
        <v>45067000</v>
      </c>
      <c r="J120" s="81">
        <f t="shared" si="42"/>
        <v>151.67861184458695</v>
      </c>
      <c r="K120" s="5">
        <f>VLOOKUP($B120,'Data Vlaue (Cr)'!$C:$FB,99)</f>
        <v>1614</v>
      </c>
      <c r="L120" s="81">
        <f>VLOOKUP(B120,'OI(Value)'!$A$7:$C$209,3,0)</f>
        <v>300</v>
      </c>
      <c r="M120" s="33">
        <f t="shared" si="31"/>
        <v>18.587360594795538</v>
      </c>
      <c r="N120" s="5">
        <f>VLOOKUP($B120,'Data Vlaue (Cr)'!$C:$FB,67)</f>
        <v>1476</v>
      </c>
      <c r="O120" s="5">
        <f>VLOOKUP($B120,'Data Vlaue (Cr)'!$C:$FB,68)</f>
        <v>587</v>
      </c>
      <c r="P120" s="5">
        <f t="shared" si="43"/>
        <v>60.230352303523041</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FMCG</v>
      </c>
      <c r="B121" s="79" t="str">
        <f>'Data shares'!C116</f>
        <v>ITC</v>
      </c>
      <c r="C121" s="4">
        <f>VLOOKUP($B121,'Data shares'!$C:$FB,7)</f>
        <v>416</v>
      </c>
      <c r="D121" s="82">
        <f>VLOOKUP($B121,'Data shares'!$C:$FB,98)</f>
        <v>197393600</v>
      </c>
      <c r="E121" s="165">
        <f>VLOOKUP(B121,'Snapshot (Volume)'!$A$7:$G$168,7,0)</f>
        <v>195164800</v>
      </c>
      <c r="F121" s="165">
        <f t="shared" si="40"/>
        <v>2228800</v>
      </c>
      <c r="G121" s="166">
        <f t="shared" si="41"/>
        <v>1.1420092147764351E-2</v>
      </c>
      <c r="H121" s="165">
        <f>VLOOKUP($B121,'Data shares'!$C:$FB,66)</f>
        <v>80843200</v>
      </c>
      <c r="I121" s="165">
        <f>VLOOKUP($B121,'Data shares'!$C:$FB,67)</f>
        <v>68180800</v>
      </c>
      <c r="J121" s="81">
        <f t="shared" si="42"/>
        <v>18.571797338840259</v>
      </c>
      <c r="K121" s="5">
        <f>VLOOKUP($B121,'Data Vlaue (Cr)'!$C:$FB,99)</f>
        <v>8235</v>
      </c>
      <c r="L121" s="81">
        <f>VLOOKUP(B121,'OI(Value)'!$A$7:$C$209,3,0)</f>
        <v>93</v>
      </c>
      <c r="M121" s="33">
        <f t="shared" si="31"/>
        <v>1.1293260473588342</v>
      </c>
      <c r="N121" s="5">
        <f>VLOOKUP($B121,'Data Vlaue (Cr)'!$C:$FB,67)</f>
        <v>3373</v>
      </c>
      <c r="O121" s="5">
        <f>VLOOKUP($B121,'Data Vlaue (Cr)'!$C:$FB,68)</f>
        <v>2845</v>
      </c>
      <c r="P121" s="5">
        <f t="shared" si="43"/>
        <v>15.65372072339164</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Metals</v>
      </c>
      <c r="B122" s="79" t="str">
        <f>'Data shares'!C117</f>
        <v>JINDALSTEL</v>
      </c>
      <c r="C122" s="4">
        <f>VLOOKUP($B122,'Data shares'!$C:$FB,7)</f>
        <v>965</v>
      </c>
      <c r="D122" s="82">
        <f>VLOOKUP($B122,'Data shares'!$C:$FB,98)</f>
        <v>26138125</v>
      </c>
      <c r="E122" s="165">
        <f>VLOOKUP(B122,'Snapshot (Volume)'!$A$7:$G$168,7,0)</f>
        <v>26485000</v>
      </c>
      <c r="F122" s="165">
        <f t="shared" si="40"/>
        <v>-346875</v>
      </c>
      <c r="G122" s="166">
        <f t="shared" si="41"/>
        <v>-1.3097036058146121E-2</v>
      </c>
      <c r="H122" s="165">
        <f>VLOOKUP($B122,'Data shares'!$C:$FB,66)</f>
        <v>11070000</v>
      </c>
      <c r="I122" s="165">
        <f>VLOOKUP($B122,'Data shares'!$C:$FB,67)</f>
        <v>10639375</v>
      </c>
      <c r="J122" s="81">
        <f t="shared" si="42"/>
        <v>4.0474651941490931</v>
      </c>
      <c r="K122" s="5">
        <f>VLOOKUP($B122,'Data Vlaue (Cr)'!$C:$FB,99)</f>
        <v>2523</v>
      </c>
      <c r="L122" s="81">
        <f>VLOOKUP(B122,'OI(Value)'!$A$7:$C$209,3,0)</f>
        <v>-33</v>
      </c>
      <c r="M122" s="33">
        <f t="shared" si="31"/>
        <v>-1.3079667063020213</v>
      </c>
      <c r="N122" s="5">
        <f>VLOOKUP($B122,'Data Vlaue (Cr)'!$C:$FB,67)</f>
        <v>1069</v>
      </c>
      <c r="O122" s="5">
        <f>VLOOKUP($B122,'Data Vlaue (Cr)'!$C:$FB,68)</f>
        <v>1027</v>
      </c>
      <c r="P122" s="5">
        <f t="shared" si="43"/>
        <v>3.9289055191768005</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JIOFIN</v>
      </c>
      <c r="C123" s="4">
        <f>VLOOKUP($B123,'Data shares'!$C:$FB,7)</f>
        <v>310.8</v>
      </c>
      <c r="D123" s="82">
        <f>VLOOKUP($B123,'Data shares'!$C:$FB,98)</f>
        <v>266008250</v>
      </c>
      <c r="E123" s="165">
        <f>VLOOKUP(B123,'Snapshot (Volume)'!$A$7:$G$168,7,0)</f>
        <v>256213450</v>
      </c>
      <c r="F123" s="165">
        <f t="shared" si="40"/>
        <v>9794800</v>
      </c>
      <c r="G123" s="166">
        <f t="shared" si="41"/>
        <v>3.8229062525796359E-2</v>
      </c>
      <c r="H123" s="165">
        <f>VLOOKUP($B123,'Data shares'!$C:$FB,66)</f>
        <v>188507600</v>
      </c>
      <c r="I123" s="165">
        <f>VLOOKUP($B123,'Data shares'!$C:$FB,67)</f>
        <v>165797200</v>
      </c>
      <c r="J123" s="81">
        <f t="shared" si="42"/>
        <v>13.697698151717882</v>
      </c>
      <c r="K123" s="5">
        <f>VLOOKUP($B123,'Data Vlaue (Cr)'!$C:$FB,99)</f>
        <v>8285</v>
      </c>
      <c r="L123" s="81">
        <f>VLOOKUP(B123,'OI(Value)'!$A$7:$C$209,3,0)</f>
        <v>305</v>
      </c>
      <c r="M123" s="33">
        <f t="shared" ref="M123:M144" si="44">L123/K123*100</f>
        <v>3.6813518406759207</v>
      </c>
      <c r="N123" s="5">
        <f>VLOOKUP($B123,'Data Vlaue (Cr)'!$C:$FB,67)</f>
        <v>5871</v>
      </c>
      <c r="O123" s="5">
        <f>VLOOKUP($B123,'Data Vlaue (Cr)'!$C:$FB,68)</f>
        <v>5164</v>
      </c>
      <c r="P123" s="5">
        <f t="shared" si="43"/>
        <v>12.042241526145462</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Metals</v>
      </c>
      <c r="B124" s="79" t="str">
        <f>'Data shares'!C119</f>
        <v>JSL</v>
      </c>
      <c r="C124" s="4">
        <f>VLOOKUP($B124,'Data shares'!$C:$FB,7)</f>
        <v>688.9</v>
      </c>
      <c r="D124" s="82">
        <f>VLOOKUP($B124,'Data shares'!$C:$FB,98)</f>
        <v>10374250</v>
      </c>
      <c r="E124" s="165">
        <f>VLOOKUP(B124,'Snapshot (Volume)'!$A$7:$G$168,7,0)</f>
        <v>10433750</v>
      </c>
      <c r="F124" s="165">
        <f t="shared" si="40"/>
        <v>-59500</v>
      </c>
      <c r="G124" s="166">
        <f t="shared" si="41"/>
        <v>-5.7026476578411409E-3</v>
      </c>
      <c r="H124" s="165">
        <f>VLOOKUP($B124,'Data shares'!$C:$FB,66)</f>
        <v>3893000</v>
      </c>
      <c r="I124" s="165">
        <f>VLOOKUP($B124,'Data shares'!$C:$FB,67)</f>
        <v>13018600</v>
      </c>
      <c r="J124" s="81">
        <f t="shared" si="42"/>
        <v>-70.096630974144674</v>
      </c>
      <c r="K124" s="5">
        <f>VLOOKUP($B124,'Data Vlaue (Cr)'!$C:$FB,99)</f>
        <v>716</v>
      </c>
      <c r="L124" s="81">
        <f>VLOOKUP(B124,'OI(Value)'!$A$7:$C$209,3,0)</f>
        <v>-4</v>
      </c>
      <c r="M124" s="33">
        <f t="shared" si="44"/>
        <v>-0.55865921787709494</v>
      </c>
      <c r="N124" s="5">
        <f>VLOOKUP($B124,'Data Vlaue (Cr)'!$C:$FB,67)</f>
        <v>269</v>
      </c>
      <c r="O124" s="5">
        <f>VLOOKUP($B124,'Data Vlaue (Cr)'!$C:$FB,68)</f>
        <v>899</v>
      </c>
      <c r="P124" s="5">
        <f t="shared" si="43"/>
        <v>-234.20074349442382</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Power</v>
      </c>
      <c r="B125" s="79" t="str">
        <f>'Data shares'!C120</f>
        <v>JSWENERGY</v>
      </c>
      <c r="C125" s="4">
        <f>VLOOKUP($B125,'Data shares'!$C:$FB,7)</f>
        <v>531.54999999999995</v>
      </c>
      <c r="D125" s="82">
        <f>VLOOKUP($B125,'Data shares'!$C:$FB,98)</f>
        <v>63684000</v>
      </c>
      <c r="E125" s="165">
        <f>VLOOKUP(B125,'Snapshot (Volume)'!$A$7:$G$168,7,0)</f>
        <v>63317000</v>
      </c>
      <c r="F125" s="165">
        <f t="shared" si="40"/>
        <v>367000</v>
      </c>
      <c r="G125" s="166">
        <f t="shared" si="41"/>
        <v>5.7962316597438288E-3</v>
      </c>
      <c r="H125" s="165">
        <f>VLOOKUP($B125,'Data shares'!$C:$FB,66)</f>
        <v>12014000</v>
      </c>
      <c r="I125" s="165">
        <f>VLOOKUP($B125,'Data shares'!$C:$FB,67)</f>
        <v>18444000</v>
      </c>
      <c r="J125" s="81">
        <f t="shared" si="42"/>
        <v>-34.862285838212969</v>
      </c>
      <c r="K125" s="5">
        <f>VLOOKUP($B125,'Data Vlaue (Cr)'!$C:$FB,99)</f>
        <v>3387</v>
      </c>
      <c r="L125" s="81">
        <f>VLOOKUP(B125,'OI(Value)'!$A$7:$C$209,3,0)</f>
        <v>20</v>
      </c>
      <c r="M125" s="33">
        <f t="shared" si="44"/>
        <v>0.59049306170652494</v>
      </c>
      <c r="N125" s="5">
        <f>VLOOKUP($B125,'Data Vlaue (Cr)'!$C:$FB,67)</f>
        <v>639</v>
      </c>
      <c r="O125" s="5">
        <f>VLOOKUP($B125,'Data Vlaue (Cr)'!$C:$FB,68)</f>
        <v>981</v>
      </c>
      <c r="P125" s="5">
        <f t="shared" si="43"/>
        <v>-53.521126760563376</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Metals</v>
      </c>
      <c r="B126" s="79" t="str">
        <f>'Data shares'!C121</f>
        <v>JSWSTEEL</v>
      </c>
      <c r="C126" s="4">
        <f>VLOOKUP($B126,'Data shares'!$C:$FB,7)</f>
        <v>1030.7</v>
      </c>
      <c r="D126" s="82">
        <f>VLOOKUP($B126,'Data shares'!$C:$FB,98)</f>
        <v>54355725</v>
      </c>
      <c r="E126" s="165">
        <f>VLOOKUP(B126,'Snapshot (Volume)'!$A$7:$G$168,7,0)</f>
        <v>56067525</v>
      </c>
      <c r="F126" s="165">
        <f t="shared" si="40"/>
        <v>-1711800</v>
      </c>
      <c r="G126" s="166">
        <f t="shared" si="41"/>
        <v>-3.0531042702526996E-2</v>
      </c>
      <c r="H126" s="165">
        <f>VLOOKUP($B126,'Data shares'!$C:$FB,66)</f>
        <v>18256725</v>
      </c>
      <c r="I126" s="165">
        <f>VLOOKUP($B126,'Data shares'!$C:$FB,67)</f>
        <v>47549025</v>
      </c>
      <c r="J126" s="81">
        <f t="shared" si="42"/>
        <v>-61.60441775620005</v>
      </c>
      <c r="K126" s="5">
        <f>VLOOKUP($B126,'Data Vlaue (Cr)'!$C:$FB,99)</f>
        <v>5617</v>
      </c>
      <c r="L126" s="81">
        <f>VLOOKUP(B126,'OI(Value)'!$A$7:$C$209,3,0)</f>
        <v>-177</v>
      </c>
      <c r="M126" s="33">
        <f t="shared" si="44"/>
        <v>-3.1511482998041656</v>
      </c>
      <c r="N126" s="5">
        <f>VLOOKUP($B126,'Data Vlaue (Cr)'!$C:$FB,67)</f>
        <v>1887</v>
      </c>
      <c r="O126" s="5">
        <f>VLOOKUP($B126,'Data Vlaue (Cr)'!$C:$FB,68)</f>
        <v>4914</v>
      </c>
      <c r="P126" s="5">
        <f t="shared" si="43"/>
        <v>-160.41335453100157</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FMCG</v>
      </c>
      <c r="B127" s="79" t="str">
        <f>'Data shares'!C122</f>
        <v>JUBLFOOD</v>
      </c>
      <c r="C127" s="4">
        <f>VLOOKUP($B127,'Data shares'!$C:$FB,7)</f>
        <v>662.1</v>
      </c>
      <c r="D127" s="82">
        <f>VLOOKUP($B127,'Data shares'!$C:$FB,98)</f>
        <v>34127500</v>
      </c>
      <c r="E127" s="165">
        <f>VLOOKUP(B127,'Snapshot (Volume)'!$A$7:$G$168,7,0)</f>
        <v>33705000</v>
      </c>
      <c r="F127" s="165">
        <f>D127-E127</f>
        <v>422500</v>
      </c>
      <c r="G127" s="166">
        <f>F127/E127</f>
        <v>1.2535232161400386E-2</v>
      </c>
      <c r="H127" s="165">
        <f>VLOOKUP($B127,'Data shares'!$C:$FB,66)</f>
        <v>14871250</v>
      </c>
      <c r="I127" s="165">
        <f>VLOOKUP($B127,'Data shares'!$C:$FB,67)</f>
        <v>7490000</v>
      </c>
      <c r="J127" s="81">
        <f>(H127-I127)/I127*100</f>
        <v>98.548064085447265</v>
      </c>
      <c r="K127" s="5">
        <f>VLOOKUP($B127,'Data Vlaue (Cr)'!$C:$FB,99)</f>
        <v>2262</v>
      </c>
      <c r="L127" s="81">
        <f>VLOOKUP(B127,'OI(Value)'!$A$7:$C$209,3,0)</f>
        <v>28</v>
      </c>
      <c r="M127" s="33">
        <f t="shared" si="44"/>
        <v>1.237842617152962</v>
      </c>
      <c r="N127" s="5">
        <f>VLOOKUP($B127,'Data Vlaue (Cr)'!$C:$FB,67)</f>
        <v>986</v>
      </c>
      <c r="O127" s="5">
        <f>VLOOKUP($B127,'Data Vlaue (Cr)'!$C:$FB,68)</f>
        <v>497</v>
      </c>
      <c r="P127" s="5">
        <f>(N127-O127)/N127*100</f>
        <v>49.594320486815413</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FMCG</v>
      </c>
      <c r="B128" s="79" t="str">
        <f>'Data shares'!C123</f>
        <v>KALYANKJIL</v>
      </c>
      <c r="C128" s="4">
        <f>VLOOKUP($B128,'Data shares'!$C:$FB,7)</f>
        <v>593.04999999999995</v>
      </c>
      <c r="D128" s="82">
        <f>VLOOKUP($B128,'Data shares'!$C:$FB,98)</f>
        <v>32017575</v>
      </c>
      <c r="E128" s="165">
        <f>VLOOKUP(B128,'Snapshot (Volume)'!$A$7:$G$168,7,0)</f>
        <v>32628575</v>
      </c>
      <c r="F128" s="165">
        <f>D128-E128</f>
        <v>-611000</v>
      </c>
      <c r="G128" s="166">
        <f>F128/E128</f>
        <v>-1.8725917389895208E-2</v>
      </c>
      <c r="H128" s="165">
        <f>VLOOKUP($B128,'Data shares'!$C:$FB,66)</f>
        <v>10083850</v>
      </c>
      <c r="I128" s="165">
        <f>VLOOKUP($B128,'Data shares'!$C:$FB,67)</f>
        <v>15139875</v>
      </c>
      <c r="J128" s="81">
        <f>(H128-I128)/I128*100</f>
        <v>-33.395421032207992</v>
      </c>
      <c r="K128" s="5">
        <f>VLOOKUP($B128,'Data Vlaue (Cr)'!$C:$FB,99)</f>
        <v>1905</v>
      </c>
      <c r="L128" s="81">
        <f>VLOOKUP(B128,'OI(Value)'!$A$7:$C$209,3,0)</f>
        <v>-36</v>
      </c>
      <c r="M128" s="33">
        <f t="shared" si="44"/>
        <v>-1.889763779527559</v>
      </c>
      <c r="N128" s="5">
        <f>VLOOKUP($B128,'Data Vlaue (Cr)'!$C:$FB,67)</f>
        <v>600</v>
      </c>
      <c r="O128" s="5">
        <f>VLOOKUP($B128,'Data Vlaue (Cr)'!$C:$FB,68)</f>
        <v>901</v>
      </c>
      <c r="P128" s="5">
        <f>(N128-O128)/N128*100</f>
        <v>-50.166666666666671</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Capital_Goods</v>
      </c>
      <c r="B129" s="79" t="str">
        <f>'Data shares'!C124</f>
        <v>KAYNES</v>
      </c>
      <c r="C129" s="4">
        <f>VLOOKUP($B129,'Data shares'!$C:$FB,7)</f>
        <v>5783</v>
      </c>
      <c r="D129" s="82">
        <f>VLOOKUP($B129,'Data shares'!$C:$FB,98)</f>
        <v>1469800</v>
      </c>
      <c r="E129" s="165">
        <f>VLOOKUP(B129,'Snapshot (Volume)'!$A$7:$G$168,7,0)</f>
        <v>1456200</v>
      </c>
      <c r="F129" s="165">
        <f>D129-E129</f>
        <v>13600</v>
      </c>
      <c r="G129" s="166">
        <f>F129/E129</f>
        <v>9.3393764592775725E-3</v>
      </c>
      <c r="H129" s="165">
        <f>VLOOKUP($B129,'Data shares'!$C:$FB,66)</f>
        <v>612200</v>
      </c>
      <c r="I129" s="165">
        <f>VLOOKUP($B129,'Data shares'!$C:$FB,67)</f>
        <v>762500</v>
      </c>
      <c r="J129" s="81">
        <f>(H129-I129)/I129*100</f>
        <v>-19.711475409836066</v>
      </c>
      <c r="K129" s="5">
        <f>VLOOKUP($B129,'Data Vlaue (Cr)'!$C:$FB,99)</f>
        <v>852</v>
      </c>
      <c r="L129" s="81">
        <f>VLOOKUP(B129,'OI(Value)'!$A$7:$C$209,3,0)</f>
        <v>8</v>
      </c>
      <c r="M129" s="33">
        <f t="shared" si="44"/>
        <v>0.93896713615023475</v>
      </c>
      <c r="N129" s="5">
        <f>VLOOKUP($B129,'Data Vlaue (Cr)'!$C:$FB,67)</f>
        <v>355</v>
      </c>
      <c r="O129" s="5">
        <f>VLOOKUP($B129,'Data Vlaue (Cr)'!$C:$FB,68)</f>
        <v>442</v>
      </c>
      <c r="P129" s="5">
        <f>(N129-O129)/N129*100</f>
        <v>-24.507042253521128</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Power</v>
      </c>
      <c r="B130" s="79" t="str">
        <f>'Data shares'!C125</f>
        <v>KEI</v>
      </c>
      <c r="C130" s="4">
        <f>VLOOKUP($B130,'Data shares'!$C:$FB,7)</f>
        <v>3990.3</v>
      </c>
      <c r="D130" s="82">
        <f>VLOOKUP($B130,'Data shares'!$C:$FB,98)</f>
        <v>2509675</v>
      </c>
      <c r="E130" s="165">
        <f>VLOOKUP(B130,'Snapshot (Volume)'!$A$7:$G$168,7,0)</f>
        <v>2187500</v>
      </c>
      <c r="F130" s="165">
        <f>D130-E130</f>
        <v>322175</v>
      </c>
      <c r="G130" s="166">
        <f>F130/E130</f>
        <v>0.14727999999999999</v>
      </c>
      <c r="H130" s="165">
        <f>VLOOKUP($B130,'Data shares'!$C:$FB,66)</f>
        <v>4078900</v>
      </c>
      <c r="I130" s="165">
        <f>VLOOKUP($B130,'Data shares'!$C:$FB,67)</f>
        <v>2123625</v>
      </c>
      <c r="J130" s="81">
        <f>(H130-I130)/I130*100</f>
        <v>92.072517511330858</v>
      </c>
      <c r="K130" s="5">
        <f>VLOOKUP($B130,'Data Vlaue (Cr)'!$C:$FB,99)</f>
        <v>1002</v>
      </c>
      <c r="L130" s="81">
        <f>VLOOKUP(B130,'OI(Value)'!$A$7:$C$209,3,0)</f>
        <v>129</v>
      </c>
      <c r="M130" s="33">
        <f t="shared" si="44"/>
        <v>12.874251497005988</v>
      </c>
      <c r="N130" s="5">
        <f>VLOOKUP($B130,'Data Vlaue (Cr)'!$C:$FB,67)</f>
        <v>1629</v>
      </c>
      <c r="O130" s="5">
        <f>VLOOKUP($B130,'Data Vlaue (Cr)'!$C:$FB,68)</f>
        <v>848</v>
      </c>
      <c r="P130" s="5">
        <f>(N130-O130)/N130*100</f>
        <v>47.943523634131367</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KFINTECH</v>
      </c>
      <c r="C131" s="4">
        <f>VLOOKUP($B131,'Data shares'!$C:$FB,7)</f>
        <v>1282.4000000000001</v>
      </c>
      <c r="D131" s="82">
        <f>VLOOKUP($B131,'Data shares'!$C:$FB,98)</f>
        <v>2234250</v>
      </c>
      <c r="E131" s="165">
        <f>VLOOKUP(B131,'Snapshot (Volume)'!$A$7:$G$168,7,0)</f>
        <v>2340900</v>
      </c>
      <c r="F131" s="165">
        <f>D131-E131</f>
        <v>-106650</v>
      </c>
      <c r="G131" s="166">
        <f>F131/E131</f>
        <v>-4.5559400230680509E-2</v>
      </c>
      <c r="H131" s="165">
        <f>VLOOKUP($B131,'Data shares'!$C:$FB,66)</f>
        <v>1168650</v>
      </c>
      <c r="I131" s="165">
        <f>VLOOKUP($B131,'Data shares'!$C:$FB,67)</f>
        <v>1002600</v>
      </c>
      <c r="J131" s="81">
        <f>(H131-I131)/I131*100</f>
        <v>16.561938958707362</v>
      </c>
      <c r="K131" s="5">
        <f>VLOOKUP($B131,'Data Vlaue (Cr)'!$C:$FB,99)</f>
        <v>287</v>
      </c>
      <c r="L131" s="81">
        <f>VLOOKUP(B131,'OI(Value)'!$A$7:$C$209,3,0)</f>
        <v>-14</v>
      </c>
      <c r="M131" s="33">
        <f t="shared" si="44"/>
        <v>-4.8780487804878048</v>
      </c>
      <c r="N131" s="5">
        <f>VLOOKUP($B131,'Data Vlaue (Cr)'!$C:$FB,67)</f>
        <v>150</v>
      </c>
      <c r="O131" s="5">
        <f>VLOOKUP($B131,'Data Vlaue (Cr)'!$C:$FB,68)</f>
        <v>129</v>
      </c>
      <c r="P131" s="5">
        <f>(N131-O131)/N131*100</f>
        <v>14.000000000000002</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Banking</v>
      </c>
      <c r="B132" s="79" t="str">
        <f>'Data shares'!C127</f>
        <v>KOTAKBANK</v>
      </c>
      <c r="C132" s="79">
        <f>VLOOKUP($B132,'Data shares'!$C:$FB,7)</f>
        <v>2160.1999999999998</v>
      </c>
      <c r="D132" s="165">
        <f>VLOOKUP($B132,'Data shares'!$C:$FB,98)</f>
        <v>48760800</v>
      </c>
      <c r="E132" s="165">
        <f>VLOOKUP(B132,'Snapshot (Volume)'!$A$7:$G$168,7,0)</f>
        <v>48281200</v>
      </c>
      <c r="F132" s="165">
        <f t="shared" ref="F132:F139" si="45">D132-E132</f>
        <v>479600</v>
      </c>
      <c r="G132" s="166">
        <f t="shared" ref="G132:G139" si="46">F132/E132</f>
        <v>9.9334730702633732E-3</v>
      </c>
      <c r="H132" s="165">
        <f>VLOOKUP($B132,'Data shares'!$C:$FB,66)</f>
        <v>12791600</v>
      </c>
      <c r="I132" s="165">
        <f>VLOOKUP($B132,'Data shares'!$C:$FB,67)</f>
        <v>18993200</v>
      </c>
      <c r="J132" s="81">
        <f t="shared" ref="J132:J139" si="47">(H132-I132)/I132*100</f>
        <v>-32.651685866520651</v>
      </c>
      <c r="K132" s="81">
        <f>VLOOKUP($B132,'Data Vlaue (Cr)'!$C:$FB,99)</f>
        <v>10541</v>
      </c>
      <c r="L132" s="81">
        <f>VLOOKUP(B132,'OI(Value)'!$A$7:$C$209,3,0)</f>
        <v>104</v>
      </c>
      <c r="M132" s="81">
        <f t="shared" si="44"/>
        <v>0.98662365999430801</v>
      </c>
      <c r="N132" s="81">
        <f>VLOOKUP($B132,'Data Vlaue (Cr)'!$C:$FB,67)</f>
        <v>2765</v>
      </c>
      <c r="O132" s="81">
        <f>VLOOKUP($B132,'Data Vlaue (Cr)'!$C:$FB,68)</f>
        <v>4106</v>
      </c>
      <c r="P132" s="81">
        <f t="shared" ref="P132:P139" si="48">(N132-O132)/N132*100</f>
        <v>-48.499095840867994</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Technology</v>
      </c>
      <c r="B133" s="79" t="str">
        <f>'Data shares'!C128</f>
        <v>KPITTECH</v>
      </c>
      <c r="C133" s="79">
        <f>VLOOKUP($B133,'Data shares'!$C:$FB,7)</f>
        <v>1256</v>
      </c>
      <c r="D133" s="165">
        <f>VLOOKUP($B133,'Data shares'!$C:$FB,98)</f>
        <v>10659200</v>
      </c>
      <c r="E133" s="165">
        <f>VLOOKUP(B133,'Snapshot (Volume)'!$A$7:$G$168,7,0)</f>
        <v>10450000</v>
      </c>
      <c r="F133" s="165">
        <f t="shared" si="45"/>
        <v>209200</v>
      </c>
      <c r="G133" s="166">
        <f t="shared" si="46"/>
        <v>2.001913875598086E-2</v>
      </c>
      <c r="H133" s="165">
        <f>VLOOKUP($B133,'Data shares'!$C:$FB,66)</f>
        <v>1929200</v>
      </c>
      <c r="I133" s="165">
        <f>VLOOKUP($B133,'Data shares'!$C:$FB,67)</f>
        <v>2305600</v>
      </c>
      <c r="J133" s="81">
        <f t="shared" si="47"/>
        <v>-16.325468424705068</v>
      </c>
      <c r="K133" s="81">
        <f>VLOOKUP($B133,'Data Vlaue (Cr)'!$C:$FB,99)</f>
        <v>1335</v>
      </c>
      <c r="L133" s="81">
        <f>VLOOKUP(B133,'OI(Value)'!$A$7:$C$209,3,0)</f>
        <v>26</v>
      </c>
      <c r="M133" s="81">
        <f t="shared" si="44"/>
        <v>1.9475655430711609</v>
      </c>
      <c r="N133" s="81">
        <f>VLOOKUP($B133,'Data Vlaue (Cr)'!$C:$FB,67)</f>
        <v>242</v>
      </c>
      <c r="O133" s="81">
        <f>VLOOKUP($B133,'Data Vlaue (Cr)'!$C:$FB,68)</f>
        <v>289</v>
      </c>
      <c r="P133" s="81">
        <f t="shared" si="48"/>
        <v>-19.421487603305785</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Pharma</v>
      </c>
      <c r="B134" s="79" t="str">
        <f>'Data shares'!C129</f>
        <v>LAURUSLABS</v>
      </c>
      <c r="C134" s="4">
        <f>VLOOKUP($B134,'Data shares'!$C:$FB,7)</f>
        <v>823.35</v>
      </c>
      <c r="D134" s="82">
        <f>VLOOKUP($B134,'Data shares'!$C:$FB,98)</f>
        <v>57468500</v>
      </c>
      <c r="E134" s="165">
        <f>VLOOKUP(B134,'Snapshot (Volume)'!$A$7:$G$168,7,0)</f>
        <v>57745600</v>
      </c>
      <c r="F134" s="165">
        <f t="shared" si="45"/>
        <v>-277100</v>
      </c>
      <c r="G134" s="166">
        <f t="shared" si="46"/>
        <v>-4.7986340084785681E-3</v>
      </c>
      <c r="H134" s="165">
        <f>VLOOKUP($B134,'Data shares'!$C:$FB,66)</f>
        <v>17634100</v>
      </c>
      <c r="I134" s="165">
        <f>VLOOKUP($B134,'Data shares'!$C:$FB,67)</f>
        <v>18144100</v>
      </c>
      <c r="J134" s="81">
        <f t="shared" si="47"/>
        <v>-2.81083106905275</v>
      </c>
      <c r="K134" s="5">
        <f>VLOOKUP($B134,'Data Vlaue (Cr)'!$C:$FB,99)</f>
        <v>4740</v>
      </c>
      <c r="L134" s="81">
        <f>VLOOKUP(B134,'OI(Value)'!$A$7:$C$209,3,0)</f>
        <v>-23</v>
      </c>
      <c r="M134" s="33">
        <f t="shared" si="44"/>
        <v>-0.48523206751054859</v>
      </c>
      <c r="N134" s="5">
        <f>VLOOKUP($B134,'Data Vlaue (Cr)'!$C:$FB,67)</f>
        <v>1454</v>
      </c>
      <c r="O134" s="5">
        <f>VLOOKUP($B134,'Data Vlaue (Cr)'!$C:$FB,68)</f>
        <v>1496</v>
      </c>
      <c r="P134" s="5">
        <f t="shared" si="48"/>
        <v>-2.8885832187070153</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Finance</v>
      </c>
      <c r="B135" s="79" t="str">
        <f>'Data shares'!C130</f>
        <v>LICHSGFIN</v>
      </c>
      <c r="C135" s="4">
        <f>VLOOKUP($B135,'Data shares'!$C:$FB,7)</f>
        <v>620.20000000000005</v>
      </c>
      <c r="D135" s="82">
        <f>VLOOKUP($B135,'Data shares'!$C:$FB,98)</f>
        <v>43808000</v>
      </c>
      <c r="E135" s="165">
        <f>VLOOKUP(B135,'Snapshot (Volume)'!$A$7:$G$168,7,0)</f>
        <v>43136000</v>
      </c>
      <c r="F135" s="165">
        <f t="shared" si="45"/>
        <v>672000</v>
      </c>
      <c r="G135" s="166">
        <f t="shared" si="46"/>
        <v>1.5578635014836795E-2</v>
      </c>
      <c r="H135" s="165">
        <f>VLOOKUP($B135,'Data shares'!$C:$FB,66)</f>
        <v>16813000</v>
      </c>
      <c r="I135" s="165">
        <f>VLOOKUP($B135,'Data shares'!$C:$FB,67)</f>
        <v>17100000</v>
      </c>
      <c r="J135" s="81">
        <f t="shared" si="47"/>
        <v>-1.6783625730994149</v>
      </c>
      <c r="K135" s="5">
        <f>VLOOKUP($B135,'Data Vlaue (Cr)'!$C:$FB,99)</f>
        <v>2724</v>
      </c>
      <c r="L135" s="81">
        <f>VLOOKUP(B135,'OI(Value)'!$A$7:$C$209,3,0)</f>
        <v>42</v>
      </c>
      <c r="M135" s="33">
        <f t="shared" si="44"/>
        <v>1.5418502202643172</v>
      </c>
      <c r="N135" s="5">
        <f>VLOOKUP($B135,'Data Vlaue (Cr)'!$C:$FB,67)</f>
        <v>1046</v>
      </c>
      <c r="O135" s="5">
        <f>VLOOKUP($B135,'Data Vlaue (Cr)'!$C:$FB,68)</f>
        <v>1063</v>
      </c>
      <c r="P135" s="5">
        <f t="shared" si="48"/>
        <v>-1.6252390057361379</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Finance</v>
      </c>
      <c r="B136" s="79" t="str">
        <f>'Data shares'!C131</f>
        <v>LICI</v>
      </c>
      <c r="C136" s="4">
        <f>VLOOKUP($B136,'Data shares'!$C:$FB,7)</f>
        <v>919.05</v>
      </c>
      <c r="D136" s="82">
        <f>VLOOKUP($B136,'Data shares'!$C:$FB,98)</f>
        <v>16354800</v>
      </c>
      <c r="E136" s="165">
        <f>VLOOKUP(B136,'Snapshot (Volume)'!$A$7:$G$168,7,0)</f>
        <v>16229500</v>
      </c>
      <c r="F136" s="165">
        <f t="shared" si="45"/>
        <v>125300</v>
      </c>
      <c r="G136" s="166">
        <f t="shared" si="46"/>
        <v>7.720508949751995E-3</v>
      </c>
      <c r="H136" s="165">
        <f>VLOOKUP($B136,'Data shares'!$C:$FB,66)</f>
        <v>4340700</v>
      </c>
      <c r="I136" s="165">
        <f>VLOOKUP($B136,'Data shares'!$C:$FB,67)</f>
        <v>3727500</v>
      </c>
      <c r="J136" s="81">
        <f t="shared" si="47"/>
        <v>16.450704225352112</v>
      </c>
      <c r="K136" s="5">
        <f>VLOOKUP($B136,'Data Vlaue (Cr)'!$C:$FB,99)</f>
        <v>1485</v>
      </c>
      <c r="L136" s="81">
        <f>VLOOKUP(B136,'OI(Value)'!$A$7:$C$209,3,0)</f>
        <v>11</v>
      </c>
      <c r="M136" s="33">
        <f t="shared" si="44"/>
        <v>0.74074074074074081</v>
      </c>
      <c r="N136" s="5">
        <f>VLOOKUP($B136,'Data Vlaue (Cr)'!$C:$FB,67)</f>
        <v>394</v>
      </c>
      <c r="O136" s="5">
        <f>VLOOKUP($B136,'Data Vlaue (Cr)'!$C:$FB,68)</f>
        <v>339</v>
      </c>
      <c r="P136" s="5">
        <f t="shared" si="48"/>
        <v>13.959390862944163</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Realty</v>
      </c>
      <c r="B137" s="79" t="str">
        <f>'Data shares'!C132</f>
        <v>LODHA</v>
      </c>
      <c r="C137" s="4">
        <f>VLOOKUP($B137,'Data shares'!$C:$FB,7)</f>
        <v>1442.3</v>
      </c>
      <c r="D137" s="82">
        <f>VLOOKUP($B137,'Data shares'!$C:$FB,98)</f>
        <v>8023500</v>
      </c>
      <c r="E137" s="165">
        <f>VLOOKUP(B137,'Snapshot (Volume)'!$A$7:$G$168,7,0)</f>
        <v>7933500</v>
      </c>
      <c r="F137" s="165">
        <f t="shared" si="45"/>
        <v>90000</v>
      </c>
      <c r="G137" s="166">
        <f t="shared" si="46"/>
        <v>1.1344299489506523E-2</v>
      </c>
      <c r="H137" s="165">
        <f>VLOOKUP($B137,'Data shares'!$C:$FB,66)</f>
        <v>2290500</v>
      </c>
      <c r="I137" s="165">
        <f>VLOOKUP($B137,'Data shares'!$C:$FB,67)</f>
        <v>1900800</v>
      </c>
      <c r="J137" s="81">
        <f t="shared" si="47"/>
        <v>20.501893939393938</v>
      </c>
      <c r="K137" s="5">
        <f>VLOOKUP($B137,'Data Vlaue (Cr)'!$C:$FB,99)</f>
        <v>1158</v>
      </c>
      <c r="L137" s="81">
        <f>VLOOKUP(B137,'OI(Value)'!$A$7:$C$209,3,0)</f>
        <v>13</v>
      </c>
      <c r="M137" s="33">
        <f t="shared" si="44"/>
        <v>1.1226252158894647</v>
      </c>
      <c r="N137" s="5">
        <f>VLOOKUP($B137,'Data Vlaue (Cr)'!$C:$FB,67)</f>
        <v>331</v>
      </c>
      <c r="O137" s="5">
        <f>VLOOKUP($B137,'Data Vlaue (Cr)'!$C:$FB,68)</f>
        <v>274</v>
      </c>
      <c r="P137" s="5">
        <f t="shared" si="48"/>
        <v>17.220543806646525</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Capital_Goods</v>
      </c>
      <c r="B138" s="79" t="str">
        <f>'Data shares'!C133</f>
        <v>LT</v>
      </c>
      <c r="C138" s="4">
        <f>VLOOKUP($B138,'Data shares'!$C:$FB,7)</f>
        <v>3464.6</v>
      </c>
      <c r="D138" s="82">
        <f>VLOOKUP($B138,'Data shares'!$C:$FB,98)</f>
        <v>30682225</v>
      </c>
      <c r="E138" s="165">
        <f>VLOOKUP(B138,'Snapshot (Volume)'!$A$7:$G$168,7,0)</f>
        <v>30085300</v>
      </c>
      <c r="F138" s="165">
        <f t="shared" si="45"/>
        <v>596925</v>
      </c>
      <c r="G138" s="166">
        <f t="shared" si="46"/>
        <v>1.9841085181134973E-2</v>
      </c>
      <c r="H138" s="165">
        <f>VLOOKUP($B138,'Data shares'!$C:$FB,66)</f>
        <v>9437575</v>
      </c>
      <c r="I138" s="165">
        <f>VLOOKUP($B138,'Data shares'!$C:$FB,67)</f>
        <v>10905125</v>
      </c>
      <c r="J138" s="81">
        <f t="shared" si="47"/>
        <v>-13.457434004653775</v>
      </c>
      <c r="K138" s="5">
        <f>VLOOKUP($B138,'Data Vlaue (Cr)'!$C:$FB,99)</f>
        <v>10663</v>
      </c>
      <c r="L138" s="81">
        <f>VLOOKUP(B138,'OI(Value)'!$A$7:$C$209,3,0)</f>
        <v>207</v>
      </c>
      <c r="M138" s="33">
        <f t="shared" si="44"/>
        <v>1.9412923192347369</v>
      </c>
      <c r="N138" s="5">
        <f>VLOOKUP($B138,'Data Vlaue (Cr)'!$C:$FB,67)</f>
        <v>3280</v>
      </c>
      <c r="O138" s="5">
        <f>VLOOKUP($B138,'Data Vlaue (Cr)'!$C:$FB,68)</f>
        <v>3790</v>
      </c>
      <c r="P138" s="5">
        <f t="shared" si="48"/>
        <v>-15.548780487804878</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Finance</v>
      </c>
      <c r="B139" s="79" t="str">
        <f>'Data shares'!C134</f>
        <v>LTF</v>
      </c>
      <c r="C139" s="4">
        <f>VLOOKUP($B139,'Data shares'!$C:$FB,7)</f>
        <v>209.21</v>
      </c>
      <c r="D139" s="82">
        <f>VLOOKUP($B139,'Data shares'!$C:$FB,98)</f>
        <v>132012732</v>
      </c>
      <c r="E139" s="165">
        <f>VLOOKUP(B139,'Snapshot (Volume)'!$A$7:$G$168,7,0)</f>
        <v>135278916</v>
      </c>
      <c r="F139" s="165">
        <f t="shared" si="45"/>
        <v>-3266184</v>
      </c>
      <c r="G139" s="166">
        <f t="shared" si="46"/>
        <v>-2.4144072828022958E-2</v>
      </c>
      <c r="H139" s="165">
        <f>VLOOKUP($B139,'Data shares'!$C:$FB,66)</f>
        <v>149717948</v>
      </c>
      <c r="I139" s="165">
        <f>VLOOKUP($B139,'Data shares'!$C:$FB,67)</f>
        <v>380617524</v>
      </c>
      <c r="J139" s="81">
        <f t="shared" si="47"/>
        <v>-60.664462732409554</v>
      </c>
      <c r="K139" s="5">
        <f>VLOOKUP($B139,'Data Vlaue (Cr)'!$C:$FB,99)</f>
        <v>2765</v>
      </c>
      <c r="L139" s="81">
        <f>VLOOKUP(B139,'OI(Value)'!$A$7:$C$209,3,0)</f>
        <v>-68</v>
      </c>
      <c r="M139" s="33">
        <f t="shared" si="44"/>
        <v>-2.4593128390596743</v>
      </c>
      <c r="N139" s="5">
        <f>VLOOKUP($B139,'Data Vlaue (Cr)'!$C:$FB,67)</f>
        <v>3135</v>
      </c>
      <c r="O139" s="5">
        <f>VLOOKUP($B139,'Data Vlaue (Cr)'!$C:$FB,68)</f>
        <v>7971</v>
      </c>
      <c r="P139" s="5">
        <f t="shared" si="48"/>
        <v>-154.25837320574163</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Technology</v>
      </c>
      <c r="B140" s="79" t="str">
        <f>'Data shares'!C135</f>
        <v>LTIM</v>
      </c>
      <c r="C140" s="79">
        <f>VLOOKUP($B140,'Data shares'!$C:$FB,7)</f>
        <v>5175.5</v>
      </c>
      <c r="D140" s="165">
        <f>VLOOKUP($B140,'Data shares'!$C:$FB,98)</f>
        <v>4785750</v>
      </c>
      <c r="E140" s="165">
        <f>VLOOKUP(B140,'Snapshot (Volume)'!$A$7:$G$168,7,0)</f>
        <v>5132700</v>
      </c>
      <c r="F140" s="165">
        <f>D140-E140</f>
        <v>-346950</v>
      </c>
      <c r="G140" s="166">
        <f>F140/E140</f>
        <v>-6.7596002104155714E-2</v>
      </c>
      <c r="H140" s="165">
        <f>VLOOKUP($B140,'Data shares'!$C:$FB,66)</f>
        <v>2344650</v>
      </c>
      <c r="I140" s="165">
        <f>VLOOKUP($B140,'Data shares'!$C:$FB,67)</f>
        <v>3001200</v>
      </c>
      <c r="J140" s="81">
        <f>(H140-I140)/I140*100</f>
        <v>-21.876249500199922</v>
      </c>
      <c r="K140" s="81">
        <f>VLOOKUP($B140,'Data Vlaue (Cr)'!$C:$FB,99)</f>
        <v>2479</v>
      </c>
      <c r="L140" s="81">
        <f>VLOOKUP(B140,'OI(Value)'!$A$7:$C$209,3,0)</f>
        <v>-180</v>
      </c>
      <c r="M140" s="81">
        <f t="shared" si="44"/>
        <v>-7.2609923356192017</v>
      </c>
      <c r="N140" s="81">
        <f>VLOOKUP($B140,'Data Vlaue (Cr)'!$C:$FB,67)</f>
        <v>1214</v>
      </c>
      <c r="O140" s="81">
        <f>VLOOKUP($B140,'Data Vlaue (Cr)'!$C:$FB,68)</f>
        <v>1554</v>
      </c>
      <c r="P140" s="81">
        <f>(N140-O140)/N140*100</f>
        <v>-28.006589785831959</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Pharma</v>
      </c>
      <c r="B141" s="79" t="str">
        <f>'Data shares'!C136</f>
        <v>LUPIN</v>
      </c>
      <c r="C141" s="4">
        <f>VLOOKUP($B141,'Data shares'!$C:$FB,7)</f>
        <v>1903.2</v>
      </c>
      <c r="D141" s="82">
        <f>VLOOKUP($B141,'Data shares'!$C:$FB,98)</f>
        <v>18690225</v>
      </c>
      <c r="E141" s="165">
        <f>VLOOKUP(B141,'Snapshot (Volume)'!$A$7:$G$168,7,0)</f>
        <v>18228250</v>
      </c>
      <c r="F141" s="165">
        <f>D141-E141</f>
        <v>461975</v>
      </c>
      <c r="G141" s="166">
        <f>F141/E141</f>
        <v>2.53439030076941E-2</v>
      </c>
      <c r="H141" s="165">
        <f>VLOOKUP($B141,'Data shares'!$C:$FB,66)</f>
        <v>11800975</v>
      </c>
      <c r="I141" s="165">
        <f>VLOOKUP($B141,'Data shares'!$C:$FB,67)</f>
        <v>3015375</v>
      </c>
      <c r="J141" s="81">
        <f>(H141-I141)/I141*100</f>
        <v>291.36011275546161</v>
      </c>
      <c r="K141" s="5">
        <f>VLOOKUP($B141,'Data Vlaue (Cr)'!$C:$FB,99)</f>
        <v>3543</v>
      </c>
      <c r="L141" s="81">
        <f>VLOOKUP(B141,'OI(Value)'!$A$7:$C$209,3,0)</f>
        <v>88</v>
      </c>
      <c r="M141" s="33">
        <f t="shared" si="44"/>
        <v>2.4837708156929157</v>
      </c>
      <c r="N141" s="5">
        <f>VLOOKUP($B141,'Data Vlaue (Cr)'!$C:$FB,67)</f>
        <v>2237</v>
      </c>
      <c r="O141" s="5">
        <f>VLOOKUP($B141,'Data Vlaue (Cr)'!$C:$FB,68)</f>
        <v>572</v>
      </c>
      <c r="P141" s="5">
        <f>(N141-O141)/N141*100</f>
        <v>74.430040232454175</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Automobile</v>
      </c>
      <c r="B142" s="79" t="str">
        <f>'Data shares'!C137</f>
        <v>M&amp;M</v>
      </c>
      <c r="C142" s="4">
        <f>VLOOKUP($B142,'Data shares'!$C:$FB,7)</f>
        <v>3257.2</v>
      </c>
      <c r="D142" s="82">
        <f>VLOOKUP($B142,'Data shares'!$C:$FB,98)</f>
        <v>33237800</v>
      </c>
      <c r="E142" s="165">
        <f>VLOOKUP(B142,'Snapshot (Volume)'!$A$7:$G$168,7,0)</f>
        <v>33249200</v>
      </c>
      <c r="F142" s="165">
        <f>D142-E142</f>
        <v>-11400</v>
      </c>
      <c r="G142" s="166">
        <f>F142/E142</f>
        <v>-3.4286539225003912E-4</v>
      </c>
      <c r="H142" s="165">
        <f>VLOOKUP($B142,'Data shares'!$C:$FB,66)</f>
        <v>23837800</v>
      </c>
      <c r="I142" s="165">
        <f>VLOOKUP($B142,'Data shares'!$C:$FB,67)</f>
        <v>23101800</v>
      </c>
      <c r="J142" s="81">
        <f>(H142-I142)/I142*100</f>
        <v>3.1858989342821769</v>
      </c>
      <c r="K142" s="5">
        <f>VLOOKUP($B142,'Data Vlaue (Cr)'!$C:$FB,99)</f>
        <v>10842</v>
      </c>
      <c r="L142" s="81">
        <f>VLOOKUP(B142,'OI(Value)'!$A$7:$C$209,3,0)</f>
        <v>-4</v>
      </c>
      <c r="M142" s="33">
        <f t="shared" si="44"/>
        <v>-3.6893562073418186E-2</v>
      </c>
      <c r="N142" s="5">
        <f>VLOOKUP($B142,'Data Vlaue (Cr)'!$C:$FB,67)</f>
        <v>7776</v>
      </c>
      <c r="O142" s="5">
        <f>VLOOKUP($B142,'Data Vlaue (Cr)'!$C:$FB,68)</f>
        <v>7536</v>
      </c>
      <c r="P142" s="5">
        <f>(N142-O142)/N142*100</f>
        <v>3.0864197530864197</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Finance</v>
      </c>
      <c r="B143" s="79" t="str">
        <f>'Data shares'!C138</f>
        <v>M&amp;MFIN</v>
      </c>
      <c r="C143" s="4">
        <f>VLOOKUP($B143,'Data shares'!$C:$FB,7)</f>
        <v>265.55</v>
      </c>
      <c r="D143" s="82">
        <f>VLOOKUP($B143,'Data shares'!$C:$FB,98)</f>
        <v>39843224</v>
      </c>
      <c r="E143" s="165">
        <f>VLOOKUP(B143,'Snapshot (Volume)'!$A$7:$G$168,7,0)</f>
        <v>36981272</v>
      </c>
      <c r="F143" s="165">
        <f>D143-E143</f>
        <v>2861952</v>
      </c>
      <c r="G143" s="166">
        <f>F143/E143</f>
        <v>7.7389225551787399E-2</v>
      </c>
      <c r="H143" s="165">
        <f>VLOOKUP($B143,'Data shares'!$C:$FB,66)</f>
        <v>56139080</v>
      </c>
      <c r="I143" s="165">
        <f>VLOOKUP($B143,'Data shares'!$C:$FB,67)</f>
        <v>9998328</v>
      </c>
      <c r="J143" s="81">
        <f>(H143-I143)/I143*100</f>
        <v>461.48468023853593</v>
      </c>
      <c r="K143" s="5">
        <f>VLOOKUP($B143,'Data Vlaue (Cr)'!$C:$FB,99)</f>
        <v>1059</v>
      </c>
      <c r="L143" s="81">
        <f>VLOOKUP(B143,'OI(Value)'!$A$7:$C$209,3,0)</f>
        <v>76</v>
      </c>
      <c r="M143" s="33">
        <f t="shared" si="44"/>
        <v>7.1765816808309717</v>
      </c>
      <c r="N143" s="5">
        <f>VLOOKUP($B143,'Data Vlaue (Cr)'!$C:$FB,67)</f>
        <v>1492</v>
      </c>
      <c r="O143" s="5">
        <f>VLOOKUP($B143,'Data Vlaue (Cr)'!$C:$FB,68)</f>
        <v>266</v>
      </c>
      <c r="P143" s="5">
        <f>(N143-O143)/N143*100</f>
        <v>82.171581769436997</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MANAPPURAM</v>
      </c>
      <c r="C144" s="4">
        <f>VLOOKUP($B144,'Data shares'!$C:$FB,7)</f>
        <v>272.05</v>
      </c>
      <c r="D144" s="82">
        <f>VLOOKUP($B144,'Data shares'!$C:$FB,98)</f>
        <v>50034000</v>
      </c>
      <c r="E144" s="165">
        <f>VLOOKUP(B144,'Snapshot (Volume)'!$A$7:$G$168,7,0)</f>
        <v>51987000</v>
      </c>
      <c r="F144" s="165">
        <f>D144-E144</f>
        <v>-1953000</v>
      </c>
      <c r="G144" s="166">
        <f>F144/E144</f>
        <v>-3.7567084078711989E-2</v>
      </c>
      <c r="H144" s="165">
        <f>VLOOKUP($B144,'Data shares'!$C:$FB,66)</f>
        <v>13830000</v>
      </c>
      <c r="I144" s="165">
        <f>VLOOKUP($B144,'Data shares'!$C:$FB,67)</f>
        <v>21360000</v>
      </c>
      <c r="J144" s="81">
        <f>(H144-I144)/I144*100</f>
        <v>-35.252808988764045</v>
      </c>
      <c r="K144" s="5">
        <f>VLOOKUP($B144,'Data Vlaue (Cr)'!$C:$FB,99)</f>
        <v>1361</v>
      </c>
      <c r="L144" s="81">
        <f>VLOOKUP(B144,'OI(Value)'!$A$7:$C$209,3,0)</f>
        <v>-53</v>
      </c>
      <c r="M144" s="33">
        <f t="shared" si="44"/>
        <v>-3.8941954445260838</v>
      </c>
      <c r="N144" s="5">
        <f>VLOOKUP($B144,'Data Vlaue (Cr)'!$C:$FB,67)</f>
        <v>376</v>
      </c>
      <c r="O144" s="5">
        <f>VLOOKUP($B144,'Data Vlaue (Cr)'!$C:$FB,68)</f>
        <v>581</v>
      </c>
      <c r="P144" s="5">
        <f>(N144-O144)/N144*100</f>
        <v>-54.521276595744681</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Pharma</v>
      </c>
      <c r="B145" s="79" t="str">
        <f>'Data shares'!C140</f>
        <v>MANKIND</v>
      </c>
      <c r="C145" s="4">
        <f>VLOOKUP($B145,'Data shares'!$C:$FB,7)</f>
        <v>2670.5</v>
      </c>
      <c r="D145" s="82">
        <f>VLOOKUP($B145,'Data shares'!$C:$FB,98)</f>
        <v>2873700</v>
      </c>
      <c r="E145" s="165">
        <f>VLOOKUP(B145,'Snapshot (Volume)'!$A$7:$G$168,7,0)</f>
        <v>3077775</v>
      </c>
      <c r="F145" s="165">
        <f t="shared" ref="F145:F152" si="49">D145-E145</f>
        <v>-204075</v>
      </c>
      <c r="G145" s="166">
        <f t="shared" ref="G145:G153" si="50">F145/E145</f>
        <v>-6.6306016521675559E-2</v>
      </c>
      <c r="H145" s="165">
        <f>VLOOKUP($B145,'Data shares'!$C:$FB,66)</f>
        <v>2719125</v>
      </c>
      <c r="I145" s="165">
        <f>VLOOKUP($B145,'Data shares'!$C:$FB,67)</f>
        <v>2650950</v>
      </c>
      <c r="J145" s="81">
        <f t="shared" ref="J145:J153" si="51">(H145-I145)/I145*100</f>
        <v>2.5717195722288237</v>
      </c>
      <c r="K145" s="5">
        <f>VLOOKUP($B145,'Data Vlaue (Cr)'!$C:$FB,99)</f>
        <v>768</v>
      </c>
      <c r="L145" s="81">
        <f>VLOOKUP(B145,'OI(Value)'!$A$7:$C$209,3,0)</f>
        <v>-55</v>
      </c>
      <c r="M145" s="33">
        <f t="shared" ref="M145:M153" si="52">L145/K145*100</f>
        <v>-7.161458333333333</v>
      </c>
      <c r="N145" s="5">
        <f>VLOOKUP($B145,'Data Vlaue (Cr)'!$C:$FB,67)</f>
        <v>727</v>
      </c>
      <c r="O145" s="5">
        <f>VLOOKUP($B145,'Data Vlaue (Cr)'!$C:$FB,68)</f>
        <v>708</v>
      </c>
      <c r="P145" s="5">
        <f t="shared" ref="P145:P152" si="53">(N145-O145)/N145*100</f>
        <v>2.613480055020633</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FMCG</v>
      </c>
      <c r="B146" s="79" t="str">
        <f>'Data shares'!C141</f>
        <v>MARICO</v>
      </c>
      <c r="C146" s="4">
        <f>VLOOKUP($B146,'Data shares'!$C:$FB,7)</f>
        <v>716.35</v>
      </c>
      <c r="D146" s="82">
        <f>VLOOKUP($B146,'Data shares'!$C:$FB,98)</f>
        <v>31831200</v>
      </c>
      <c r="E146" s="165">
        <f>VLOOKUP(B146,'Snapshot (Volume)'!$A$7:$G$168,7,0)</f>
        <v>32272800</v>
      </c>
      <c r="F146" s="165">
        <f t="shared" si="49"/>
        <v>-441600</v>
      </c>
      <c r="G146" s="166">
        <f t="shared" si="50"/>
        <v>-1.3683349445973079E-2</v>
      </c>
      <c r="H146" s="165">
        <f>VLOOKUP($B146,'Data shares'!$C:$FB,66)</f>
        <v>7600800</v>
      </c>
      <c r="I146" s="165">
        <f>VLOOKUP($B146,'Data shares'!$C:$FB,67)</f>
        <v>10490400</v>
      </c>
      <c r="J146" s="81">
        <f t="shared" si="51"/>
        <v>-27.545184168382519</v>
      </c>
      <c r="K146" s="5">
        <f>VLOOKUP($B146,'Data Vlaue (Cr)'!$C:$FB,99)</f>
        <v>2282</v>
      </c>
      <c r="L146" s="81">
        <f>VLOOKUP(B146,'OI(Value)'!$A$7:$C$209,3,0)</f>
        <v>-32</v>
      </c>
      <c r="M146" s="33">
        <f t="shared" si="52"/>
        <v>-1.4022787028921999</v>
      </c>
      <c r="N146" s="5">
        <f>VLOOKUP($B146,'Data Vlaue (Cr)'!$C:$FB,67)</f>
        <v>545</v>
      </c>
      <c r="O146" s="5">
        <f>VLOOKUP($B146,'Data Vlaue (Cr)'!$C:$FB,68)</f>
        <v>752</v>
      </c>
      <c r="P146" s="5">
        <f t="shared" si="53"/>
        <v>-37.981651376146793</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Automobile</v>
      </c>
      <c r="B147" s="79" t="str">
        <f>'Data shares'!C142</f>
        <v>MARUTI</v>
      </c>
      <c r="C147" s="4">
        <f>VLOOKUP($B147,'Data shares'!$C:$FB,7)</f>
        <v>12492</v>
      </c>
      <c r="D147" s="82">
        <f>VLOOKUP($B147,'Data shares'!$C:$FB,98)</f>
        <v>7233600</v>
      </c>
      <c r="E147" s="165">
        <f>VLOOKUP(B147,'Snapshot (Volume)'!$A$7:$G$168,7,0)</f>
        <v>7259300</v>
      </c>
      <c r="F147" s="165">
        <f t="shared" si="49"/>
        <v>-25700</v>
      </c>
      <c r="G147" s="166">
        <f t="shared" si="50"/>
        <v>-3.5402862534955159E-3</v>
      </c>
      <c r="H147" s="165">
        <f>VLOOKUP($B147,'Data shares'!$C:$FB,66)</f>
        <v>4289350</v>
      </c>
      <c r="I147" s="165">
        <f>VLOOKUP($B147,'Data shares'!$C:$FB,67)</f>
        <v>3785600</v>
      </c>
      <c r="J147" s="81">
        <f t="shared" si="51"/>
        <v>13.307005494505495</v>
      </c>
      <c r="K147" s="5">
        <f>VLOOKUP($B147,'Data Vlaue (Cr)'!$C:$FB,99)</f>
        <v>9052</v>
      </c>
      <c r="L147" s="81">
        <f>VLOOKUP(B147,'OI(Value)'!$A$7:$C$209,3,0)</f>
        <v>-32</v>
      </c>
      <c r="M147" s="33">
        <f t="shared" si="52"/>
        <v>-0.35351303579319487</v>
      </c>
      <c r="N147" s="5">
        <f>VLOOKUP($B147,'Data Vlaue (Cr)'!$C:$FB,67)</f>
        <v>5368</v>
      </c>
      <c r="O147" s="5">
        <f>VLOOKUP($B147,'Data Vlaue (Cr)'!$C:$FB,68)</f>
        <v>4737</v>
      </c>
      <c r="P147" s="5">
        <f t="shared" si="53"/>
        <v>11.7548435171386</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Pharma</v>
      </c>
      <c r="B148" s="79" t="str">
        <f>'Data shares'!C143</f>
        <v>MAXHEALTH</v>
      </c>
      <c r="C148" s="4">
        <f>VLOOKUP($B148,'Data shares'!$C:$FB,7)</f>
        <v>1218.8</v>
      </c>
      <c r="D148" s="82">
        <f>VLOOKUP($B148,'Data shares'!$C:$FB,98)</f>
        <v>16380000</v>
      </c>
      <c r="E148" s="165">
        <f>VLOOKUP(B148,'Snapshot (Volume)'!$A$7:$G$168,7,0)</f>
        <v>16525950</v>
      </c>
      <c r="F148" s="165">
        <f t="shared" si="49"/>
        <v>-145950</v>
      </c>
      <c r="G148" s="166">
        <f t="shared" si="50"/>
        <v>-8.831564902471568E-3</v>
      </c>
      <c r="H148" s="165">
        <f>VLOOKUP($B148,'Data shares'!$C:$FB,66)</f>
        <v>4248825</v>
      </c>
      <c r="I148" s="165">
        <f>VLOOKUP($B148,'Data shares'!$C:$FB,67)</f>
        <v>7358925</v>
      </c>
      <c r="J148" s="81">
        <f t="shared" si="51"/>
        <v>-42.262966397945348</v>
      </c>
      <c r="K148" s="5">
        <f>VLOOKUP($B148,'Data Vlaue (Cr)'!$C:$FB,99)</f>
        <v>1997</v>
      </c>
      <c r="L148" s="81">
        <f>VLOOKUP(B148,'OI(Value)'!$A$7:$C$209,3,0)</f>
        <v>-18</v>
      </c>
      <c r="M148" s="33">
        <f t="shared" si="52"/>
        <v>-0.90135202804206316</v>
      </c>
      <c r="N148" s="5">
        <f>VLOOKUP($B148,'Data Vlaue (Cr)'!$C:$FB,67)</f>
        <v>518</v>
      </c>
      <c r="O148" s="5">
        <f>VLOOKUP($B148,'Data Vlaue (Cr)'!$C:$FB,68)</f>
        <v>897</v>
      </c>
      <c r="P148" s="5">
        <f t="shared" si="53"/>
        <v>-73.166023166023166</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Infrastructure</v>
      </c>
      <c r="B149" s="79" t="str">
        <f>'Data shares'!C144</f>
        <v>MAZDOCK</v>
      </c>
      <c r="C149" s="4">
        <f>VLOOKUP($B149,'Data shares'!$C:$FB,7)</f>
        <v>2921.8</v>
      </c>
      <c r="D149" s="82">
        <f>VLOOKUP($B149,'Data shares'!$C:$FB,98)</f>
        <v>7911400</v>
      </c>
      <c r="E149" s="165">
        <f>VLOOKUP(B149,'Snapshot (Volume)'!$A$7:$G$168,7,0)</f>
        <v>7521500</v>
      </c>
      <c r="F149" s="165">
        <f t="shared" si="49"/>
        <v>389900</v>
      </c>
      <c r="G149" s="166">
        <f t="shared" si="50"/>
        <v>5.183806421591438E-2</v>
      </c>
      <c r="H149" s="165">
        <f>VLOOKUP($B149,'Data shares'!$C:$FB,66)</f>
        <v>5828375</v>
      </c>
      <c r="I149" s="165">
        <f>VLOOKUP($B149,'Data shares'!$C:$FB,67)</f>
        <v>4972800</v>
      </c>
      <c r="J149" s="81">
        <f t="shared" si="51"/>
        <v>17.20509572072072</v>
      </c>
      <c r="K149" s="5">
        <f>VLOOKUP($B149,'Data Vlaue (Cr)'!$C:$FB,99)</f>
        <v>2319</v>
      </c>
      <c r="L149" s="81">
        <f>VLOOKUP(B149,'OI(Value)'!$A$7:$C$209,3,0)</f>
        <v>114</v>
      </c>
      <c r="M149" s="33">
        <f t="shared" si="52"/>
        <v>4.9159120310478661</v>
      </c>
      <c r="N149" s="5">
        <f>VLOOKUP($B149,'Data Vlaue (Cr)'!$C:$FB,67)</f>
        <v>1709</v>
      </c>
      <c r="O149" s="5">
        <f>VLOOKUP($B149,'Data Vlaue (Cr)'!$C:$FB,68)</f>
        <v>1458</v>
      </c>
      <c r="P149" s="5">
        <f t="shared" si="53"/>
        <v>14.686951433586891</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Finance</v>
      </c>
      <c r="B150" s="79" t="str">
        <f>'Data shares'!C145</f>
        <v>MCX</v>
      </c>
      <c r="C150" s="4">
        <f>VLOOKUP($B150,'Data shares'!$C:$FB,7)</f>
        <v>8153.5</v>
      </c>
      <c r="D150" s="82">
        <f>VLOOKUP($B150,'Data shares'!$C:$FB,98)</f>
        <v>8129875</v>
      </c>
      <c r="E150" s="165">
        <f>VLOOKUP(B150,'Snapshot (Volume)'!$A$7:$G$168,7,0)</f>
        <v>7730625</v>
      </c>
      <c r="F150" s="165">
        <f t="shared" si="49"/>
        <v>399250</v>
      </c>
      <c r="G150" s="166">
        <f t="shared" si="50"/>
        <v>5.164524213760207E-2</v>
      </c>
      <c r="H150" s="165">
        <f>VLOOKUP($B150,'Data shares'!$C:$FB,66)</f>
        <v>6019500</v>
      </c>
      <c r="I150" s="165">
        <f>VLOOKUP($B150,'Data shares'!$C:$FB,67)</f>
        <v>6146375</v>
      </c>
      <c r="J150" s="81">
        <f t="shared" si="51"/>
        <v>-2.0642248479795002</v>
      </c>
      <c r="K150" s="5">
        <f>VLOOKUP($B150,'Data Vlaue (Cr)'!$C:$FB,99)</f>
        <v>6650</v>
      </c>
      <c r="L150" s="81">
        <f>VLOOKUP(B150,'OI(Value)'!$A$7:$C$209,3,0)</f>
        <v>327</v>
      </c>
      <c r="M150" s="33">
        <f t="shared" si="52"/>
        <v>4.9172932330827068</v>
      </c>
      <c r="N150" s="5">
        <f>VLOOKUP($B150,'Data Vlaue (Cr)'!$C:$FB,67)</f>
        <v>4924</v>
      </c>
      <c r="O150" s="5">
        <f>VLOOKUP($B150,'Data Vlaue (Cr)'!$C:$FB,68)</f>
        <v>5028</v>
      </c>
      <c r="P150" s="5">
        <f t="shared" si="53"/>
        <v>-2.1121039805036554</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Finance</v>
      </c>
      <c r="B151" s="79" t="str">
        <f>'Data shares'!C146</f>
        <v>MFSL</v>
      </c>
      <c r="C151" s="4">
        <f>VLOOKUP($B151,'Data shares'!$C:$FB,7)</f>
        <v>1562.4</v>
      </c>
      <c r="D151" s="82">
        <f>VLOOKUP($B151,'Data shares'!$C:$FB,98)</f>
        <v>9157600</v>
      </c>
      <c r="E151" s="165">
        <f>VLOOKUP(B151,'Snapshot (Volume)'!$A$7:$G$168,7,0)</f>
        <v>9018400</v>
      </c>
      <c r="F151" s="165">
        <f t="shared" si="49"/>
        <v>139200</v>
      </c>
      <c r="G151" s="166">
        <f t="shared" si="50"/>
        <v>1.5435110440876431E-2</v>
      </c>
      <c r="H151" s="165">
        <f>VLOOKUP($B151,'Data shares'!$C:$FB,66)</f>
        <v>8608800</v>
      </c>
      <c r="I151" s="165">
        <f>VLOOKUP($B151,'Data shares'!$C:$FB,67)</f>
        <v>2521600</v>
      </c>
      <c r="J151" s="81">
        <f t="shared" si="51"/>
        <v>241.40228426395939</v>
      </c>
      <c r="K151" s="5">
        <f>VLOOKUP($B151,'Data Vlaue (Cr)'!$C:$FB,99)</f>
        <v>1434</v>
      </c>
      <c r="L151" s="81">
        <f>VLOOKUP(B151,'OI(Value)'!$A$7:$C$209,3,0)</f>
        <v>22</v>
      </c>
      <c r="M151" s="33">
        <f t="shared" si="52"/>
        <v>1.5341701534170153</v>
      </c>
      <c r="N151" s="5">
        <f>VLOOKUP($B151,'Data Vlaue (Cr)'!$C:$FB,67)</f>
        <v>1348</v>
      </c>
      <c r="O151" s="5">
        <f>VLOOKUP($B151,'Data Vlaue (Cr)'!$C:$FB,68)</f>
        <v>395</v>
      </c>
      <c r="P151" s="5">
        <f t="shared" si="53"/>
        <v>70.697329376854597</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Oil_Gas</v>
      </c>
      <c r="B152" s="79" t="str">
        <f>'Data shares'!C147</f>
        <v>MGL</v>
      </c>
      <c r="C152" s="4">
        <f>VLOOKUP($B152,'Data shares'!$C:$FB,7)</f>
        <v>1486.3</v>
      </c>
      <c r="D152" s="82">
        <f>VLOOKUP($B152,'Data shares'!$C:$FB,98)</f>
        <v>7166400</v>
      </c>
      <c r="E152" s="165">
        <f>VLOOKUP(B152,'Snapshot (Volume)'!$A$7:$G$168,7,0)</f>
        <v>5030000</v>
      </c>
      <c r="F152" s="165">
        <f t="shared" si="49"/>
        <v>2136400</v>
      </c>
      <c r="G152" s="166">
        <f t="shared" si="50"/>
        <v>0.42473161033797219</v>
      </c>
      <c r="H152" s="165">
        <f>VLOOKUP($B152,'Data shares'!$C:$FB,66)</f>
        <v>36189200</v>
      </c>
      <c r="I152" s="165">
        <f>VLOOKUP($B152,'Data shares'!$C:$FB,67)</f>
        <v>1425200</v>
      </c>
      <c r="J152" s="81">
        <f t="shared" si="51"/>
        <v>2439.2365983721584</v>
      </c>
      <c r="K152" s="5">
        <f>VLOOKUP($B152,'Data Vlaue (Cr)'!$C:$FB,99)</f>
        <v>1066</v>
      </c>
      <c r="L152" s="81">
        <f>VLOOKUP(B152,'OI(Value)'!$A$7:$C$209,3,0)</f>
        <v>318</v>
      </c>
      <c r="M152" s="33">
        <f t="shared" si="52"/>
        <v>29.831144465290805</v>
      </c>
      <c r="N152" s="5">
        <f>VLOOKUP($B152,'Data Vlaue (Cr)'!$C:$FB,67)</f>
        <v>5384</v>
      </c>
      <c r="O152" s="5">
        <f>VLOOKUP($B152,'Data Vlaue (Cr)'!$C:$FB,68)</f>
        <v>212</v>
      </c>
      <c r="P152" s="5">
        <f t="shared" si="53"/>
        <v>96.062407132243692</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Index</v>
      </c>
      <c r="B153" s="79" t="str">
        <f>'Data shares'!C148</f>
        <v>MIDCPNIFTY</v>
      </c>
      <c r="C153" s="4">
        <f>VLOOKUP($B153,'Data shares'!$C:$FB,7)</f>
        <v>13206.6</v>
      </c>
      <c r="D153" s="82">
        <f>VLOOKUP($B153,'Data shares'!$C:$FB,98)</f>
        <v>23615480</v>
      </c>
      <c r="E153" s="165">
        <f>VLOOKUP(B153,'Snapshot (Volume)'!$A$7:$G$168,7,0)</f>
        <v>21510440</v>
      </c>
      <c r="F153" s="165">
        <f>D153-E153</f>
        <v>2105040</v>
      </c>
      <c r="G153" s="166">
        <f t="shared" si="50"/>
        <v>9.7861317574163983E-2</v>
      </c>
      <c r="H153" s="165">
        <f>VLOOKUP($B153,'Data shares'!$C:$FB,66)</f>
        <v>49681240</v>
      </c>
      <c r="I153" s="165">
        <f>VLOOKUP($B153,'Data shares'!$C:$FB,67)</f>
        <v>46251660</v>
      </c>
      <c r="J153" s="81">
        <f t="shared" si="51"/>
        <v>7.4150419682234112</v>
      </c>
      <c r="K153" s="5">
        <f>VLOOKUP($B153,'Data Vlaue (Cr)'!$C:$FB,99)</f>
        <v>31220</v>
      </c>
      <c r="L153" s="81">
        <f>VLOOKUP(B153,'OI(Value)'!$A$7:$C$209,3,0)</f>
        <v>2783</v>
      </c>
      <c r="M153" s="33">
        <f t="shared" si="52"/>
        <v>8.9141575912876352</v>
      </c>
      <c r="N153" s="5">
        <f>VLOOKUP($B153,'Data Vlaue (Cr)'!$C:$FB,67)</f>
        <v>65679</v>
      </c>
      <c r="O153" s="5">
        <f>VLOOKUP($B153,'Data Vlaue (Cr)'!$C:$FB,68)</f>
        <v>61145</v>
      </c>
      <c r="P153" s="5">
        <f>(N153-O153)/N153*100</f>
        <v>6.9032719742992441</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Automobile</v>
      </c>
      <c r="B154" s="79" t="str">
        <f>'Data shares'!C149</f>
        <v>MOTHERSON</v>
      </c>
      <c r="C154" s="4">
        <f>VLOOKUP($B154,'Data shares'!$C:$FB,7)</f>
        <v>97.24</v>
      </c>
      <c r="D154" s="82">
        <f>VLOOKUP($B154,'Data shares'!$C:$FB,98)</f>
        <v>220096200</v>
      </c>
      <c r="E154" s="165">
        <f>VLOOKUP(B154,'Snapshot (Volume)'!$A$7:$G$168,7,0)</f>
        <v>212839200</v>
      </c>
      <c r="F154" s="165">
        <f t="shared" ref="F154:F166" si="54">D154-E154</f>
        <v>7257000</v>
      </c>
      <c r="G154" s="166">
        <f t="shared" ref="G154:G166" si="55">F154/E154</f>
        <v>3.4096162736939439E-2</v>
      </c>
      <c r="H154" s="165">
        <f>VLOOKUP($B154,'Data shares'!$C:$FB,66)</f>
        <v>101253600</v>
      </c>
      <c r="I154" s="165">
        <f>VLOOKUP($B154,'Data shares'!$C:$FB,67)</f>
        <v>59907150</v>
      </c>
      <c r="J154" s="81">
        <f t="shared" ref="J154:J166" si="56">(H154-I154)/I154*100</f>
        <v>69.017554665845395</v>
      </c>
      <c r="K154" s="5">
        <f>VLOOKUP($B154,'Data Vlaue (Cr)'!$C:$FB,99)</f>
        <v>2143</v>
      </c>
      <c r="L154" s="81">
        <f>VLOOKUP(B154,'OI(Value)'!$A$7:$C$209,3,0)</f>
        <v>71</v>
      </c>
      <c r="M154" s="33">
        <f t="shared" ref="M154:M166" si="57">L154/K154*100</f>
        <v>3.3131124591693886</v>
      </c>
      <c r="N154" s="5">
        <f>VLOOKUP($B154,'Data Vlaue (Cr)'!$C:$FB,67)</f>
        <v>986</v>
      </c>
      <c r="O154" s="5">
        <f>VLOOKUP($B154,'Data Vlaue (Cr)'!$C:$FB,68)</f>
        <v>583</v>
      </c>
      <c r="P154" s="5">
        <f t="shared" ref="P154:P161" si="58">(N154-O154)/N154*100</f>
        <v>40.872210953346851</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Technology</v>
      </c>
      <c r="B155" s="79" t="str">
        <f>'Data shares'!C150</f>
        <v>MPHASIS</v>
      </c>
      <c r="C155" s="4">
        <f>VLOOKUP($B155,'Data shares'!$C:$FB,7)</f>
        <v>2777.2</v>
      </c>
      <c r="D155" s="82">
        <f>VLOOKUP($B155,'Data shares'!$C:$FB,98)</f>
        <v>6457000</v>
      </c>
      <c r="E155" s="165">
        <f>VLOOKUP(B155,'Snapshot (Volume)'!$A$7:$G$168,7,0)</f>
        <v>6697075</v>
      </c>
      <c r="F155" s="165">
        <f t="shared" si="54"/>
        <v>-240075</v>
      </c>
      <c r="G155" s="166">
        <f t="shared" si="55"/>
        <v>-3.5847739498213772E-2</v>
      </c>
      <c r="H155" s="165">
        <f>VLOOKUP($B155,'Data shares'!$C:$FB,66)</f>
        <v>1402225</v>
      </c>
      <c r="I155" s="165">
        <f>VLOOKUP($B155,'Data shares'!$C:$FB,67)</f>
        <v>2134825</v>
      </c>
      <c r="J155" s="81">
        <f t="shared" si="56"/>
        <v>-34.316630168749199</v>
      </c>
      <c r="K155" s="5">
        <f>VLOOKUP($B155,'Data Vlaue (Cr)'!$C:$FB,99)</f>
        <v>1798</v>
      </c>
      <c r="L155" s="81">
        <f>VLOOKUP(B155,'OI(Value)'!$A$7:$C$209,3,0)</f>
        <v>-67</v>
      </c>
      <c r="M155" s="33">
        <f t="shared" si="57"/>
        <v>-3.7263626251390431</v>
      </c>
      <c r="N155" s="5">
        <f>VLOOKUP($B155,'Data Vlaue (Cr)'!$C:$FB,67)</f>
        <v>390</v>
      </c>
      <c r="O155" s="5">
        <f>VLOOKUP($B155,'Data Vlaue (Cr)'!$C:$FB,68)</f>
        <v>594</v>
      </c>
      <c r="P155" s="5">
        <f t="shared" si="58"/>
        <v>-52.307692307692314</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Finance</v>
      </c>
      <c r="B156" s="79" t="str">
        <f>'Data shares'!C151</f>
        <v>MUTHOOTFIN</v>
      </c>
      <c r="C156" s="4">
        <f>VLOOKUP($B156,'Data shares'!$C:$FB,7)</f>
        <v>2674.3</v>
      </c>
      <c r="D156" s="82">
        <f>VLOOKUP($B156,'Data shares'!$C:$FB,98)</f>
        <v>8700175</v>
      </c>
      <c r="E156" s="165">
        <f>VLOOKUP(B156,'Snapshot (Volume)'!$A$7:$G$168,7,0)</f>
        <v>8667175</v>
      </c>
      <c r="F156" s="165">
        <f t="shared" si="54"/>
        <v>33000</v>
      </c>
      <c r="G156" s="166">
        <f t="shared" si="55"/>
        <v>3.8074689849922263E-3</v>
      </c>
      <c r="H156" s="165">
        <f>VLOOKUP($B156,'Data shares'!$C:$FB,66)</f>
        <v>3028300</v>
      </c>
      <c r="I156" s="165">
        <f>VLOOKUP($B156,'Data shares'!$C:$FB,67)</f>
        <v>7370550</v>
      </c>
      <c r="J156" s="81">
        <f t="shared" si="56"/>
        <v>-58.913513916871871</v>
      </c>
      <c r="K156" s="5">
        <f>VLOOKUP($B156,'Data Vlaue (Cr)'!$C:$FB,99)</f>
        <v>2321</v>
      </c>
      <c r="L156" s="81">
        <f>VLOOKUP(B156,'OI(Value)'!$A$7:$C$209,3,0)</f>
        <v>9</v>
      </c>
      <c r="M156" s="33">
        <f t="shared" si="57"/>
        <v>0.38776389487289958</v>
      </c>
      <c r="N156" s="5">
        <f>VLOOKUP($B156,'Data Vlaue (Cr)'!$C:$FB,67)</f>
        <v>808</v>
      </c>
      <c r="O156" s="5">
        <f>VLOOKUP($B156,'Data Vlaue (Cr)'!$C:$FB,68)</f>
        <v>1967</v>
      </c>
      <c r="P156" s="5">
        <f t="shared" si="58"/>
        <v>-143.44059405940595</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Metals</v>
      </c>
      <c r="B157" s="79" t="str">
        <f>'Data shares'!C152</f>
        <v>NATIONALUM</v>
      </c>
      <c r="C157" s="4">
        <f>VLOOKUP($B157,'Data shares'!$C:$FB,7)</f>
        <v>196.69</v>
      </c>
      <c r="D157" s="82">
        <f>VLOOKUP($B157,'Data shares'!$C:$FB,98)</f>
        <v>115496250</v>
      </c>
      <c r="E157" s="165">
        <f>VLOOKUP(B157,'Snapshot (Volume)'!$A$7:$G$168,7,0)</f>
        <v>115485000</v>
      </c>
      <c r="F157" s="165">
        <f t="shared" si="54"/>
        <v>11250</v>
      </c>
      <c r="G157" s="166">
        <f t="shared" si="55"/>
        <v>9.7415248733601764E-5</v>
      </c>
      <c r="H157" s="165">
        <f>VLOOKUP($B157,'Data shares'!$C:$FB,66)</f>
        <v>76912500</v>
      </c>
      <c r="I157" s="165">
        <f>VLOOKUP($B157,'Data shares'!$C:$FB,67)</f>
        <v>168461250</v>
      </c>
      <c r="J157" s="81">
        <f t="shared" si="56"/>
        <v>-54.344099904280661</v>
      </c>
      <c r="K157" s="5">
        <f>VLOOKUP($B157,'Data Vlaue (Cr)'!$C:$FB,99)</f>
        <v>2276</v>
      </c>
      <c r="L157" s="81">
        <f>VLOOKUP(B157,'OI(Value)'!$A$7:$C$209,3,0)</f>
        <v>0</v>
      </c>
      <c r="M157" s="33">
        <f t="shared" si="57"/>
        <v>0</v>
      </c>
      <c r="N157" s="5">
        <f>VLOOKUP($B157,'Data Vlaue (Cr)'!$C:$FB,67)</f>
        <v>1516</v>
      </c>
      <c r="O157" s="5">
        <f>VLOOKUP($B157,'Data Vlaue (Cr)'!$C:$FB,68)</f>
        <v>3320</v>
      </c>
      <c r="P157" s="5">
        <f t="shared" si="58"/>
        <v>-118.99736147757255</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New_Age</v>
      </c>
      <c r="B158" s="79" t="str">
        <f>'Data shares'!C153</f>
        <v>NAUKRI</v>
      </c>
      <c r="C158" s="4">
        <f>VLOOKUP($B158,'Data shares'!$C:$FB,7)</f>
        <v>1458.8</v>
      </c>
      <c r="D158" s="82">
        <f>VLOOKUP($B158,'Data shares'!$C:$FB,98)</f>
        <v>16617750</v>
      </c>
      <c r="E158" s="165">
        <f>VLOOKUP(B158,'Snapshot (Volume)'!$A$7:$G$168,7,0)</f>
        <v>16820625</v>
      </c>
      <c r="F158" s="165">
        <f t="shared" si="54"/>
        <v>-202875</v>
      </c>
      <c r="G158" s="166">
        <f t="shared" si="55"/>
        <v>-1.2061085720655446E-2</v>
      </c>
      <c r="H158" s="165">
        <f>VLOOKUP($B158,'Data shares'!$C:$FB,66)</f>
        <v>29693625</v>
      </c>
      <c r="I158" s="165">
        <f>VLOOKUP($B158,'Data shares'!$C:$FB,67)</f>
        <v>5072250</v>
      </c>
      <c r="J158" s="81">
        <f t="shared" si="56"/>
        <v>485.41327813100696</v>
      </c>
      <c r="K158" s="5">
        <f>VLOOKUP($B158,'Data Vlaue (Cr)'!$C:$FB,99)</f>
        <v>2419</v>
      </c>
      <c r="L158" s="81">
        <f>VLOOKUP(B158,'OI(Value)'!$A$7:$C$209,3,0)</f>
        <v>-30</v>
      </c>
      <c r="M158" s="33">
        <f t="shared" si="57"/>
        <v>-1.2401818933443571</v>
      </c>
      <c r="N158" s="5">
        <f>VLOOKUP($B158,'Data Vlaue (Cr)'!$C:$FB,67)</f>
        <v>4323</v>
      </c>
      <c r="O158" s="5">
        <f>VLOOKUP($B158,'Data Vlaue (Cr)'!$C:$FB,68)</f>
        <v>738</v>
      </c>
      <c r="P158" s="5">
        <f t="shared" si="58"/>
        <v>82.928521859819568</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Realty</v>
      </c>
      <c r="B159" s="79" t="str">
        <f>'Data shares'!C154</f>
        <v>NBCC</v>
      </c>
      <c r="C159" s="4">
        <f>VLOOKUP($B159,'Data shares'!$C:$FB,7)</f>
        <v>114.58</v>
      </c>
      <c r="D159" s="82">
        <f>VLOOKUP($B159,'Data shares'!$C:$FB,98)</f>
        <v>104728000</v>
      </c>
      <c r="E159" s="165">
        <f>VLOOKUP(B159,'Snapshot (Volume)'!$A$7:$G$168,7,0)</f>
        <v>105722500</v>
      </c>
      <c r="F159" s="165">
        <f t="shared" si="54"/>
        <v>-994500</v>
      </c>
      <c r="G159" s="166">
        <f t="shared" si="55"/>
        <v>-9.4067015063018754E-3</v>
      </c>
      <c r="H159" s="165">
        <f>VLOOKUP($B159,'Data shares'!$C:$FB,66)</f>
        <v>23419500</v>
      </c>
      <c r="I159" s="165">
        <f>VLOOKUP($B159,'Data shares'!$C:$FB,67)</f>
        <v>26721500</v>
      </c>
      <c r="J159" s="81">
        <f t="shared" si="56"/>
        <v>-12.35709073218195</v>
      </c>
      <c r="K159" s="5">
        <f>VLOOKUP($B159,'Data Vlaue (Cr)'!$C:$FB,99)</f>
        <v>1203</v>
      </c>
      <c r="L159" s="81">
        <f>VLOOKUP(B159,'OI(Value)'!$A$7:$C$209,3,0)</f>
        <v>-11</v>
      </c>
      <c r="M159" s="33">
        <f t="shared" si="57"/>
        <v>-0.91438071487946804</v>
      </c>
      <c r="N159" s="5">
        <f>VLOOKUP($B159,'Data Vlaue (Cr)'!$C:$FB,67)</f>
        <v>269</v>
      </c>
      <c r="O159" s="5">
        <f>VLOOKUP($B159,'Data Vlaue (Cr)'!$C:$FB,68)</f>
        <v>307</v>
      </c>
      <c r="P159" s="5">
        <f t="shared" si="58"/>
        <v>-14.12639405204461</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Infrastructure</v>
      </c>
      <c r="B160" s="79" t="str">
        <f>'Data shares'!C155</f>
        <v>NCC</v>
      </c>
      <c r="C160" s="4">
        <f>VLOOKUP($B160,'Data shares'!$C:$FB,7)</f>
        <v>227.42</v>
      </c>
      <c r="D160" s="82">
        <f>VLOOKUP($B160,'Data shares'!$C:$FB,98)</f>
        <v>32356800</v>
      </c>
      <c r="E160" s="165">
        <f>VLOOKUP(B160,'Snapshot (Volume)'!$A$7:$G$168,7,0)</f>
        <v>31349700</v>
      </c>
      <c r="F160" s="165">
        <f t="shared" si="54"/>
        <v>1007100</v>
      </c>
      <c r="G160" s="166">
        <f t="shared" si="55"/>
        <v>3.2124709327361986E-2</v>
      </c>
      <c r="H160" s="165">
        <f>VLOOKUP($B160,'Data shares'!$C:$FB,66)</f>
        <v>10827000</v>
      </c>
      <c r="I160" s="165">
        <f>VLOOKUP($B160,'Data shares'!$C:$FB,67)</f>
        <v>11709900</v>
      </c>
      <c r="J160" s="81">
        <f t="shared" si="56"/>
        <v>-7.5397740373530091</v>
      </c>
      <c r="K160" s="5">
        <f>VLOOKUP($B160,'Data Vlaue (Cr)'!$C:$FB,99)</f>
        <v>736</v>
      </c>
      <c r="L160" s="81">
        <f>VLOOKUP(B160,'OI(Value)'!$A$7:$C$209,3,0)</f>
        <v>23</v>
      </c>
      <c r="M160" s="33">
        <f t="shared" si="57"/>
        <v>3.125</v>
      </c>
      <c r="N160" s="5">
        <f>VLOOKUP($B160,'Data Vlaue (Cr)'!$C:$FB,67)</f>
        <v>246</v>
      </c>
      <c r="O160" s="5">
        <f>VLOOKUP($B160,'Data Vlaue (Cr)'!$C:$FB,68)</f>
        <v>266</v>
      </c>
      <c r="P160" s="5">
        <f t="shared" si="58"/>
        <v>-8.1300813008130071</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FMCG</v>
      </c>
      <c r="B161" s="79" t="str">
        <f>'Data shares'!C156</f>
        <v>NESTLEIND</v>
      </c>
      <c r="C161" s="4">
        <f>VLOOKUP($B161,'Data shares'!$C:$FB,7)</f>
        <v>2443.5</v>
      </c>
      <c r="D161" s="82">
        <f>VLOOKUP($B161,'Data shares'!$C:$FB,98)</f>
        <v>14418500</v>
      </c>
      <c r="E161" s="165">
        <f>VLOOKUP(B161,'Snapshot (Volume)'!$A$7:$G$168,7,0)</f>
        <v>14192500</v>
      </c>
      <c r="F161" s="165">
        <f t="shared" si="54"/>
        <v>226000</v>
      </c>
      <c r="G161" s="166">
        <f t="shared" si="55"/>
        <v>1.5923903470142681E-2</v>
      </c>
      <c r="H161" s="165">
        <f>VLOOKUP($B161,'Data shares'!$C:$FB,66)</f>
        <v>3358000</v>
      </c>
      <c r="I161" s="165">
        <f>VLOOKUP($B161,'Data shares'!$C:$FB,67)</f>
        <v>4037750</v>
      </c>
      <c r="J161" s="81">
        <f t="shared" si="56"/>
        <v>-16.834870905826264</v>
      </c>
      <c r="K161" s="5">
        <f>VLOOKUP($B161,'Data Vlaue (Cr)'!$C:$FB,99)</f>
        <v>3526</v>
      </c>
      <c r="L161" s="81">
        <f>VLOOKUP(B161,'OI(Value)'!$A$7:$C$209,3,0)</f>
        <v>55</v>
      </c>
      <c r="M161" s="33">
        <f t="shared" si="57"/>
        <v>1.559841179807147</v>
      </c>
      <c r="N161" s="5">
        <f>VLOOKUP($B161,'Data Vlaue (Cr)'!$C:$FB,67)</f>
        <v>821</v>
      </c>
      <c r="O161" s="5">
        <f>VLOOKUP($B161,'Data Vlaue (Cr)'!$C:$FB,68)</f>
        <v>987</v>
      </c>
      <c r="P161" s="5">
        <f t="shared" si="58"/>
        <v>-20.219244823386116</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Power</v>
      </c>
      <c r="B162" s="79" t="str">
        <f>'Data shares'!C157</f>
        <v>NHPC</v>
      </c>
      <c r="C162" s="4">
        <f>VLOOKUP($B162,'Data shares'!$C:$FB,7)</f>
        <v>86.33</v>
      </c>
      <c r="D162" s="82">
        <f>VLOOKUP($B162,'Data shares'!$C:$FB,98)</f>
        <v>105350400</v>
      </c>
      <c r="E162" s="165">
        <f>VLOOKUP(B162,'Snapshot (Volume)'!$A$7:$G$168,7,0)</f>
        <v>105491200</v>
      </c>
      <c r="F162" s="165">
        <f t="shared" si="54"/>
        <v>-140800</v>
      </c>
      <c r="G162" s="166">
        <f t="shared" si="55"/>
        <v>-1.3347084875326093E-3</v>
      </c>
      <c r="H162" s="165">
        <f>VLOOKUP($B162,'Data shares'!$C:$FB,66)</f>
        <v>17856000</v>
      </c>
      <c r="I162" s="165">
        <f>VLOOKUP($B162,'Data shares'!$C:$FB,67)</f>
        <v>15923200</v>
      </c>
      <c r="J162" s="81">
        <f t="shared" si="56"/>
        <v>12.138263665594854</v>
      </c>
      <c r="K162" s="5">
        <f>VLOOKUP($B162,'Data Vlaue (Cr)'!$C:$FB,99)</f>
        <v>912</v>
      </c>
      <c r="L162" s="81">
        <f>VLOOKUP(B162,'OI(Value)'!$A$7:$C$209,3,0)</f>
        <v>-1</v>
      </c>
      <c r="M162" s="33">
        <f t="shared" si="57"/>
        <v>-0.10964912280701754</v>
      </c>
      <c r="N162" s="5">
        <f>VLOOKUP($B162,'Data Vlaue (Cr)'!$C:$FB,67)</f>
        <v>155</v>
      </c>
      <c r="O162" s="5">
        <f>VLOOKUP($B162,'Data Vlaue (Cr)'!$C:$FB,68)</f>
        <v>138</v>
      </c>
      <c r="P162" s="5">
        <f>(N162-O162)/N162*100</f>
        <v>10.967741935483872</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Index</v>
      </c>
      <c r="B163" s="79" t="str">
        <f>'Data shares'!C158</f>
        <v>NIFTY</v>
      </c>
      <c r="C163" s="4">
        <f>VLOOKUP($B163,'Data shares'!$C:$FB,7)</f>
        <v>25060.9</v>
      </c>
      <c r="D163" s="82">
        <f>VLOOKUP($B163,'Data shares'!$C:$FB,98)</f>
        <v>505095000</v>
      </c>
      <c r="E163" s="165">
        <f>VLOOKUP(B163,'Snapshot (Volume)'!$A$7:$G$168,7,0)</f>
        <v>451801275</v>
      </c>
      <c r="F163" s="165">
        <f t="shared" si="54"/>
        <v>53293725</v>
      </c>
      <c r="G163" s="166">
        <f t="shared" si="55"/>
        <v>0.11795833245490508</v>
      </c>
      <c r="H163" s="165">
        <f>VLOOKUP($B163,'Data shares'!$C:$FB,66)</f>
        <v>4058586525</v>
      </c>
      <c r="I163" s="165">
        <f>VLOOKUP($B163,'Data shares'!$C:$FB,67)</f>
        <v>4539389250</v>
      </c>
      <c r="J163" s="81">
        <f t="shared" si="56"/>
        <v>-10.591793268224354</v>
      </c>
      <c r="K163" s="5">
        <f>VLOOKUP($B163,'Data Vlaue (Cr)'!$C:$FB,99)</f>
        <v>1267480</v>
      </c>
      <c r="L163" s="81">
        <f>VLOOKUP(B163,'OI(Value)'!$A$7:$C$209,3,0)</f>
        <v>133735</v>
      </c>
      <c r="M163" s="33">
        <f t="shared" si="57"/>
        <v>10.551251301795689</v>
      </c>
      <c r="N163" s="5">
        <f>VLOOKUP($B163,'Data Vlaue (Cr)'!$C:$FB,67)</f>
        <v>10184576</v>
      </c>
      <c r="O163" s="5">
        <f>VLOOKUP($B163,'Data Vlaue (Cr)'!$C:$FB,68)</f>
        <v>11391098</v>
      </c>
      <c r="P163" s="5">
        <f>(N163-O163)/N163*100</f>
        <v>-11.846560917214424</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Index</v>
      </c>
      <c r="B164" s="79" t="str">
        <f>'Data shares'!C159</f>
        <v>NIFTYNXT50</v>
      </c>
      <c r="C164" s="4">
        <f>VLOOKUP($B164,'Data shares'!$C:$FB,7)</f>
        <v>68253.899999999994</v>
      </c>
      <c r="D164" s="82">
        <f>VLOOKUP($B164,'Data shares'!$C:$FB,98)</f>
        <v>35125</v>
      </c>
      <c r="E164" s="165">
        <f>VLOOKUP(B164,'Snapshot (Volume)'!$A$7:$G$168,7,0)</f>
        <v>37525</v>
      </c>
      <c r="F164" s="165">
        <f t="shared" si="54"/>
        <v>-2400</v>
      </c>
      <c r="G164" s="166">
        <f t="shared" si="55"/>
        <v>-6.395736175882745E-2</v>
      </c>
      <c r="H164" s="165">
        <f>VLOOKUP($B164,'Data shares'!$C:$FB,66)</f>
        <v>19025</v>
      </c>
      <c r="I164" s="165">
        <f>VLOOKUP($B164,'Data shares'!$C:$FB,67)</f>
        <v>21450</v>
      </c>
      <c r="J164" s="81">
        <f t="shared" si="56"/>
        <v>-11.305361305361306</v>
      </c>
      <c r="K164" s="5">
        <f>VLOOKUP($B164,'Data Vlaue (Cr)'!$C:$FB,99)</f>
        <v>240</v>
      </c>
      <c r="L164" s="81">
        <f>VLOOKUP(B164,'OI(Value)'!$A$7:$C$209,3,0)</f>
        <v>-16</v>
      </c>
      <c r="M164" s="33">
        <f t="shared" si="57"/>
        <v>-6.666666666666667</v>
      </c>
      <c r="N164" s="5">
        <f>VLOOKUP($B164,'Data Vlaue (Cr)'!$C:$FB,67)</f>
        <v>130</v>
      </c>
      <c r="O164" s="5">
        <f>VLOOKUP($B164,'Data Vlaue (Cr)'!$C:$FB,68)</f>
        <v>146</v>
      </c>
      <c r="P164" s="5">
        <f>(N164-O164)/N164*100</f>
        <v>-12.307692307692308</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shares'!B231</f>
        <v>Pharma</v>
      </c>
      <c r="B166" s="79" t="str">
        <f>'Data shares'!C231</f>
        <v>ZYDUSLIFE</v>
      </c>
      <c r="C166" s="4">
        <f>VLOOKUP($B166,'Data shares'!$C:$FB,7)</f>
        <v>956.75</v>
      </c>
      <c r="D166" s="82">
        <f>VLOOKUP($B166,'Data shares'!$C:$FB,98)</f>
        <v>16453800</v>
      </c>
      <c r="E166" s="165" t="e">
        <f>VLOOKUP(B166,'Snapshot (Volume)'!$A$7:$G$168,7,0)</f>
        <v>#N/A</v>
      </c>
      <c r="F166" s="165" t="e">
        <f t="shared" si="54"/>
        <v>#N/A</v>
      </c>
      <c r="G166" s="166" t="e">
        <f t="shared" si="55"/>
        <v>#N/A</v>
      </c>
      <c r="H166" s="165">
        <f>VLOOKUP($B166,'Data shares'!$C:$FB,66)</f>
        <v>6539400</v>
      </c>
      <c r="I166" s="165">
        <f>VLOOKUP($B166,'Data shares'!$C:$FB,67)</f>
        <v>5995800</v>
      </c>
      <c r="J166" s="81">
        <f t="shared" si="56"/>
        <v>9.0663464425097562</v>
      </c>
      <c r="K166" s="5">
        <f>VLOOKUP($B166,'Data Vlaue (Cr)'!$C:$FB,99)</f>
        <v>1560</v>
      </c>
      <c r="L166" s="81">
        <f>VLOOKUP(B166,'OI(Value)'!$A$7:$C$209,3,0)</f>
        <v>4</v>
      </c>
      <c r="M166" s="33">
        <f t="shared" si="57"/>
        <v>0.25641025641025639</v>
      </c>
      <c r="N166" s="5">
        <f>VLOOKUP($B166,'Data Vlaue (Cr)'!$C:$FB,67)</f>
        <v>620</v>
      </c>
      <c r="O166" s="5">
        <f>VLOOKUP($B166,'Data Vlaue (Cr)'!$C:$FB,68)</f>
        <v>568</v>
      </c>
      <c r="P166" s="5">
        <f>(N166-O166)/N166*100</f>
        <v>8.3870967741935498</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3" activePane="bottomLeft" state="frozen"/>
      <selection pane="bottomLeft" sqref="A1:XFD1"/>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45860</v>
      </c>
      <c r="C6" s="71" t="s">
        <v>333</v>
      </c>
      <c r="D6" s="71" t="s">
        <v>328</v>
      </c>
      <c r="E6" s="66">
        <f>B6</f>
        <v>45860</v>
      </c>
      <c r="F6" s="71" t="s">
        <v>333</v>
      </c>
      <c r="G6" s="71" t="s">
        <v>328</v>
      </c>
      <c r="H6" s="66">
        <f>B6</f>
        <v>45860</v>
      </c>
      <c r="I6" s="71" t="s">
        <v>333</v>
      </c>
      <c r="J6" s="71" t="s">
        <v>328</v>
      </c>
      <c r="K6" s="66">
        <f>B6</f>
        <v>45860</v>
      </c>
      <c r="L6" s="71" t="s">
        <v>333</v>
      </c>
      <c r="M6" s="71" t="s">
        <v>328</v>
      </c>
      <c r="N6" s="71" t="s">
        <v>339</v>
      </c>
      <c r="O6" s="71" t="s">
        <v>328</v>
      </c>
    </row>
    <row r="7" spans="1:15" x14ac:dyDescent="0.25">
      <c r="A7" s="100" t="str">
        <f>'OI(Value)'!A7</f>
        <v>360ONE</v>
      </c>
      <c r="B7" s="82">
        <f>VLOOKUP(A7,'Data shares'!$C$2:$CV$231,98,0)</f>
        <v>7964500</v>
      </c>
      <c r="C7" s="82">
        <f>VLOOKUP(A7,'Data shares'!$C$2:$CX$231,100,0)</f>
        <v>4585000</v>
      </c>
      <c r="D7" s="141">
        <f>VLOOKUP(A7,'Data shares'!$C$2:$CY$554,101,0)</f>
        <v>1.3567</v>
      </c>
      <c r="E7" s="86">
        <f>VLOOKUP($A7,'Data shares'!$C:$FA,74)</f>
        <v>3653000</v>
      </c>
      <c r="F7" s="86">
        <f>VLOOKUP($A7,'Data shares'!$C:$FA,76)</f>
        <v>1838000</v>
      </c>
      <c r="G7" s="87">
        <f>VLOOKUP(A7,'Data shares'!$C$2:$CA$231,77,0)</f>
        <v>1.0126999999999999</v>
      </c>
      <c r="H7" s="86">
        <f>VLOOKUP($A7,'Data shares'!$C:$FA,90)</f>
        <v>2704500</v>
      </c>
      <c r="I7" s="86">
        <f>VLOOKUP($A7,'Data shares'!$C:$FA,92)</f>
        <v>1693500</v>
      </c>
      <c r="J7" s="87">
        <f>VLOOKUP($A7,'Data shares'!$C:$FA,93)</f>
        <v>1.6751</v>
      </c>
      <c r="K7" s="86">
        <f>VLOOKUP($A7,'Data shares'!$C:$FA,94)</f>
        <v>1607000</v>
      </c>
      <c r="L7" s="86">
        <f>VLOOKUP($A7,'Data shares'!$C:$FA,96)</f>
        <v>1053500</v>
      </c>
      <c r="M7" s="87">
        <f>VLOOKUP($A7,'Data shares'!$C:$FA,97)</f>
        <v>1.9033</v>
      </c>
      <c r="N7" s="86">
        <f>VLOOKUP($A7,'Data shares'!$C:$FA,78)</f>
        <v>3366500</v>
      </c>
      <c r="O7" s="87">
        <f>VLOOKUP($A7,'Data shares'!$C:$FA,81)</f>
        <v>0.90200000000000002</v>
      </c>
    </row>
    <row r="8" spans="1:15" x14ac:dyDescent="0.25">
      <c r="A8" s="100" t="str">
        <f>'OI(Value)'!A8</f>
        <v>AARTIIND</v>
      </c>
      <c r="B8" s="82">
        <f>VLOOKUP(A8,'Data shares'!$C$2:$CV$231,98,0)</f>
        <v>35618650</v>
      </c>
      <c r="C8" s="82">
        <f>VLOOKUP(A8,'Data shares'!$C$2:$CX$231,100,0)</f>
        <v>7381575</v>
      </c>
      <c r="D8" s="141">
        <f>VLOOKUP(A8,'Data shares'!$C$2:$CY$554,101,0)</f>
        <v>0.26140000000000002</v>
      </c>
      <c r="E8" s="86">
        <f>VLOOKUP($A8,'Data shares'!$C:$FA,74)</f>
        <v>12019075</v>
      </c>
      <c r="F8" s="86">
        <f>VLOOKUP($A8,'Data shares'!$C:$FA,76)</f>
        <v>-202725</v>
      </c>
      <c r="G8" s="87">
        <f>VLOOKUP(A8,'Data shares'!$C$2:$CA$231,77,0)</f>
        <v>-1.66E-2</v>
      </c>
      <c r="H8" s="86">
        <f>VLOOKUP($A8,'Data shares'!$C:$FA,90)</f>
        <v>18820300</v>
      </c>
      <c r="I8" s="86">
        <f>VLOOKUP($A8,'Data shares'!$C:$FA,92)</f>
        <v>6884700</v>
      </c>
      <c r="J8" s="87">
        <f>VLOOKUP($A8,'Data shares'!$C:$FA,93)</f>
        <v>0.57679999999999998</v>
      </c>
      <c r="K8" s="86">
        <f>VLOOKUP($A8,'Data shares'!$C:$FA,94)</f>
        <v>4779275</v>
      </c>
      <c r="L8" s="86">
        <f>VLOOKUP($A8,'Data shares'!$C:$FA,96)</f>
        <v>699600</v>
      </c>
      <c r="M8" s="87">
        <f>VLOOKUP($A8,'Data shares'!$C:$FA,97)</f>
        <v>0.17150000000000001</v>
      </c>
      <c r="N8" s="86">
        <f>VLOOKUP($A8,'Data shares'!$C:$FA,78)</f>
        <v>12019075</v>
      </c>
      <c r="O8" s="87">
        <f>VLOOKUP($A8,'Data shares'!$C:$FA,81)</f>
        <v>-1.66E-2</v>
      </c>
    </row>
    <row r="9" spans="1:15" x14ac:dyDescent="0.25">
      <c r="A9" s="100" t="str">
        <f>'OI(Value)'!A9</f>
        <v>ABB</v>
      </c>
      <c r="B9" s="82">
        <f>VLOOKUP(A9,'Data shares'!$C$2:$CV$231,98,0)</f>
        <v>5803000</v>
      </c>
      <c r="C9" s="82">
        <f>VLOOKUP(A9,'Data shares'!$C$2:$CX$231,100,0)</f>
        <v>21250</v>
      </c>
      <c r="D9" s="141">
        <f>VLOOKUP(A9,'Data shares'!$C$2:$CY$554,101,0)</f>
        <v>3.7000000000000002E-3</v>
      </c>
      <c r="E9" s="86">
        <f>VLOOKUP($A9,'Data shares'!$C:$FA,74)</f>
        <v>3055000</v>
      </c>
      <c r="F9" s="86">
        <f>VLOOKUP($A9,'Data shares'!$C:$FA,76)</f>
        <v>-17875</v>
      </c>
      <c r="G9" s="87">
        <f>VLOOKUP(A9,'Data shares'!$C$2:$CA$231,77,0)</f>
        <v>-5.7999999999999996E-3</v>
      </c>
      <c r="H9" s="86">
        <f>VLOOKUP($A9,'Data shares'!$C:$FA,90)</f>
        <v>1765500</v>
      </c>
      <c r="I9" s="86">
        <f>VLOOKUP($A9,'Data shares'!$C:$FA,92)</f>
        <v>93000</v>
      </c>
      <c r="J9" s="87">
        <f>VLOOKUP($A9,'Data shares'!$C:$FA,93)</f>
        <v>5.5599999999999997E-2</v>
      </c>
      <c r="K9" s="86">
        <f>VLOOKUP($A9,'Data shares'!$C:$FA,94)</f>
        <v>982500</v>
      </c>
      <c r="L9" s="86">
        <f>VLOOKUP($A9,'Data shares'!$C:$FA,96)</f>
        <v>-53875</v>
      </c>
      <c r="M9" s="87">
        <f>VLOOKUP($A9,'Data shares'!$C:$FA,97)</f>
        <v>-5.1999999999999998E-2</v>
      </c>
      <c r="N9" s="86">
        <f>VLOOKUP($A9,'Data shares'!$C:$FA,78)</f>
        <v>2812125</v>
      </c>
      <c r="O9" s="87">
        <f>VLOOKUP($A9,'Data shares'!$C:$FA,81)</f>
        <v>-6.1999999999999998E-3</v>
      </c>
    </row>
    <row r="10" spans="1:15" x14ac:dyDescent="0.25">
      <c r="A10" s="100" t="str">
        <f>'OI(Value)'!A10</f>
        <v>ABCAPITAL</v>
      </c>
      <c r="B10" s="82">
        <f>VLOOKUP(A10,'Data shares'!$C$2:$CV$231,98,0)</f>
        <v>91639100</v>
      </c>
      <c r="C10" s="82">
        <f>VLOOKUP(A10,'Data shares'!$C$2:$CX$231,100,0)</f>
        <v>-703700</v>
      </c>
      <c r="D10" s="141">
        <f>VLOOKUP(A10,'Data shares'!$C$2:$CY$554,101,0)</f>
        <v>-7.6E-3</v>
      </c>
      <c r="E10" s="86">
        <f>VLOOKUP($A10,'Data shares'!$C:$FA,74)</f>
        <v>54429800</v>
      </c>
      <c r="F10" s="86">
        <f>VLOOKUP($A10,'Data shares'!$C:$FA,76)</f>
        <v>-517700</v>
      </c>
      <c r="G10" s="87">
        <f>VLOOKUP(A10,'Data shares'!$C$2:$CA$231,77,0)</f>
        <v>-9.4000000000000004E-3</v>
      </c>
      <c r="H10" s="86">
        <f>VLOOKUP($A10,'Data shares'!$C:$FA,90)</f>
        <v>23184900</v>
      </c>
      <c r="I10" s="86">
        <f>VLOOKUP($A10,'Data shares'!$C:$FA,92)</f>
        <v>-145700</v>
      </c>
      <c r="J10" s="87">
        <f>VLOOKUP($A10,'Data shares'!$C:$FA,93)</f>
        <v>-6.1999999999999998E-3</v>
      </c>
      <c r="K10" s="86">
        <f>VLOOKUP($A10,'Data shares'!$C:$FA,94)</f>
        <v>14024400</v>
      </c>
      <c r="L10" s="86">
        <f>VLOOKUP($A10,'Data shares'!$C:$FA,96)</f>
        <v>-40300</v>
      </c>
      <c r="M10" s="87">
        <f>VLOOKUP($A10,'Data shares'!$C:$FA,97)</f>
        <v>-2.8999999999999998E-3</v>
      </c>
      <c r="N10" s="86">
        <f>VLOOKUP($A10,'Data shares'!$C:$FA,78)</f>
        <v>49100900</v>
      </c>
      <c r="O10" s="87">
        <f>VLOOKUP($A10,'Data shares'!$C:$FA,81)</f>
        <v>-1.37E-2</v>
      </c>
    </row>
    <row r="11" spans="1:15" x14ac:dyDescent="0.25">
      <c r="A11" s="100" t="str">
        <f>'OI(Value)'!A11</f>
        <v>ABFRL</v>
      </c>
      <c r="B11" s="82">
        <f>VLOOKUP(A11,'Data shares'!$C$2:$CV$231,98,0)</f>
        <v>110715800</v>
      </c>
      <c r="C11" s="82">
        <f>VLOOKUP(A11,'Data shares'!$C$2:$CX$231,100,0)</f>
        <v>-798200</v>
      </c>
      <c r="D11" s="141">
        <f>VLOOKUP(A11,'Data shares'!$C$2:$CY$554,101,0)</f>
        <v>-7.1999999999999998E-3</v>
      </c>
      <c r="E11" s="86">
        <f>VLOOKUP($A11,'Data shares'!$C:$FA,74)</f>
        <v>59573800</v>
      </c>
      <c r="F11" s="86">
        <f>VLOOKUP($A11,'Data shares'!$C:$FA,76)</f>
        <v>-403000</v>
      </c>
      <c r="G11" s="87">
        <f>VLOOKUP(A11,'Data shares'!$C$2:$CA$231,77,0)</f>
        <v>-6.7000000000000002E-3</v>
      </c>
      <c r="H11" s="86">
        <f>VLOOKUP($A11,'Data shares'!$C:$FA,90)</f>
        <v>30040400</v>
      </c>
      <c r="I11" s="86">
        <f>VLOOKUP($A11,'Data shares'!$C:$FA,92)</f>
        <v>-626600</v>
      </c>
      <c r="J11" s="87">
        <f>VLOOKUP($A11,'Data shares'!$C:$FA,93)</f>
        <v>-2.0400000000000001E-2</v>
      </c>
      <c r="K11" s="86">
        <f>VLOOKUP($A11,'Data shares'!$C:$FA,94)</f>
        <v>21101600</v>
      </c>
      <c r="L11" s="86">
        <f>VLOOKUP($A11,'Data shares'!$C:$FA,96)</f>
        <v>231400</v>
      </c>
      <c r="M11" s="87">
        <f>VLOOKUP($A11,'Data shares'!$C:$FA,97)</f>
        <v>1.11E-2</v>
      </c>
      <c r="N11" s="86">
        <f>VLOOKUP($A11,'Data shares'!$C:$FA,78)</f>
        <v>50741600</v>
      </c>
      <c r="O11" s="87">
        <f>VLOOKUP($A11,'Data shares'!$C:$FA,81)</f>
        <v>-2.3300000000000001E-2</v>
      </c>
    </row>
    <row r="12" spans="1:15" x14ac:dyDescent="0.25">
      <c r="A12" s="100" t="str">
        <f>'OI(Value)'!A12</f>
        <v>ACC</v>
      </c>
      <c r="B12" s="82">
        <f>VLOOKUP(A12,'Data shares'!$C$2:$CV$231,98,0)</f>
        <v>6754800</v>
      </c>
      <c r="C12" s="82">
        <f>VLOOKUP(A12,'Data shares'!$C$2:$CX$231,100,0)</f>
        <v>63000</v>
      </c>
      <c r="D12" s="141">
        <f>VLOOKUP(A12,'Data shares'!$C$2:$CY$554,101,0)</f>
        <v>9.4000000000000004E-3</v>
      </c>
      <c r="E12" s="86">
        <f>VLOOKUP($A12,'Data shares'!$C:$FA,74)</f>
        <v>3634800</v>
      </c>
      <c r="F12" s="86">
        <f>VLOOKUP($A12,'Data shares'!$C:$FA,76)</f>
        <v>-80400</v>
      </c>
      <c r="G12" s="87">
        <f>VLOOKUP(A12,'Data shares'!$C$2:$CA$231,77,0)</f>
        <v>-2.1600000000000001E-2</v>
      </c>
      <c r="H12" s="86">
        <f>VLOOKUP($A12,'Data shares'!$C:$FA,90)</f>
        <v>1913100</v>
      </c>
      <c r="I12" s="86">
        <f>VLOOKUP($A12,'Data shares'!$C:$FA,92)</f>
        <v>78300</v>
      </c>
      <c r="J12" s="87">
        <f>VLOOKUP($A12,'Data shares'!$C:$FA,93)</f>
        <v>4.2700000000000002E-2</v>
      </c>
      <c r="K12" s="86">
        <f>VLOOKUP($A12,'Data shares'!$C:$FA,94)</f>
        <v>1206900</v>
      </c>
      <c r="L12" s="86">
        <f>VLOOKUP($A12,'Data shares'!$C:$FA,96)</f>
        <v>65100</v>
      </c>
      <c r="M12" s="87">
        <f>VLOOKUP($A12,'Data shares'!$C:$FA,97)</f>
        <v>5.7000000000000002E-2</v>
      </c>
      <c r="N12" s="86">
        <f>VLOOKUP($A12,'Data shares'!$C:$FA,78)</f>
        <v>3634800</v>
      </c>
      <c r="O12" s="87">
        <f>VLOOKUP($A12,'Data shares'!$C:$FA,81)</f>
        <v>-2.1600000000000001E-2</v>
      </c>
    </row>
    <row r="13" spans="1:15" x14ac:dyDescent="0.25">
      <c r="A13" s="100" t="str">
        <f>'OI(Value)'!A13</f>
        <v>ADANIENSOL</v>
      </c>
      <c r="B13" s="82">
        <f>VLOOKUP(A13,'Data shares'!$C$2:$CV$231,98,0)</f>
        <v>25981425</v>
      </c>
      <c r="C13" s="82">
        <f>VLOOKUP(A13,'Data shares'!$C$2:$CX$231,100,0)</f>
        <v>-257850</v>
      </c>
      <c r="D13" s="141">
        <f>VLOOKUP(A13,'Data shares'!$C$2:$CY$554,101,0)</f>
        <v>-9.7999999999999997E-3</v>
      </c>
      <c r="E13" s="86">
        <f>VLOOKUP($A13,'Data shares'!$C:$FA,74)</f>
        <v>19800450</v>
      </c>
      <c r="F13" s="86">
        <f>VLOOKUP($A13,'Data shares'!$C:$FA,76)</f>
        <v>-138375</v>
      </c>
      <c r="G13" s="87">
        <f>VLOOKUP(A13,'Data shares'!$C$2:$CA$231,77,0)</f>
        <v>-6.8999999999999999E-3</v>
      </c>
      <c r="H13" s="86">
        <f>VLOOKUP($A13,'Data shares'!$C:$FA,90)</f>
        <v>3671325</v>
      </c>
      <c r="I13" s="86">
        <f>VLOOKUP($A13,'Data shares'!$C:$FA,92)</f>
        <v>-94500</v>
      </c>
      <c r="J13" s="87">
        <f>VLOOKUP($A13,'Data shares'!$C:$FA,93)</f>
        <v>-2.5100000000000001E-2</v>
      </c>
      <c r="K13" s="86">
        <f>VLOOKUP($A13,'Data shares'!$C:$FA,94)</f>
        <v>2509650</v>
      </c>
      <c r="L13" s="86">
        <f>VLOOKUP($A13,'Data shares'!$C:$FA,96)</f>
        <v>-24975</v>
      </c>
      <c r="M13" s="87">
        <f>VLOOKUP($A13,'Data shares'!$C:$FA,97)</f>
        <v>-9.9000000000000008E-3</v>
      </c>
      <c r="N13" s="86">
        <f>VLOOKUP($A13,'Data shares'!$C:$FA,78)</f>
        <v>18837225</v>
      </c>
      <c r="O13" s="87">
        <f>VLOOKUP($A13,'Data shares'!$C:$FA,81)</f>
        <v>-1.0500000000000001E-2</v>
      </c>
    </row>
    <row r="14" spans="1:15" x14ac:dyDescent="0.25">
      <c r="A14" s="100" t="str">
        <f>'OI(Value)'!A14</f>
        <v>ADANIENT</v>
      </c>
      <c r="B14" s="82">
        <f>VLOOKUP(A14,'Data shares'!$C$2:$CV$231,98,0)</f>
        <v>33225000</v>
      </c>
      <c r="C14" s="82">
        <f>VLOOKUP(A14,'Data shares'!$C$2:$CX$231,100,0)</f>
        <v>160200</v>
      </c>
      <c r="D14" s="141">
        <f>VLOOKUP(A14,'Data shares'!$C$2:$CY$554,101,0)</f>
        <v>4.7999999999999996E-3</v>
      </c>
      <c r="E14" s="86">
        <f>VLOOKUP($A14,'Data shares'!$C:$FA,74)</f>
        <v>18248700</v>
      </c>
      <c r="F14" s="86">
        <f>VLOOKUP($A14,'Data shares'!$C:$FA,76)</f>
        <v>40500</v>
      </c>
      <c r="G14" s="87">
        <f>VLOOKUP(A14,'Data shares'!$C$2:$CA$231,77,0)</f>
        <v>2.2000000000000001E-3</v>
      </c>
      <c r="H14" s="86">
        <f>VLOOKUP($A14,'Data shares'!$C:$FA,90)</f>
        <v>8240700</v>
      </c>
      <c r="I14" s="86">
        <f>VLOOKUP($A14,'Data shares'!$C:$FA,92)</f>
        <v>172500</v>
      </c>
      <c r="J14" s="87">
        <f>VLOOKUP($A14,'Data shares'!$C:$FA,93)</f>
        <v>2.1399999999999999E-2</v>
      </c>
      <c r="K14" s="86">
        <f>VLOOKUP($A14,'Data shares'!$C:$FA,94)</f>
        <v>6735600</v>
      </c>
      <c r="L14" s="86">
        <f>VLOOKUP($A14,'Data shares'!$C:$FA,96)</f>
        <v>-52800</v>
      </c>
      <c r="M14" s="87">
        <f>VLOOKUP($A14,'Data shares'!$C:$FA,97)</f>
        <v>-7.7999999999999996E-3</v>
      </c>
      <c r="N14" s="86">
        <f>VLOOKUP($A14,'Data shares'!$C:$FA,78)</f>
        <v>17350500</v>
      </c>
      <c r="O14" s="87">
        <f>VLOOKUP($A14,'Data shares'!$C:$FA,81)</f>
        <v>-2.3999999999999998E-3</v>
      </c>
    </row>
    <row r="15" spans="1:15" x14ac:dyDescent="0.25">
      <c r="A15" s="100" t="str">
        <f>'OI(Value)'!A15</f>
        <v>ADANIGREEN</v>
      </c>
      <c r="B15" s="82">
        <f>VLOOKUP(A15,'Data shares'!$C$2:$CV$231,98,0)</f>
        <v>32196000</v>
      </c>
      <c r="C15" s="82">
        <f>VLOOKUP(A15,'Data shares'!$C$2:$CX$231,100,0)</f>
        <v>-439800</v>
      </c>
      <c r="D15" s="141">
        <f>VLOOKUP(A15,'Data shares'!$C$2:$CY$554,101,0)</f>
        <v>-1.35E-2</v>
      </c>
      <c r="E15" s="86">
        <f>VLOOKUP($A15,'Data shares'!$C:$FA,74)</f>
        <v>19807800</v>
      </c>
      <c r="F15" s="86">
        <f>VLOOKUP($A15,'Data shares'!$C:$FA,76)</f>
        <v>184200</v>
      </c>
      <c r="G15" s="87">
        <f>VLOOKUP(A15,'Data shares'!$C$2:$CA$231,77,0)</f>
        <v>9.4000000000000004E-3</v>
      </c>
      <c r="H15" s="86">
        <f>VLOOKUP($A15,'Data shares'!$C:$FA,90)</f>
        <v>7718400</v>
      </c>
      <c r="I15" s="86">
        <f>VLOOKUP($A15,'Data shares'!$C:$FA,92)</f>
        <v>-661200</v>
      </c>
      <c r="J15" s="87">
        <f>VLOOKUP($A15,'Data shares'!$C:$FA,93)</f>
        <v>-7.8899999999999998E-2</v>
      </c>
      <c r="K15" s="86">
        <f>VLOOKUP($A15,'Data shares'!$C:$FA,94)</f>
        <v>4669800</v>
      </c>
      <c r="L15" s="86">
        <f>VLOOKUP($A15,'Data shares'!$C:$FA,96)</f>
        <v>37200</v>
      </c>
      <c r="M15" s="87">
        <f>VLOOKUP($A15,'Data shares'!$C:$FA,97)</f>
        <v>8.0000000000000002E-3</v>
      </c>
      <c r="N15" s="86">
        <f>VLOOKUP($A15,'Data shares'!$C:$FA,78)</f>
        <v>18234600</v>
      </c>
      <c r="O15" s="87">
        <f>VLOOKUP($A15,'Data shares'!$C:$FA,81)</f>
        <v>-2.8999999999999998E-3</v>
      </c>
    </row>
    <row r="16" spans="1:15" x14ac:dyDescent="0.25">
      <c r="A16" s="100" t="str">
        <f>'OI(Value)'!A16</f>
        <v>ADANIPORTS</v>
      </c>
      <c r="B16" s="82">
        <f>VLOOKUP(A16,'Data shares'!$C$2:$CV$231,98,0)</f>
        <v>36632475</v>
      </c>
      <c r="C16" s="82">
        <f>VLOOKUP(A16,'Data shares'!$C$2:$CX$231,100,0)</f>
        <v>403275</v>
      </c>
      <c r="D16" s="141">
        <f>VLOOKUP(A16,'Data shares'!$C$2:$CY$554,101,0)</f>
        <v>1.11E-2</v>
      </c>
      <c r="E16" s="86">
        <f>VLOOKUP($A16,'Data shares'!$C:$FA,74)</f>
        <v>22491250</v>
      </c>
      <c r="F16" s="86">
        <f>VLOOKUP($A16,'Data shares'!$C:$FA,76)</f>
        <v>9025</v>
      </c>
      <c r="G16" s="87">
        <f>VLOOKUP(A16,'Data shares'!$C$2:$CA$231,77,0)</f>
        <v>4.0000000000000002E-4</v>
      </c>
      <c r="H16" s="86">
        <f>VLOOKUP($A16,'Data shares'!$C:$FA,90)</f>
        <v>8110150</v>
      </c>
      <c r="I16" s="86">
        <f>VLOOKUP($A16,'Data shares'!$C:$FA,92)</f>
        <v>223250</v>
      </c>
      <c r="J16" s="87">
        <f>VLOOKUP($A16,'Data shares'!$C:$FA,93)</f>
        <v>2.8299999999999999E-2</v>
      </c>
      <c r="K16" s="86">
        <f>VLOOKUP($A16,'Data shares'!$C:$FA,94)</f>
        <v>6031075</v>
      </c>
      <c r="L16" s="86">
        <f>VLOOKUP($A16,'Data shares'!$C:$FA,96)</f>
        <v>171000</v>
      </c>
      <c r="M16" s="87">
        <f>VLOOKUP($A16,'Data shares'!$C:$FA,97)</f>
        <v>2.92E-2</v>
      </c>
      <c r="N16" s="86">
        <f>VLOOKUP($A16,'Data shares'!$C:$FA,78)</f>
        <v>20332850</v>
      </c>
      <c r="O16" s="87">
        <f>VLOOKUP($A16,'Data shares'!$C:$FA,81)</f>
        <v>-3.1800000000000002E-2</v>
      </c>
    </row>
    <row r="17" spans="1:15" x14ac:dyDescent="0.25">
      <c r="A17" s="100" t="str">
        <f>'OI(Value)'!A17</f>
        <v>ALKEM</v>
      </c>
      <c r="B17" s="82">
        <f>VLOOKUP(A17,'Data shares'!$C$2:$CV$231,98,0)</f>
        <v>1763250</v>
      </c>
      <c r="C17" s="82">
        <f>VLOOKUP(A17,'Data shares'!$C$2:$CX$231,100,0)</f>
        <v>18250</v>
      </c>
      <c r="D17" s="141">
        <f>VLOOKUP(A17,'Data shares'!$C$2:$CY$554,101,0)</f>
        <v>1.0500000000000001E-2</v>
      </c>
      <c r="E17" s="86">
        <f>VLOOKUP($A17,'Data shares'!$C:$FA,74)</f>
        <v>1213000</v>
      </c>
      <c r="F17" s="86">
        <f>VLOOKUP($A17,'Data shares'!$C:$FA,76)</f>
        <v>-1000</v>
      </c>
      <c r="G17" s="87">
        <f>VLOOKUP(A17,'Data shares'!$C$2:$CA$231,77,0)</f>
        <v>-8.0000000000000004E-4</v>
      </c>
      <c r="H17" s="86">
        <f>VLOOKUP($A17,'Data shares'!$C:$FA,90)</f>
        <v>349500</v>
      </c>
      <c r="I17" s="86">
        <f>VLOOKUP($A17,'Data shares'!$C:$FA,92)</f>
        <v>17250</v>
      </c>
      <c r="J17" s="87">
        <f>VLOOKUP($A17,'Data shares'!$C:$FA,93)</f>
        <v>5.1900000000000002E-2</v>
      </c>
      <c r="K17" s="86">
        <f>VLOOKUP($A17,'Data shares'!$C:$FA,94)</f>
        <v>200750</v>
      </c>
      <c r="L17" s="86">
        <f>VLOOKUP($A17,'Data shares'!$C:$FA,96)</f>
        <v>2000</v>
      </c>
      <c r="M17" s="87">
        <f>VLOOKUP($A17,'Data shares'!$C:$FA,97)</f>
        <v>1.01E-2</v>
      </c>
      <c r="N17" s="86">
        <f>VLOOKUP($A17,'Data shares'!$C:$FA,78)</f>
        <v>1139125</v>
      </c>
      <c r="O17" s="87">
        <f>VLOOKUP($A17,'Data shares'!$C:$FA,81)</f>
        <v>-4.4999999999999997E-3</v>
      </c>
    </row>
    <row r="18" spans="1:15" x14ac:dyDescent="0.25">
      <c r="A18" s="100" t="str">
        <f>'OI(Value)'!A18</f>
        <v>AMBER</v>
      </c>
      <c r="B18" s="82">
        <f>VLOOKUP(A18,'Data shares'!$C$2:$CV$231,98,0)</f>
        <v>806700</v>
      </c>
      <c r="C18" s="82">
        <f>VLOOKUP(A18,'Data shares'!$C$2:$CX$231,100,0)</f>
        <v>-8600</v>
      </c>
      <c r="D18" s="141">
        <f>VLOOKUP(A18,'Data shares'!$C$2:$CY$554,101,0)</f>
        <v>-1.0500000000000001E-2</v>
      </c>
      <c r="E18" s="86">
        <f>VLOOKUP($A18,'Data shares'!$C:$FA,74)</f>
        <v>321000</v>
      </c>
      <c r="F18" s="86">
        <f>VLOOKUP($A18,'Data shares'!$C:$FA,76)</f>
        <v>-800</v>
      </c>
      <c r="G18" s="87">
        <f>VLOOKUP(A18,'Data shares'!$C$2:$CA$231,77,0)</f>
        <v>-2.5000000000000001E-3</v>
      </c>
      <c r="H18" s="86">
        <f>VLOOKUP($A18,'Data shares'!$C:$FA,90)</f>
        <v>306500</v>
      </c>
      <c r="I18" s="86">
        <f>VLOOKUP($A18,'Data shares'!$C:$FA,92)</f>
        <v>-8400</v>
      </c>
      <c r="J18" s="87">
        <f>VLOOKUP($A18,'Data shares'!$C:$FA,93)</f>
        <v>-2.6700000000000002E-2</v>
      </c>
      <c r="K18" s="86">
        <f>VLOOKUP($A18,'Data shares'!$C:$FA,94)</f>
        <v>179200</v>
      </c>
      <c r="L18" s="86">
        <f>VLOOKUP($A18,'Data shares'!$C:$FA,96)</f>
        <v>600</v>
      </c>
      <c r="M18" s="87">
        <f>VLOOKUP($A18,'Data shares'!$C:$FA,97)</f>
        <v>3.3999999999999998E-3</v>
      </c>
      <c r="N18" s="86">
        <f>VLOOKUP($A18,'Data shares'!$C:$FA,78)</f>
        <v>298900</v>
      </c>
      <c r="O18" s="87">
        <f>VLOOKUP($A18,'Data shares'!$C:$FA,81)</f>
        <v>-8.3000000000000001E-3</v>
      </c>
    </row>
    <row r="19" spans="1:15" x14ac:dyDescent="0.25">
      <c r="A19" s="100" t="str">
        <f>'OI(Value)'!A19</f>
        <v>AMBUJACEM</v>
      </c>
      <c r="B19" s="82">
        <f>VLOOKUP(A19,'Data shares'!$C$2:$CV$231,98,0)</f>
        <v>45256050</v>
      </c>
      <c r="C19" s="82">
        <f>VLOOKUP(A19,'Data shares'!$C$2:$CX$231,100,0)</f>
        <v>114450</v>
      </c>
      <c r="D19" s="141">
        <f>VLOOKUP(A19,'Data shares'!$C$2:$CY$554,101,0)</f>
        <v>2.5000000000000001E-3</v>
      </c>
      <c r="E19" s="86">
        <f>VLOOKUP($A19,'Data shares'!$C:$FA,74)</f>
        <v>28242900</v>
      </c>
      <c r="F19" s="86">
        <f>VLOOKUP($A19,'Data shares'!$C:$FA,76)</f>
        <v>-49350</v>
      </c>
      <c r="G19" s="87">
        <f>VLOOKUP(A19,'Data shares'!$C$2:$CA$231,77,0)</f>
        <v>-1.6999999999999999E-3</v>
      </c>
      <c r="H19" s="86">
        <f>VLOOKUP($A19,'Data shares'!$C:$FA,90)</f>
        <v>9138150</v>
      </c>
      <c r="I19" s="86">
        <f>VLOOKUP($A19,'Data shares'!$C:$FA,92)</f>
        <v>-559650</v>
      </c>
      <c r="J19" s="87">
        <f>VLOOKUP($A19,'Data shares'!$C:$FA,93)</f>
        <v>-5.7700000000000001E-2</v>
      </c>
      <c r="K19" s="86">
        <f>VLOOKUP($A19,'Data shares'!$C:$FA,94)</f>
        <v>7875000</v>
      </c>
      <c r="L19" s="86">
        <f>VLOOKUP($A19,'Data shares'!$C:$FA,96)</f>
        <v>723450</v>
      </c>
      <c r="M19" s="87">
        <f>VLOOKUP($A19,'Data shares'!$C:$FA,97)</f>
        <v>0.1012</v>
      </c>
      <c r="N19" s="86">
        <f>VLOOKUP($A19,'Data shares'!$C:$FA,78)</f>
        <v>26362350</v>
      </c>
      <c r="O19" s="87">
        <f>VLOOKUP($A19,'Data shares'!$C:$FA,81)</f>
        <v>-1.44E-2</v>
      </c>
    </row>
    <row r="20" spans="1:15" x14ac:dyDescent="0.25">
      <c r="A20" s="100" t="str">
        <f>'OI(Value)'!A20</f>
        <v>ANGELONE</v>
      </c>
      <c r="B20" s="82">
        <f>VLOOKUP(A20,'Data shares'!$C$2:$CV$231,98,0)</f>
        <v>8938750</v>
      </c>
      <c r="C20" s="82">
        <f>VLOOKUP(A20,'Data shares'!$C$2:$CX$231,100,0)</f>
        <v>-131500</v>
      </c>
      <c r="D20" s="141">
        <f>VLOOKUP(A20,'Data shares'!$C$2:$CY$554,101,0)</f>
        <v>-1.4500000000000001E-2</v>
      </c>
      <c r="E20" s="86">
        <f>VLOOKUP($A20,'Data shares'!$C:$FA,74)</f>
        <v>2861500</v>
      </c>
      <c r="F20" s="86">
        <f>VLOOKUP($A20,'Data shares'!$C:$FA,76)</f>
        <v>-127000</v>
      </c>
      <c r="G20" s="87">
        <f>VLOOKUP(A20,'Data shares'!$C$2:$CA$231,77,0)</f>
        <v>-4.2500000000000003E-2</v>
      </c>
      <c r="H20" s="86">
        <f>VLOOKUP($A20,'Data shares'!$C:$FA,90)</f>
        <v>3855250</v>
      </c>
      <c r="I20" s="86">
        <f>VLOOKUP($A20,'Data shares'!$C:$FA,92)</f>
        <v>211250</v>
      </c>
      <c r="J20" s="87">
        <f>VLOOKUP($A20,'Data shares'!$C:$FA,93)</f>
        <v>5.8000000000000003E-2</v>
      </c>
      <c r="K20" s="86">
        <f>VLOOKUP($A20,'Data shares'!$C:$FA,94)</f>
        <v>2222000</v>
      </c>
      <c r="L20" s="86">
        <f>VLOOKUP($A20,'Data shares'!$C:$FA,96)</f>
        <v>-215750</v>
      </c>
      <c r="M20" s="87">
        <f>VLOOKUP($A20,'Data shares'!$C:$FA,97)</f>
        <v>-8.8499999999999995E-2</v>
      </c>
      <c r="N20" s="86">
        <f>VLOOKUP($A20,'Data shares'!$C:$FA,78)</f>
        <v>2158250</v>
      </c>
      <c r="O20" s="87">
        <f>VLOOKUP($A20,'Data shares'!$C:$FA,81)</f>
        <v>-5.7099999999999998E-2</v>
      </c>
    </row>
    <row r="21" spans="1:15" x14ac:dyDescent="0.25">
      <c r="A21" s="100" t="str">
        <f>'OI(Value)'!A21</f>
        <v>APLAPOLLO</v>
      </c>
      <c r="B21" s="82">
        <f>VLOOKUP(A21,'Data shares'!$C$2:$CV$231,98,0)</f>
        <v>8721300</v>
      </c>
      <c r="C21" s="82">
        <f>VLOOKUP(A21,'Data shares'!$C$2:$CX$231,100,0)</f>
        <v>175350</v>
      </c>
      <c r="D21" s="141">
        <f>VLOOKUP(A21,'Data shares'!$C$2:$CY$554,101,0)</f>
        <v>2.0500000000000001E-2</v>
      </c>
      <c r="E21" s="86">
        <f>VLOOKUP($A21,'Data shares'!$C:$FA,74)</f>
        <v>4400200</v>
      </c>
      <c r="F21" s="86">
        <f>VLOOKUP($A21,'Data shares'!$C:$FA,76)</f>
        <v>35350</v>
      </c>
      <c r="G21" s="87">
        <f>VLOOKUP(A21,'Data shares'!$C$2:$CA$231,77,0)</f>
        <v>8.0999999999999996E-3</v>
      </c>
      <c r="H21" s="86">
        <f>VLOOKUP($A21,'Data shares'!$C:$FA,90)</f>
        <v>2592100</v>
      </c>
      <c r="I21" s="86">
        <f>VLOOKUP($A21,'Data shares'!$C:$FA,92)</f>
        <v>126350</v>
      </c>
      <c r="J21" s="87">
        <f>VLOOKUP($A21,'Data shares'!$C:$FA,93)</f>
        <v>5.1200000000000002E-2</v>
      </c>
      <c r="K21" s="86">
        <f>VLOOKUP($A21,'Data shares'!$C:$FA,94)</f>
        <v>1729000</v>
      </c>
      <c r="L21" s="86">
        <f>VLOOKUP($A21,'Data shares'!$C:$FA,96)</f>
        <v>13650</v>
      </c>
      <c r="M21" s="87">
        <f>VLOOKUP($A21,'Data shares'!$C:$FA,97)</f>
        <v>8.0000000000000002E-3</v>
      </c>
      <c r="N21" s="86">
        <f>VLOOKUP($A21,'Data shares'!$C:$FA,78)</f>
        <v>4214700</v>
      </c>
      <c r="O21" s="87">
        <f>VLOOKUP($A21,'Data shares'!$C:$FA,81)</f>
        <v>7.4000000000000003E-3</v>
      </c>
    </row>
    <row r="22" spans="1:15" x14ac:dyDescent="0.25">
      <c r="A22" s="100" t="str">
        <f>'OI(Value)'!A22</f>
        <v>APOLLOHOSP</v>
      </c>
      <c r="B22" s="82">
        <f>VLOOKUP(A22,'Data shares'!$C$2:$CV$231,98,0)</f>
        <v>5705500</v>
      </c>
      <c r="C22" s="82">
        <f>VLOOKUP(A22,'Data shares'!$C$2:$CX$231,100,0)</f>
        <v>-2250</v>
      </c>
      <c r="D22" s="141">
        <f>VLOOKUP(A22,'Data shares'!$C$2:$CY$554,101,0)</f>
        <v>-4.0000000000000002E-4</v>
      </c>
      <c r="E22" s="86">
        <f>VLOOKUP($A22,'Data shares'!$C:$FA,74)</f>
        <v>2744375</v>
      </c>
      <c r="F22" s="86">
        <f>VLOOKUP($A22,'Data shares'!$C:$FA,76)</f>
        <v>-31250</v>
      </c>
      <c r="G22" s="87">
        <f>VLOOKUP(A22,'Data shares'!$C$2:$CA$231,77,0)</f>
        <v>-1.1299999999999999E-2</v>
      </c>
      <c r="H22" s="86">
        <f>VLOOKUP($A22,'Data shares'!$C:$FA,90)</f>
        <v>2003875</v>
      </c>
      <c r="I22" s="86">
        <f>VLOOKUP($A22,'Data shares'!$C:$FA,92)</f>
        <v>41500</v>
      </c>
      <c r="J22" s="87">
        <f>VLOOKUP($A22,'Data shares'!$C:$FA,93)</f>
        <v>2.1100000000000001E-2</v>
      </c>
      <c r="K22" s="86">
        <f>VLOOKUP($A22,'Data shares'!$C:$FA,94)</f>
        <v>957250</v>
      </c>
      <c r="L22" s="86">
        <f>VLOOKUP($A22,'Data shares'!$C:$FA,96)</f>
        <v>-12500</v>
      </c>
      <c r="M22" s="87">
        <f>VLOOKUP($A22,'Data shares'!$C:$FA,97)</f>
        <v>-1.29E-2</v>
      </c>
      <c r="N22" s="86">
        <f>VLOOKUP($A22,'Data shares'!$C:$FA,78)</f>
        <v>2583875</v>
      </c>
      <c r="O22" s="87">
        <f>VLOOKUP($A22,'Data shares'!$C:$FA,81)</f>
        <v>-1.7999999999999999E-2</v>
      </c>
    </row>
    <row r="23" spans="1:15" x14ac:dyDescent="0.25">
      <c r="A23" s="100" t="str">
        <f>'OI(Value)'!A23</f>
        <v>ASHOKLEY</v>
      </c>
      <c r="B23" s="82">
        <f>VLOOKUP(A23,'Data shares'!$C$2:$CV$231,98,0)</f>
        <v>143395000</v>
      </c>
      <c r="C23" s="82">
        <f>VLOOKUP(A23,'Data shares'!$C$2:$CX$231,100,0)</f>
        <v>280000</v>
      </c>
      <c r="D23" s="141">
        <f>VLOOKUP(A23,'Data shares'!$C$2:$CY$554,101,0)</f>
        <v>2E-3</v>
      </c>
      <c r="E23" s="86">
        <f>VLOOKUP($A23,'Data shares'!$C:$FA,74)</f>
        <v>86900000</v>
      </c>
      <c r="F23" s="86">
        <f>VLOOKUP($A23,'Data shares'!$C:$FA,76)</f>
        <v>75000</v>
      </c>
      <c r="G23" s="87">
        <f>VLOOKUP(A23,'Data shares'!$C$2:$CA$231,77,0)</f>
        <v>8.9999999999999998E-4</v>
      </c>
      <c r="H23" s="86">
        <f>VLOOKUP($A23,'Data shares'!$C:$FA,90)</f>
        <v>33525000</v>
      </c>
      <c r="I23" s="86">
        <f>VLOOKUP($A23,'Data shares'!$C:$FA,92)</f>
        <v>315000</v>
      </c>
      <c r="J23" s="87">
        <f>VLOOKUP($A23,'Data shares'!$C:$FA,93)</f>
        <v>9.4999999999999998E-3</v>
      </c>
      <c r="K23" s="86">
        <f>VLOOKUP($A23,'Data shares'!$C:$FA,94)</f>
        <v>22970000</v>
      </c>
      <c r="L23" s="86">
        <f>VLOOKUP($A23,'Data shares'!$C:$FA,96)</f>
        <v>-110000</v>
      </c>
      <c r="M23" s="87">
        <f>VLOOKUP($A23,'Data shares'!$C:$FA,97)</f>
        <v>-4.7999999999999996E-3</v>
      </c>
      <c r="N23" s="86">
        <f>VLOOKUP($A23,'Data shares'!$C:$FA,78)</f>
        <v>82050000</v>
      </c>
      <c r="O23" s="87">
        <f>VLOOKUP($A23,'Data shares'!$C:$FA,81)</f>
        <v>-5.5999999999999999E-3</v>
      </c>
    </row>
    <row r="24" spans="1:15" x14ac:dyDescent="0.25">
      <c r="A24" s="100" t="str">
        <f>'OI(Value)'!A24</f>
        <v>ASIANPAINT</v>
      </c>
      <c r="B24" s="82">
        <f>VLOOKUP(A24,'Data shares'!$C$2:$CV$231,98,0)</f>
        <v>29058000</v>
      </c>
      <c r="C24" s="82">
        <f>VLOOKUP(A24,'Data shares'!$C$2:$CX$231,100,0)</f>
        <v>-45500</v>
      </c>
      <c r="D24" s="141">
        <f>VLOOKUP(A24,'Data shares'!$C$2:$CY$554,101,0)</f>
        <v>-1.6000000000000001E-3</v>
      </c>
      <c r="E24" s="86">
        <f>VLOOKUP($A24,'Data shares'!$C:$FA,74)</f>
        <v>15336750</v>
      </c>
      <c r="F24" s="86">
        <f>VLOOKUP($A24,'Data shares'!$C:$FA,76)</f>
        <v>95000</v>
      </c>
      <c r="G24" s="87">
        <f>VLOOKUP(A24,'Data shares'!$C$2:$CA$231,77,0)</f>
        <v>6.1999999999999998E-3</v>
      </c>
      <c r="H24" s="86">
        <f>VLOOKUP($A24,'Data shares'!$C:$FA,90)</f>
        <v>9227250</v>
      </c>
      <c r="I24" s="86">
        <f>VLOOKUP($A24,'Data shares'!$C:$FA,92)</f>
        <v>-141250</v>
      </c>
      <c r="J24" s="87">
        <f>VLOOKUP($A24,'Data shares'!$C:$FA,93)</f>
        <v>-1.5100000000000001E-2</v>
      </c>
      <c r="K24" s="86">
        <f>VLOOKUP($A24,'Data shares'!$C:$FA,94)</f>
        <v>4494000</v>
      </c>
      <c r="L24" s="86">
        <f>VLOOKUP($A24,'Data shares'!$C:$FA,96)</f>
        <v>750</v>
      </c>
      <c r="M24" s="87">
        <f>VLOOKUP($A24,'Data shares'!$C:$FA,97)</f>
        <v>2.0000000000000001E-4</v>
      </c>
      <c r="N24" s="86">
        <f>VLOOKUP($A24,'Data shares'!$C:$FA,78)</f>
        <v>14142000</v>
      </c>
      <c r="O24" s="87">
        <f>VLOOKUP($A24,'Data shares'!$C:$FA,81)</f>
        <v>-1.1999999999999999E-3</v>
      </c>
    </row>
    <row r="25" spans="1:15" x14ac:dyDescent="0.25">
      <c r="A25" s="100" t="str">
        <f>'OI(Value)'!A25</f>
        <v>ASTRAL</v>
      </c>
      <c r="B25" s="82">
        <f>VLOOKUP(A25,'Data shares'!$C$2:$CV$231,98,0)</f>
        <v>11089950</v>
      </c>
      <c r="C25" s="82">
        <f>VLOOKUP(A25,'Data shares'!$C$2:$CX$231,100,0)</f>
        <v>275825</v>
      </c>
      <c r="D25" s="141">
        <f>VLOOKUP(A25,'Data shares'!$C$2:$CY$554,101,0)</f>
        <v>2.5499999999999998E-2</v>
      </c>
      <c r="E25" s="86">
        <f>VLOOKUP($A25,'Data shares'!$C:$FA,74)</f>
        <v>6202875</v>
      </c>
      <c r="F25" s="86">
        <f>VLOOKUP($A25,'Data shares'!$C:$FA,76)</f>
        <v>222700</v>
      </c>
      <c r="G25" s="87">
        <f>VLOOKUP(A25,'Data shares'!$C$2:$CA$231,77,0)</f>
        <v>3.7199999999999997E-2</v>
      </c>
      <c r="H25" s="86">
        <f>VLOOKUP($A25,'Data shares'!$C:$FA,90)</f>
        <v>3462475</v>
      </c>
      <c r="I25" s="86">
        <f>VLOOKUP($A25,'Data shares'!$C:$FA,92)</f>
        <v>-42075</v>
      </c>
      <c r="J25" s="87">
        <f>VLOOKUP($A25,'Data shares'!$C:$FA,93)</f>
        <v>-1.2E-2</v>
      </c>
      <c r="K25" s="86">
        <f>VLOOKUP($A25,'Data shares'!$C:$FA,94)</f>
        <v>1424600</v>
      </c>
      <c r="L25" s="86">
        <f>VLOOKUP($A25,'Data shares'!$C:$FA,96)</f>
        <v>95200</v>
      </c>
      <c r="M25" s="87">
        <f>VLOOKUP($A25,'Data shares'!$C:$FA,97)</f>
        <v>7.1599999999999997E-2</v>
      </c>
      <c r="N25" s="86">
        <f>VLOOKUP($A25,'Data shares'!$C:$FA,78)</f>
        <v>5125925</v>
      </c>
      <c r="O25" s="87">
        <f>VLOOKUP($A25,'Data shares'!$C:$FA,81)</f>
        <v>6.7999999999999996E-3</v>
      </c>
    </row>
    <row r="26" spans="1:15" x14ac:dyDescent="0.25">
      <c r="A26" s="100" t="str">
        <f>'OI(Value)'!A26</f>
        <v>ATGL</v>
      </c>
      <c r="B26" s="82">
        <f>VLOOKUP(A26,'Data shares'!$C$2:$CV$231,98,0)</f>
        <v>11618250</v>
      </c>
      <c r="C26" s="82">
        <f>VLOOKUP(A26,'Data shares'!$C$2:$CX$231,100,0)</f>
        <v>72625</v>
      </c>
      <c r="D26" s="141">
        <f>VLOOKUP(A26,'Data shares'!$C$2:$CY$554,101,0)</f>
        <v>6.3E-3</v>
      </c>
      <c r="E26" s="86">
        <f>VLOOKUP($A26,'Data shares'!$C:$FA,74)</f>
        <v>5462625</v>
      </c>
      <c r="F26" s="86">
        <f>VLOOKUP($A26,'Data shares'!$C:$FA,76)</f>
        <v>-1750</v>
      </c>
      <c r="G26" s="87">
        <f>VLOOKUP(A26,'Data shares'!$C$2:$CA$231,77,0)</f>
        <v>-2.9999999999999997E-4</v>
      </c>
      <c r="H26" s="86">
        <f>VLOOKUP($A26,'Data shares'!$C:$FA,90)</f>
        <v>4242000</v>
      </c>
      <c r="I26" s="86">
        <f>VLOOKUP($A26,'Data shares'!$C:$FA,92)</f>
        <v>76125</v>
      </c>
      <c r="J26" s="87">
        <f>VLOOKUP($A26,'Data shares'!$C:$FA,93)</f>
        <v>1.83E-2</v>
      </c>
      <c r="K26" s="86">
        <f>VLOOKUP($A26,'Data shares'!$C:$FA,94)</f>
        <v>1913625</v>
      </c>
      <c r="L26" s="86">
        <f>VLOOKUP($A26,'Data shares'!$C:$FA,96)</f>
        <v>-1750</v>
      </c>
      <c r="M26" s="87">
        <f>VLOOKUP($A26,'Data shares'!$C:$FA,97)</f>
        <v>-8.9999999999999998E-4</v>
      </c>
      <c r="N26" s="86">
        <f>VLOOKUP($A26,'Data shares'!$C:$FA,78)</f>
        <v>4905250</v>
      </c>
      <c r="O26" s="87">
        <f>VLOOKUP($A26,'Data shares'!$C:$FA,81)</f>
        <v>-1.4200000000000001E-2</v>
      </c>
    </row>
    <row r="27" spans="1:15" x14ac:dyDescent="0.25">
      <c r="A27" s="100" t="str">
        <f>'OI(Value)'!A27</f>
        <v>AUBANK</v>
      </c>
      <c r="B27" s="82">
        <f>VLOOKUP(A27,'Data shares'!$C$2:$CV$231,98,0)</f>
        <v>38028000</v>
      </c>
      <c r="C27" s="82">
        <f>VLOOKUP(A27,'Data shares'!$C$2:$CX$231,100,0)</f>
        <v>4352000</v>
      </c>
      <c r="D27" s="141">
        <f>VLOOKUP(A27,'Data shares'!$C$2:$CY$554,101,0)</f>
        <v>0.12920000000000001</v>
      </c>
      <c r="E27" s="86">
        <f>VLOOKUP($A27,'Data shares'!$C:$FA,74)</f>
        <v>18632000</v>
      </c>
      <c r="F27" s="86">
        <f>VLOOKUP($A27,'Data shares'!$C:$FA,76)</f>
        <v>1420000</v>
      </c>
      <c r="G27" s="87">
        <f>VLOOKUP(A27,'Data shares'!$C$2:$CA$231,77,0)</f>
        <v>8.2500000000000004E-2</v>
      </c>
      <c r="H27" s="86">
        <f>VLOOKUP($A27,'Data shares'!$C:$FA,90)</f>
        <v>13363000</v>
      </c>
      <c r="I27" s="86">
        <f>VLOOKUP($A27,'Data shares'!$C:$FA,92)</f>
        <v>3080000</v>
      </c>
      <c r="J27" s="87">
        <f>VLOOKUP($A27,'Data shares'!$C:$FA,93)</f>
        <v>0.29949999999999999</v>
      </c>
      <c r="K27" s="86">
        <f>VLOOKUP($A27,'Data shares'!$C:$FA,94)</f>
        <v>6033000</v>
      </c>
      <c r="L27" s="86">
        <f>VLOOKUP($A27,'Data shares'!$C:$FA,96)</f>
        <v>-148000</v>
      </c>
      <c r="M27" s="87">
        <f>VLOOKUP($A27,'Data shares'!$C:$FA,97)</f>
        <v>-2.3900000000000001E-2</v>
      </c>
      <c r="N27" s="86">
        <f>VLOOKUP($A27,'Data shares'!$C:$FA,78)</f>
        <v>15270000</v>
      </c>
      <c r="O27" s="87">
        <f>VLOOKUP($A27,'Data shares'!$C:$FA,81)</f>
        <v>5.4600000000000003E-2</v>
      </c>
    </row>
    <row r="28" spans="1:15" x14ac:dyDescent="0.25">
      <c r="A28" s="100" t="str">
        <f>'OI(Value)'!A28</f>
        <v>AUROPHARMA</v>
      </c>
      <c r="B28" s="82">
        <f>VLOOKUP(A28,'Data shares'!$C$2:$CV$231,98,0)</f>
        <v>28631350</v>
      </c>
      <c r="C28" s="82">
        <f>VLOOKUP(A28,'Data shares'!$C$2:$CX$231,100,0)</f>
        <v>1604350</v>
      </c>
      <c r="D28" s="141">
        <f>VLOOKUP(A28,'Data shares'!$C$2:$CY$554,101,0)</f>
        <v>5.9400000000000001E-2</v>
      </c>
      <c r="E28" s="86">
        <f>VLOOKUP($A28,'Data shares'!$C:$FA,74)</f>
        <v>20510600</v>
      </c>
      <c r="F28" s="86">
        <f>VLOOKUP($A28,'Data shares'!$C:$FA,76)</f>
        <v>788150</v>
      </c>
      <c r="G28" s="87">
        <f>VLOOKUP(A28,'Data shares'!$C$2:$CA$231,77,0)</f>
        <v>0.04</v>
      </c>
      <c r="H28" s="86">
        <f>VLOOKUP($A28,'Data shares'!$C:$FA,90)</f>
        <v>4891150</v>
      </c>
      <c r="I28" s="86">
        <f>VLOOKUP($A28,'Data shares'!$C:$FA,92)</f>
        <v>534600</v>
      </c>
      <c r="J28" s="87">
        <f>VLOOKUP($A28,'Data shares'!$C:$FA,93)</f>
        <v>0.1227</v>
      </c>
      <c r="K28" s="86">
        <f>VLOOKUP($A28,'Data shares'!$C:$FA,94)</f>
        <v>3229600</v>
      </c>
      <c r="L28" s="86">
        <f>VLOOKUP($A28,'Data shares'!$C:$FA,96)</f>
        <v>281600</v>
      </c>
      <c r="M28" s="87">
        <f>VLOOKUP($A28,'Data shares'!$C:$FA,97)</f>
        <v>9.5500000000000002E-2</v>
      </c>
      <c r="N28" s="86">
        <f>VLOOKUP($A28,'Data shares'!$C:$FA,78)</f>
        <v>17312900</v>
      </c>
      <c r="O28" s="87">
        <f>VLOOKUP($A28,'Data shares'!$C:$FA,81)</f>
        <v>2.8999999999999998E-3</v>
      </c>
    </row>
    <row r="29" spans="1:15" x14ac:dyDescent="0.25">
      <c r="A29" s="100" t="str">
        <f>'OI(Value)'!A29</f>
        <v>AXISBANK</v>
      </c>
      <c r="B29" s="82">
        <f>VLOOKUP(A29,'Data shares'!$C$2:$CV$231,98,0)</f>
        <v>158917500</v>
      </c>
      <c r="C29" s="82">
        <f>VLOOKUP(A29,'Data shares'!$C$2:$CX$231,100,0)</f>
        <v>2101250</v>
      </c>
      <c r="D29" s="141">
        <f>VLOOKUP(A29,'Data shares'!$C$2:$CY$554,101,0)</f>
        <v>1.34E-2</v>
      </c>
      <c r="E29" s="86">
        <f>VLOOKUP($A29,'Data shares'!$C:$FA,74)</f>
        <v>82059375</v>
      </c>
      <c r="F29" s="86">
        <f>VLOOKUP($A29,'Data shares'!$C:$FA,76)</f>
        <v>3591250</v>
      </c>
      <c r="G29" s="87">
        <f>VLOOKUP(A29,'Data shares'!$C$2:$CA$231,77,0)</f>
        <v>4.58E-2</v>
      </c>
      <c r="H29" s="86">
        <f>VLOOKUP($A29,'Data shares'!$C:$FA,90)</f>
        <v>55954375</v>
      </c>
      <c r="I29" s="86">
        <f>VLOOKUP($A29,'Data shares'!$C:$FA,92)</f>
        <v>-694375</v>
      </c>
      <c r="J29" s="87">
        <f>VLOOKUP($A29,'Data shares'!$C:$FA,93)</f>
        <v>-1.23E-2</v>
      </c>
      <c r="K29" s="86">
        <f>VLOOKUP($A29,'Data shares'!$C:$FA,94)</f>
        <v>20903750</v>
      </c>
      <c r="L29" s="86">
        <f>VLOOKUP($A29,'Data shares'!$C:$FA,96)</f>
        <v>-795625</v>
      </c>
      <c r="M29" s="87">
        <f>VLOOKUP($A29,'Data shares'!$C:$FA,97)</f>
        <v>-3.6700000000000003E-2</v>
      </c>
      <c r="N29" s="86">
        <f>VLOOKUP($A29,'Data shares'!$C:$FA,78)</f>
        <v>69791250</v>
      </c>
      <c r="O29" s="87">
        <f>VLOOKUP($A29,'Data shares'!$C:$FA,81)</f>
        <v>3.9899999999999998E-2</v>
      </c>
    </row>
    <row r="30" spans="1:15" x14ac:dyDescent="0.25">
      <c r="A30" s="100" t="str">
        <f>'OI(Value)'!A30</f>
        <v>BAJAJ-AUTO</v>
      </c>
      <c r="B30" s="82">
        <f>VLOOKUP(A30,'Data shares'!$C$2:$CV$231,98,0)</f>
        <v>5131575</v>
      </c>
      <c r="C30" s="82">
        <f>VLOOKUP(A30,'Data shares'!$C$2:$CX$231,100,0)</f>
        <v>225825</v>
      </c>
      <c r="D30" s="141">
        <f>VLOOKUP(A30,'Data shares'!$C$2:$CY$554,101,0)</f>
        <v>4.5999999999999999E-2</v>
      </c>
      <c r="E30" s="86">
        <f>VLOOKUP($A30,'Data shares'!$C:$FA,74)</f>
        <v>2660850</v>
      </c>
      <c r="F30" s="86">
        <f>VLOOKUP($A30,'Data shares'!$C:$FA,76)</f>
        <v>50100</v>
      </c>
      <c r="G30" s="87">
        <f>VLOOKUP(A30,'Data shares'!$C$2:$CA$231,77,0)</f>
        <v>1.9199999999999998E-2</v>
      </c>
      <c r="H30" s="86">
        <f>VLOOKUP($A30,'Data shares'!$C:$FA,90)</f>
        <v>1512075</v>
      </c>
      <c r="I30" s="86">
        <f>VLOOKUP($A30,'Data shares'!$C:$FA,92)</f>
        <v>157050</v>
      </c>
      <c r="J30" s="87">
        <f>VLOOKUP($A30,'Data shares'!$C:$FA,93)</f>
        <v>0.1159</v>
      </c>
      <c r="K30" s="86">
        <f>VLOOKUP($A30,'Data shares'!$C:$FA,94)</f>
        <v>958650</v>
      </c>
      <c r="L30" s="86">
        <f>VLOOKUP($A30,'Data shares'!$C:$FA,96)</f>
        <v>18675</v>
      </c>
      <c r="M30" s="87">
        <f>VLOOKUP($A30,'Data shares'!$C:$FA,97)</f>
        <v>1.9900000000000001E-2</v>
      </c>
      <c r="N30" s="86">
        <f>VLOOKUP($A30,'Data shares'!$C:$FA,78)</f>
        <v>2461425</v>
      </c>
      <c r="O30" s="87">
        <f>VLOOKUP($A30,'Data shares'!$C:$FA,81)</f>
        <v>7.4999999999999997E-3</v>
      </c>
    </row>
    <row r="31" spans="1:15" x14ac:dyDescent="0.25">
      <c r="A31" s="100" t="str">
        <f>'OI(Value)'!A31</f>
        <v>BAJAJFINSV</v>
      </c>
      <c r="B31" s="82">
        <f>VLOOKUP(A31,'Data shares'!$C$2:$CV$231,98,0)</f>
        <v>28728000</v>
      </c>
      <c r="C31" s="82">
        <f>VLOOKUP(A31,'Data shares'!$C$2:$CX$231,100,0)</f>
        <v>24000</v>
      </c>
      <c r="D31" s="141">
        <f>VLOOKUP(A31,'Data shares'!$C$2:$CY$554,101,0)</f>
        <v>8.0000000000000004E-4</v>
      </c>
      <c r="E31" s="86">
        <f>VLOOKUP($A31,'Data shares'!$C:$FA,74)</f>
        <v>16371500</v>
      </c>
      <c r="F31" s="86">
        <f>VLOOKUP($A31,'Data shares'!$C:$FA,76)</f>
        <v>94500</v>
      </c>
      <c r="G31" s="87">
        <f>VLOOKUP(A31,'Data shares'!$C$2:$CA$231,77,0)</f>
        <v>5.7999999999999996E-3</v>
      </c>
      <c r="H31" s="86">
        <f>VLOOKUP($A31,'Data shares'!$C:$FA,90)</f>
        <v>7963000</v>
      </c>
      <c r="I31" s="86">
        <f>VLOOKUP($A31,'Data shares'!$C:$FA,92)</f>
        <v>18500</v>
      </c>
      <c r="J31" s="87">
        <f>VLOOKUP($A31,'Data shares'!$C:$FA,93)</f>
        <v>2.3E-3</v>
      </c>
      <c r="K31" s="86">
        <f>VLOOKUP($A31,'Data shares'!$C:$FA,94)</f>
        <v>4393500</v>
      </c>
      <c r="L31" s="86">
        <f>VLOOKUP($A31,'Data shares'!$C:$FA,96)</f>
        <v>-89000</v>
      </c>
      <c r="M31" s="87">
        <f>VLOOKUP($A31,'Data shares'!$C:$FA,97)</f>
        <v>-1.9900000000000001E-2</v>
      </c>
      <c r="N31" s="86">
        <f>VLOOKUP($A31,'Data shares'!$C:$FA,78)</f>
        <v>15449500</v>
      </c>
      <c r="O31" s="87">
        <f>VLOOKUP($A31,'Data shares'!$C:$FA,81)</f>
        <v>-4.0000000000000001E-3</v>
      </c>
    </row>
    <row r="32" spans="1:15" x14ac:dyDescent="0.25">
      <c r="A32" s="100" t="str">
        <f>'OI(Value)'!A32</f>
        <v>BAJFINANCE</v>
      </c>
      <c r="B32" s="82">
        <f>VLOOKUP(A32,'Data shares'!$C$2:$CV$231,98,0)</f>
        <v>126426750</v>
      </c>
      <c r="C32" s="82">
        <f>VLOOKUP(A32,'Data shares'!$C$2:$CX$231,100,0)</f>
        <v>82500</v>
      </c>
      <c r="D32" s="141">
        <f>VLOOKUP(A32,'Data shares'!$C$2:$CY$554,101,0)</f>
        <v>6.9999999999999999E-4</v>
      </c>
      <c r="E32" s="86">
        <f>VLOOKUP($A32,'Data shares'!$C:$FA,74)</f>
        <v>88088250</v>
      </c>
      <c r="F32" s="86">
        <f>VLOOKUP($A32,'Data shares'!$C:$FA,76)</f>
        <v>-465000</v>
      </c>
      <c r="G32" s="87">
        <f>VLOOKUP(A32,'Data shares'!$C$2:$CA$231,77,0)</f>
        <v>-5.3E-3</v>
      </c>
      <c r="H32" s="86">
        <f>VLOOKUP($A32,'Data shares'!$C:$FA,90)</f>
        <v>20360250</v>
      </c>
      <c r="I32" s="86">
        <f>VLOOKUP($A32,'Data shares'!$C:$FA,92)</f>
        <v>-61500</v>
      </c>
      <c r="J32" s="87">
        <f>VLOOKUP($A32,'Data shares'!$C:$FA,93)</f>
        <v>-3.0000000000000001E-3</v>
      </c>
      <c r="K32" s="86">
        <f>VLOOKUP($A32,'Data shares'!$C:$FA,94)</f>
        <v>17978250</v>
      </c>
      <c r="L32" s="86">
        <f>VLOOKUP($A32,'Data shares'!$C:$FA,96)</f>
        <v>609000</v>
      </c>
      <c r="M32" s="87">
        <f>VLOOKUP($A32,'Data shares'!$C:$FA,97)</f>
        <v>3.5099999999999999E-2</v>
      </c>
      <c r="N32" s="86">
        <f>VLOOKUP($A32,'Data shares'!$C:$FA,78)</f>
        <v>79263000</v>
      </c>
      <c r="O32" s="87">
        <f>VLOOKUP($A32,'Data shares'!$C:$FA,81)</f>
        <v>-2.18E-2</v>
      </c>
    </row>
    <row r="33" spans="1:15" x14ac:dyDescent="0.25">
      <c r="A33" s="100" t="str">
        <f>'OI(Value)'!A33</f>
        <v>BALKRISIND</v>
      </c>
      <c r="B33" s="82">
        <f>VLOOKUP(A33,'Data shares'!$C$2:$CV$231,98,0)</f>
        <v>3704400</v>
      </c>
      <c r="C33" s="82">
        <f>VLOOKUP(A33,'Data shares'!$C$2:$CX$231,100,0)</f>
        <v>-114900</v>
      </c>
      <c r="D33" s="141">
        <f>VLOOKUP(A33,'Data shares'!$C$2:$CY$554,101,0)</f>
        <v>-3.0099999999999998E-2</v>
      </c>
      <c r="E33" s="86">
        <f>VLOOKUP($A33,'Data shares'!$C:$FA,74)</f>
        <v>1268100</v>
      </c>
      <c r="F33" s="86">
        <f>VLOOKUP($A33,'Data shares'!$C:$FA,76)</f>
        <v>-61500</v>
      </c>
      <c r="G33" s="87">
        <f>VLOOKUP(A33,'Data shares'!$C$2:$CA$231,77,0)</f>
        <v>-4.6300000000000001E-2</v>
      </c>
      <c r="H33" s="86">
        <f>VLOOKUP($A33,'Data shares'!$C:$FA,90)</f>
        <v>1473000</v>
      </c>
      <c r="I33" s="86">
        <f>VLOOKUP($A33,'Data shares'!$C:$FA,92)</f>
        <v>-52800</v>
      </c>
      <c r="J33" s="87">
        <f>VLOOKUP($A33,'Data shares'!$C:$FA,93)</f>
        <v>-3.4599999999999999E-2</v>
      </c>
      <c r="K33" s="86">
        <f>VLOOKUP($A33,'Data shares'!$C:$FA,94)</f>
        <v>963300</v>
      </c>
      <c r="L33" s="86">
        <f>VLOOKUP($A33,'Data shares'!$C:$FA,96)</f>
        <v>-600</v>
      </c>
      <c r="M33" s="87">
        <f>VLOOKUP($A33,'Data shares'!$C:$FA,97)</f>
        <v>-5.9999999999999995E-4</v>
      </c>
      <c r="N33" s="86">
        <f>VLOOKUP($A33,'Data shares'!$C:$FA,78)</f>
        <v>1268100</v>
      </c>
      <c r="O33" s="87">
        <f>VLOOKUP($A33,'Data shares'!$C:$FA,81)</f>
        <v>-4.6300000000000001E-2</v>
      </c>
    </row>
    <row r="34" spans="1:15" x14ac:dyDescent="0.25">
      <c r="A34" s="100" t="str">
        <f>'OI(Value)'!A34</f>
        <v>BANDHANBNK</v>
      </c>
      <c r="B34" s="82">
        <f>VLOOKUP(A34,'Data shares'!$C$2:$CV$231,98,0)</f>
        <v>166744800</v>
      </c>
      <c r="C34" s="82">
        <f>VLOOKUP(A34,'Data shares'!$C$2:$CX$231,100,0)</f>
        <v>-7074000</v>
      </c>
      <c r="D34" s="141">
        <f>VLOOKUP(A34,'Data shares'!$C$2:$CY$554,101,0)</f>
        <v>-4.07E-2</v>
      </c>
      <c r="E34" s="86">
        <f>VLOOKUP($A34,'Data shares'!$C:$FA,74)</f>
        <v>106297200</v>
      </c>
      <c r="F34" s="86">
        <f>VLOOKUP($A34,'Data shares'!$C:$FA,76)</f>
        <v>-3808800</v>
      </c>
      <c r="G34" s="87">
        <f>VLOOKUP(A34,'Data shares'!$C$2:$CA$231,77,0)</f>
        <v>-3.4599999999999999E-2</v>
      </c>
      <c r="H34" s="86">
        <f>VLOOKUP($A34,'Data shares'!$C:$FA,90)</f>
        <v>38707200</v>
      </c>
      <c r="I34" s="86">
        <f>VLOOKUP($A34,'Data shares'!$C:$FA,92)</f>
        <v>-2437200</v>
      </c>
      <c r="J34" s="87">
        <f>VLOOKUP($A34,'Data shares'!$C:$FA,93)</f>
        <v>-5.9200000000000003E-2</v>
      </c>
      <c r="K34" s="86">
        <f>VLOOKUP($A34,'Data shares'!$C:$FA,94)</f>
        <v>21740400</v>
      </c>
      <c r="L34" s="86">
        <f>VLOOKUP($A34,'Data shares'!$C:$FA,96)</f>
        <v>-828000</v>
      </c>
      <c r="M34" s="87">
        <f>VLOOKUP($A34,'Data shares'!$C:$FA,97)</f>
        <v>-3.6700000000000003E-2</v>
      </c>
      <c r="N34" s="86">
        <f>VLOOKUP($A34,'Data shares'!$C:$FA,78)</f>
        <v>66502800</v>
      </c>
      <c r="O34" s="87">
        <f>VLOOKUP($A34,'Data shares'!$C:$FA,81)</f>
        <v>-3.56E-2</v>
      </c>
    </row>
    <row r="35" spans="1:15" x14ac:dyDescent="0.25">
      <c r="A35" s="100" t="str">
        <f>'OI(Value)'!A35</f>
        <v>BANKBARODA</v>
      </c>
      <c r="B35" s="82">
        <f>VLOOKUP(A35,'Data shares'!$C$2:$CV$231,98,0)</f>
        <v>197949375</v>
      </c>
      <c r="C35" s="82">
        <f>VLOOKUP(A35,'Data shares'!$C$2:$CX$231,100,0)</f>
        <v>4027725</v>
      </c>
      <c r="D35" s="141">
        <f>VLOOKUP(A35,'Data shares'!$C$2:$CY$554,101,0)</f>
        <v>2.0799999999999999E-2</v>
      </c>
      <c r="E35" s="86">
        <f>VLOOKUP($A35,'Data shares'!$C:$FA,74)</f>
        <v>104630175</v>
      </c>
      <c r="F35" s="86">
        <f>VLOOKUP($A35,'Data shares'!$C:$FA,76)</f>
        <v>1123200</v>
      </c>
      <c r="G35" s="87">
        <f>VLOOKUP(A35,'Data shares'!$C$2:$CA$231,77,0)</f>
        <v>1.09E-2</v>
      </c>
      <c r="H35" s="86">
        <f>VLOOKUP($A35,'Data shares'!$C:$FA,90)</f>
        <v>49780575</v>
      </c>
      <c r="I35" s="86">
        <f>VLOOKUP($A35,'Data shares'!$C:$FA,92)</f>
        <v>1336725</v>
      </c>
      <c r="J35" s="87">
        <f>VLOOKUP($A35,'Data shares'!$C:$FA,93)</f>
        <v>2.76E-2</v>
      </c>
      <c r="K35" s="86">
        <f>VLOOKUP($A35,'Data shares'!$C:$FA,94)</f>
        <v>43538625</v>
      </c>
      <c r="L35" s="86">
        <f>VLOOKUP($A35,'Data shares'!$C:$FA,96)</f>
        <v>1567800</v>
      </c>
      <c r="M35" s="87">
        <f>VLOOKUP($A35,'Data shares'!$C:$FA,97)</f>
        <v>3.7400000000000003E-2</v>
      </c>
      <c r="N35" s="86">
        <f>VLOOKUP($A35,'Data shares'!$C:$FA,78)</f>
        <v>85524075</v>
      </c>
      <c r="O35" s="87">
        <f>VLOOKUP($A35,'Data shares'!$C:$FA,81)</f>
        <v>-1.4999999999999999E-2</v>
      </c>
    </row>
    <row r="36" spans="1:15" x14ac:dyDescent="0.25">
      <c r="A36" s="100" t="str">
        <f>'OI(Value)'!A36</f>
        <v>BANKINDIA</v>
      </c>
      <c r="B36" s="82">
        <f>VLOOKUP(A36,'Data shares'!$C$2:$CV$231,98,0)</f>
        <v>132329600</v>
      </c>
      <c r="C36" s="82">
        <f>VLOOKUP(A36,'Data shares'!$C$2:$CX$231,100,0)</f>
        <v>239200</v>
      </c>
      <c r="D36" s="141">
        <f>VLOOKUP(A36,'Data shares'!$C$2:$CY$554,101,0)</f>
        <v>1.8E-3</v>
      </c>
      <c r="E36" s="86">
        <f>VLOOKUP($A36,'Data shares'!$C:$FA,74)</f>
        <v>72576400</v>
      </c>
      <c r="F36" s="86">
        <f>VLOOKUP($A36,'Data shares'!$C:$FA,76)</f>
        <v>1232400</v>
      </c>
      <c r="G36" s="87">
        <f>VLOOKUP(A36,'Data shares'!$C$2:$CA$231,77,0)</f>
        <v>1.7299999999999999E-2</v>
      </c>
      <c r="H36" s="86">
        <f>VLOOKUP($A36,'Data shares'!$C:$FA,90)</f>
        <v>37200800</v>
      </c>
      <c r="I36" s="86">
        <f>VLOOKUP($A36,'Data shares'!$C:$FA,92)</f>
        <v>-1175200</v>
      </c>
      <c r="J36" s="87">
        <f>VLOOKUP($A36,'Data shares'!$C:$FA,93)</f>
        <v>-3.0599999999999999E-2</v>
      </c>
      <c r="K36" s="86">
        <f>VLOOKUP($A36,'Data shares'!$C:$FA,94)</f>
        <v>22552400</v>
      </c>
      <c r="L36" s="86">
        <f>VLOOKUP($A36,'Data shares'!$C:$FA,96)</f>
        <v>182000</v>
      </c>
      <c r="M36" s="87">
        <f>VLOOKUP($A36,'Data shares'!$C:$FA,97)</f>
        <v>8.0999999999999996E-3</v>
      </c>
      <c r="N36" s="86">
        <f>VLOOKUP($A36,'Data shares'!$C:$FA,78)</f>
        <v>62134800</v>
      </c>
      <c r="O36" s="87">
        <f>VLOOKUP($A36,'Data shares'!$C:$FA,81)</f>
        <v>-2.07E-2</v>
      </c>
    </row>
    <row r="37" spans="1:15" x14ac:dyDescent="0.25">
      <c r="A37" s="100" t="str">
        <f>'OI(Value)'!A37</f>
        <v>BANKNIFTY</v>
      </c>
      <c r="B37" s="82">
        <f>VLOOKUP(A37,'Data shares'!$C$2:$CV$231,98,0)</f>
        <v>47760695</v>
      </c>
      <c r="C37" s="82">
        <f>VLOOKUP(A37,'Data shares'!$C$2:$CX$231,100,0)</f>
        <v>3482445</v>
      </c>
      <c r="D37" s="141">
        <f>VLOOKUP(A37,'Data shares'!$C$2:$CY$554,101,0)</f>
        <v>7.8600000000000003E-2</v>
      </c>
      <c r="E37" s="86">
        <f>VLOOKUP($A37,'Data shares'!$C:$FA,74)</f>
        <v>2606415</v>
      </c>
      <c r="F37" s="86">
        <f>VLOOKUP($A37,'Data shares'!$C:$FA,76)</f>
        <v>-10360</v>
      </c>
      <c r="G37" s="87">
        <f>VLOOKUP(A37,'Data shares'!$C$2:$CA$231,77,0)</f>
        <v>-4.0000000000000001E-3</v>
      </c>
      <c r="H37" s="86">
        <f>VLOOKUP($A37,'Data shares'!$C:$FA,90)</f>
        <v>24933160</v>
      </c>
      <c r="I37" s="86">
        <f>VLOOKUP($A37,'Data shares'!$C:$FA,92)</f>
        <v>2812290</v>
      </c>
      <c r="J37" s="87">
        <f>VLOOKUP($A37,'Data shares'!$C:$FA,93)</f>
        <v>0.12709999999999999</v>
      </c>
      <c r="K37" s="86">
        <f>VLOOKUP($A37,'Data shares'!$C:$FA,94)</f>
        <v>20221120</v>
      </c>
      <c r="L37" s="86">
        <f>VLOOKUP($A37,'Data shares'!$C:$FA,96)</f>
        <v>680515</v>
      </c>
      <c r="M37" s="87">
        <f>VLOOKUP($A37,'Data shares'!$C:$FA,97)</f>
        <v>3.4799999999999998E-2</v>
      </c>
      <c r="N37" s="86">
        <f>VLOOKUP($A37,'Data shares'!$C:$FA,78)</f>
        <v>2026640</v>
      </c>
      <c r="O37" s="87">
        <f>VLOOKUP($A37,'Data shares'!$C:$FA,81)</f>
        <v>-1.29E-2</v>
      </c>
    </row>
    <row r="38" spans="1:15" x14ac:dyDescent="0.25">
      <c r="A38" s="100" t="str">
        <f>'OI(Value)'!A38</f>
        <v>BDL</v>
      </c>
      <c r="B38" s="82">
        <f>VLOOKUP(A38,'Data shares'!$C$2:$CV$231,98,0)</f>
        <v>12083500</v>
      </c>
      <c r="C38" s="82">
        <f>VLOOKUP(A38,'Data shares'!$C$2:$CX$231,100,0)</f>
        <v>-208650</v>
      </c>
      <c r="D38" s="141">
        <f>VLOOKUP(A38,'Data shares'!$C$2:$CY$554,101,0)</f>
        <v>-1.7000000000000001E-2</v>
      </c>
      <c r="E38" s="86">
        <f>VLOOKUP($A38,'Data shares'!$C:$FA,74)</f>
        <v>4290975</v>
      </c>
      <c r="F38" s="86">
        <f>VLOOKUP($A38,'Data shares'!$C:$FA,76)</f>
        <v>-214175</v>
      </c>
      <c r="G38" s="87">
        <f>VLOOKUP(A38,'Data shares'!$C$2:$CA$231,77,0)</f>
        <v>-4.7500000000000001E-2</v>
      </c>
      <c r="H38" s="86">
        <f>VLOOKUP($A38,'Data shares'!$C:$FA,90)</f>
        <v>5763550</v>
      </c>
      <c r="I38" s="86">
        <f>VLOOKUP($A38,'Data shares'!$C:$FA,92)</f>
        <v>34125</v>
      </c>
      <c r="J38" s="87">
        <f>VLOOKUP($A38,'Data shares'!$C:$FA,93)</f>
        <v>6.0000000000000001E-3</v>
      </c>
      <c r="K38" s="86">
        <f>VLOOKUP($A38,'Data shares'!$C:$FA,94)</f>
        <v>2028975</v>
      </c>
      <c r="L38" s="86">
        <f>VLOOKUP($A38,'Data shares'!$C:$FA,96)</f>
        <v>-28600</v>
      </c>
      <c r="M38" s="87">
        <f>VLOOKUP($A38,'Data shares'!$C:$FA,97)</f>
        <v>-1.3899999999999999E-2</v>
      </c>
      <c r="N38" s="86">
        <f>VLOOKUP($A38,'Data shares'!$C:$FA,78)</f>
        <v>3615625</v>
      </c>
      <c r="O38" s="87">
        <f>VLOOKUP($A38,'Data shares'!$C:$FA,81)</f>
        <v>-6.8000000000000005E-2</v>
      </c>
    </row>
    <row r="39" spans="1:15" x14ac:dyDescent="0.25">
      <c r="A39" s="100" t="str">
        <f>'OI(Value)'!A39</f>
        <v>BEL</v>
      </c>
      <c r="B39" s="82">
        <f>VLOOKUP(A39,'Data shares'!$C$2:$CV$231,98,0)</f>
        <v>275099100</v>
      </c>
      <c r="C39" s="82">
        <f>VLOOKUP(A39,'Data shares'!$C$2:$CX$231,100,0)</f>
        <v>-809400</v>
      </c>
      <c r="D39" s="141">
        <f>VLOOKUP(A39,'Data shares'!$C$2:$CY$554,101,0)</f>
        <v>-2.8999999999999998E-3</v>
      </c>
      <c r="E39" s="86">
        <f>VLOOKUP($A39,'Data shares'!$C:$FA,74)</f>
        <v>119568900</v>
      </c>
      <c r="F39" s="86">
        <f>VLOOKUP($A39,'Data shares'!$C:$FA,76)</f>
        <v>-1536150</v>
      </c>
      <c r="G39" s="87">
        <f>VLOOKUP(A39,'Data shares'!$C$2:$CA$231,77,0)</f>
        <v>-1.2699999999999999E-2</v>
      </c>
      <c r="H39" s="86">
        <f>VLOOKUP($A39,'Data shares'!$C:$FA,90)</f>
        <v>99271200</v>
      </c>
      <c r="I39" s="86">
        <f>VLOOKUP($A39,'Data shares'!$C:$FA,92)</f>
        <v>-843600</v>
      </c>
      <c r="J39" s="87">
        <f>VLOOKUP($A39,'Data shares'!$C:$FA,93)</f>
        <v>-8.3999999999999995E-3</v>
      </c>
      <c r="K39" s="86">
        <f>VLOOKUP($A39,'Data shares'!$C:$FA,94)</f>
        <v>56259000</v>
      </c>
      <c r="L39" s="86">
        <f>VLOOKUP($A39,'Data shares'!$C:$FA,96)</f>
        <v>1570350</v>
      </c>
      <c r="M39" s="87">
        <f>VLOOKUP($A39,'Data shares'!$C:$FA,97)</f>
        <v>2.87E-2</v>
      </c>
      <c r="N39" s="86">
        <f>VLOOKUP($A39,'Data shares'!$C:$FA,78)</f>
        <v>93944550</v>
      </c>
      <c r="O39" s="87">
        <f>VLOOKUP($A39,'Data shares'!$C:$FA,81)</f>
        <v>-2.29E-2</v>
      </c>
    </row>
    <row r="40" spans="1:15" x14ac:dyDescent="0.25">
      <c r="A40" s="100" t="str">
        <f>'OI(Value)'!A40</f>
        <v>BHARATFORG</v>
      </c>
      <c r="B40" s="82">
        <f>VLOOKUP(A40,'Data shares'!$C$2:$CV$231,98,0)</f>
        <v>19941500</v>
      </c>
      <c r="C40" s="82">
        <f>VLOOKUP(A40,'Data shares'!$C$2:$CX$231,100,0)</f>
        <v>272000</v>
      </c>
      <c r="D40" s="141">
        <f>VLOOKUP(A40,'Data shares'!$C$2:$CY$554,101,0)</f>
        <v>1.38E-2</v>
      </c>
      <c r="E40" s="86">
        <f>VLOOKUP($A40,'Data shares'!$C:$FA,74)</f>
        <v>12400500</v>
      </c>
      <c r="F40" s="86">
        <f>VLOOKUP($A40,'Data shares'!$C:$FA,76)</f>
        <v>172500</v>
      </c>
      <c r="G40" s="87">
        <f>VLOOKUP(A40,'Data shares'!$C$2:$CA$231,77,0)</f>
        <v>1.41E-2</v>
      </c>
      <c r="H40" s="86">
        <f>VLOOKUP($A40,'Data shares'!$C:$FA,90)</f>
        <v>4576500</v>
      </c>
      <c r="I40" s="86">
        <f>VLOOKUP($A40,'Data shares'!$C:$FA,92)</f>
        <v>-500</v>
      </c>
      <c r="J40" s="87">
        <f>VLOOKUP($A40,'Data shares'!$C:$FA,93)</f>
        <v>-1E-4</v>
      </c>
      <c r="K40" s="86">
        <f>VLOOKUP($A40,'Data shares'!$C:$FA,94)</f>
        <v>2964500</v>
      </c>
      <c r="L40" s="86">
        <f>VLOOKUP($A40,'Data shares'!$C:$FA,96)</f>
        <v>100000</v>
      </c>
      <c r="M40" s="87">
        <f>VLOOKUP($A40,'Data shares'!$C:$FA,97)</f>
        <v>3.49E-2</v>
      </c>
      <c r="N40" s="86">
        <f>VLOOKUP($A40,'Data shares'!$C:$FA,78)</f>
        <v>11491500</v>
      </c>
      <c r="O40" s="87">
        <f>VLOOKUP($A40,'Data shares'!$C:$FA,81)</f>
        <v>1.9E-3</v>
      </c>
    </row>
    <row r="41" spans="1:15" x14ac:dyDescent="0.25">
      <c r="A41" s="100" t="str">
        <f>'OI(Value)'!A41</f>
        <v>BHARTIARTL</v>
      </c>
      <c r="B41" s="82">
        <f>VLOOKUP(A41,'Data shares'!$C$2:$CV$231,98,0)</f>
        <v>80465475</v>
      </c>
      <c r="C41" s="82">
        <f>VLOOKUP(A41,'Data shares'!$C$2:$CX$231,100,0)</f>
        <v>-307325</v>
      </c>
      <c r="D41" s="141">
        <f>VLOOKUP(A41,'Data shares'!$C$2:$CY$554,101,0)</f>
        <v>-3.8E-3</v>
      </c>
      <c r="E41" s="86">
        <f>VLOOKUP($A41,'Data shares'!$C:$FA,74)</f>
        <v>50224600</v>
      </c>
      <c r="F41" s="86">
        <f>VLOOKUP($A41,'Data shares'!$C:$FA,76)</f>
        <v>-285950</v>
      </c>
      <c r="G41" s="87">
        <f>VLOOKUP(A41,'Data shares'!$C$2:$CA$231,77,0)</f>
        <v>-5.7000000000000002E-3</v>
      </c>
      <c r="H41" s="86">
        <f>VLOOKUP($A41,'Data shares'!$C:$FA,90)</f>
        <v>21345075</v>
      </c>
      <c r="I41" s="86">
        <f>VLOOKUP($A41,'Data shares'!$C:$FA,92)</f>
        <v>-52250</v>
      </c>
      <c r="J41" s="87">
        <f>VLOOKUP($A41,'Data shares'!$C:$FA,93)</f>
        <v>-2.3999999999999998E-3</v>
      </c>
      <c r="K41" s="86">
        <f>VLOOKUP($A41,'Data shares'!$C:$FA,94)</f>
        <v>8895800</v>
      </c>
      <c r="L41" s="86">
        <f>VLOOKUP($A41,'Data shares'!$C:$FA,96)</f>
        <v>30875</v>
      </c>
      <c r="M41" s="87">
        <f>VLOOKUP($A41,'Data shares'!$C:$FA,97)</f>
        <v>3.5000000000000001E-3</v>
      </c>
      <c r="N41" s="86">
        <f>VLOOKUP($A41,'Data shares'!$C:$FA,78)</f>
        <v>41841800</v>
      </c>
      <c r="O41" s="87">
        <f>VLOOKUP($A41,'Data shares'!$C:$FA,81)</f>
        <v>-1.26E-2</v>
      </c>
    </row>
    <row r="42" spans="1:15" x14ac:dyDescent="0.25">
      <c r="A42" s="100" t="str">
        <f>'OI(Value)'!A42</f>
        <v>BHEL</v>
      </c>
      <c r="B42" s="82">
        <f>VLOOKUP(A42,'Data shares'!$C$2:$CV$231,98,0)</f>
        <v>110040000</v>
      </c>
      <c r="C42" s="82">
        <f>VLOOKUP(A42,'Data shares'!$C$2:$CX$231,100,0)</f>
        <v>2777250</v>
      </c>
      <c r="D42" s="141">
        <f>VLOOKUP(A42,'Data shares'!$C$2:$CY$554,101,0)</f>
        <v>2.5899999999999999E-2</v>
      </c>
      <c r="E42" s="86">
        <f>VLOOKUP($A42,'Data shares'!$C:$FA,74)</f>
        <v>56322000</v>
      </c>
      <c r="F42" s="86">
        <f>VLOOKUP($A42,'Data shares'!$C:$FA,76)</f>
        <v>-86625</v>
      </c>
      <c r="G42" s="87">
        <f>VLOOKUP(A42,'Data shares'!$C$2:$CA$231,77,0)</f>
        <v>-1.5E-3</v>
      </c>
      <c r="H42" s="86">
        <f>VLOOKUP($A42,'Data shares'!$C:$FA,90)</f>
        <v>35253750</v>
      </c>
      <c r="I42" s="86">
        <f>VLOOKUP($A42,'Data shares'!$C:$FA,92)</f>
        <v>2212875</v>
      </c>
      <c r="J42" s="87">
        <f>VLOOKUP($A42,'Data shares'!$C:$FA,93)</f>
        <v>6.7000000000000004E-2</v>
      </c>
      <c r="K42" s="86">
        <f>VLOOKUP($A42,'Data shares'!$C:$FA,94)</f>
        <v>18464250</v>
      </c>
      <c r="L42" s="86">
        <f>VLOOKUP($A42,'Data shares'!$C:$FA,96)</f>
        <v>651000</v>
      </c>
      <c r="M42" s="87">
        <f>VLOOKUP($A42,'Data shares'!$C:$FA,97)</f>
        <v>3.6499999999999998E-2</v>
      </c>
      <c r="N42" s="86">
        <f>VLOOKUP($A42,'Data shares'!$C:$FA,78)</f>
        <v>50342250</v>
      </c>
      <c r="O42" s="87">
        <f>VLOOKUP($A42,'Data shares'!$C:$FA,81)</f>
        <v>-1.72E-2</v>
      </c>
    </row>
    <row r="43" spans="1:15" x14ac:dyDescent="0.25">
      <c r="A43" s="100" t="str">
        <f>'OI(Value)'!A43</f>
        <v>BIOCON</v>
      </c>
      <c r="B43" s="82">
        <f>VLOOKUP(A43,'Data shares'!$C$2:$CV$231,98,0)</f>
        <v>77152500</v>
      </c>
      <c r="C43" s="82">
        <f>VLOOKUP(A43,'Data shares'!$C$2:$CX$231,100,0)</f>
        <v>-2020000</v>
      </c>
      <c r="D43" s="141">
        <f>VLOOKUP(A43,'Data shares'!$C$2:$CY$554,101,0)</f>
        <v>-2.5499999999999998E-2</v>
      </c>
      <c r="E43" s="86">
        <f>VLOOKUP($A43,'Data shares'!$C:$FA,74)</f>
        <v>39532500</v>
      </c>
      <c r="F43" s="86">
        <f>VLOOKUP($A43,'Data shares'!$C:$FA,76)</f>
        <v>-685000</v>
      </c>
      <c r="G43" s="87">
        <f>VLOOKUP(A43,'Data shares'!$C$2:$CA$231,77,0)</f>
        <v>-1.7000000000000001E-2</v>
      </c>
      <c r="H43" s="86">
        <f>VLOOKUP($A43,'Data shares'!$C:$FA,90)</f>
        <v>22765000</v>
      </c>
      <c r="I43" s="86">
        <f>VLOOKUP($A43,'Data shares'!$C:$FA,92)</f>
        <v>-22500</v>
      </c>
      <c r="J43" s="87">
        <f>VLOOKUP($A43,'Data shares'!$C:$FA,93)</f>
        <v>-1E-3</v>
      </c>
      <c r="K43" s="86">
        <f>VLOOKUP($A43,'Data shares'!$C:$FA,94)</f>
        <v>14855000</v>
      </c>
      <c r="L43" s="86">
        <f>VLOOKUP($A43,'Data shares'!$C:$FA,96)</f>
        <v>-1312500</v>
      </c>
      <c r="M43" s="87">
        <f>VLOOKUP($A43,'Data shares'!$C:$FA,97)</f>
        <v>-8.1199999999999994E-2</v>
      </c>
      <c r="N43" s="86">
        <f>VLOOKUP($A43,'Data shares'!$C:$FA,78)</f>
        <v>31662500</v>
      </c>
      <c r="O43" s="87">
        <f>VLOOKUP($A43,'Data shares'!$C:$FA,81)</f>
        <v>-5.0299999999999997E-2</v>
      </c>
    </row>
    <row r="44" spans="1:15" x14ac:dyDescent="0.25">
      <c r="A44" s="100" t="str">
        <f>'OI(Value)'!A44</f>
        <v>BLUESTARCO</v>
      </c>
      <c r="B44" s="82">
        <f>VLOOKUP(A44,'Data shares'!$C$2:$CV$231,98,0)</f>
        <v>5566275</v>
      </c>
      <c r="C44" s="82">
        <f>VLOOKUP(A44,'Data shares'!$C$2:$CX$231,100,0)</f>
        <v>134875</v>
      </c>
      <c r="D44" s="141">
        <f>VLOOKUP(A44,'Data shares'!$C$2:$CY$554,101,0)</f>
        <v>2.4799999999999999E-2</v>
      </c>
      <c r="E44" s="86">
        <f>VLOOKUP($A44,'Data shares'!$C:$FA,74)</f>
        <v>2234700</v>
      </c>
      <c r="F44" s="86">
        <f>VLOOKUP($A44,'Data shares'!$C:$FA,76)</f>
        <v>86125</v>
      </c>
      <c r="G44" s="87">
        <f>VLOOKUP(A44,'Data shares'!$C$2:$CA$231,77,0)</f>
        <v>4.0099999999999997E-2</v>
      </c>
      <c r="H44" s="86">
        <f>VLOOKUP($A44,'Data shares'!$C:$FA,90)</f>
        <v>1662375</v>
      </c>
      <c r="I44" s="86">
        <f>VLOOKUP($A44,'Data shares'!$C:$FA,92)</f>
        <v>128375</v>
      </c>
      <c r="J44" s="87">
        <f>VLOOKUP($A44,'Data shares'!$C:$FA,93)</f>
        <v>8.3699999999999997E-2</v>
      </c>
      <c r="K44" s="86">
        <f>VLOOKUP($A44,'Data shares'!$C:$FA,94)</f>
        <v>1669200</v>
      </c>
      <c r="L44" s="86">
        <f>VLOOKUP($A44,'Data shares'!$C:$FA,96)</f>
        <v>-79625</v>
      </c>
      <c r="M44" s="87">
        <f>VLOOKUP($A44,'Data shares'!$C:$FA,97)</f>
        <v>-4.5499999999999999E-2</v>
      </c>
      <c r="N44" s="86">
        <f>VLOOKUP($A44,'Data shares'!$C:$FA,78)</f>
        <v>1630200</v>
      </c>
      <c r="O44" s="87">
        <f>VLOOKUP($A44,'Data shares'!$C:$FA,81)</f>
        <v>-1.2800000000000001E-2</v>
      </c>
    </row>
    <row r="45" spans="1:15" x14ac:dyDescent="0.25">
      <c r="A45" s="100" t="str">
        <f>'OI(Value)'!A45</f>
        <v>BOSCHLTD</v>
      </c>
      <c r="B45" s="82">
        <f>VLOOKUP(A45,'Data shares'!$C$2:$CV$231,98,0)</f>
        <v>1020950</v>
      </c>
      <c r="C45" s="82">
        <f>VLOOKUP(A45,'Data shares'!$C$2:$CX$231,100,0)</f>
        <v>-82850</v>
      </c>
      <c r="D45" s="141">
        <f>VLOOKUP(A45,'Data shares'!$C$2:$CY$554,101,0)</f>
        <v>-7.51E-2</v>
      </c>
      <c r="E45" s="86">
        <f>VLOOKUP($A45,'Data shares'!$C:$FA,74)</f>
        <v>328850</v>
      </c>
      <c r="F45" s="86">
        <f>VLOOKUP($A45,'Data shares'!$C:$FA,76)</f>
        <v>-12725</v>
      </c>
      <c r="G45" s="87">
        <f>VLOOKUP(A45,'Data shares'!$C$2:$CA$231,77,0)</f>
        <v>-3.73E-2</v>
      </c>
      <c r="H45" s="86">
        <f>VLOOKUP($A45,'Data shares'!$C:$FA,90)</f>
        <v>443375</v>
      </c>
      <c r="I45" s="86">
        <f>VLOOKUP($A45,'Data shares'!$C:$FA,92)</f>
        <v>-51400</v>
      </c>
      <c r="J45" s="87">
        <f>VLOOKUP($A45,'Data shares'!$C:$FA,93)</f>
        <v>-0.10390000000000001</v>
      </c>
      <c r="K45" s="86">
        <f>VLOOKUP($A45,'Data shares'!$C:$FA,94)</f>
        <v>248725</v>
      </c>
      <c r="L45" s="86">
        <f>VLOOKUP($A45,'Data shares'!$C:$FA,96)</f>
        <v>-18725</v>
      </c>
      <c r="M45" s="87">
        <f>VLOOKUP($A45,'Data shares'!$C:$FA,97)</f>
        <v>-7.0000000000000007E-2</v>
      </c>
      <c r="N45" s="86">
        <f>VLOOKUP($A45,'Data shares'!$C:$FA,78)</f>
        <v>313175</v>
      </c>
      <c r="O45" s="87">
        <f>VLOOKUP($A45,'Data shares'!$C:$FA,81)</f>
        <v>-3.73E-2</v>
      </c>
    </row>
    <row r="46" spans="1:15" x14ac:dyDescent="0.25">
      <c r="A46" s="100" t="str">
        <f>'OI(Value)'!A46</f>
        <v>BPCL</v>
      </c>
      <c r="B46" s="82">
        <f>VLOOKUP(A46,'Data shares'!$C$2:$CV$231,98,0)</f>
        <v>79707050</v>
      </c>
      <c r="C46" s="82">
        <f>VLOOKUP(A46,'Data shares'!$C$2:$CX$231,100,0)</f>
        <v>-359450</v>
      </c>
      <c r="D46" s="141">
        <f>VLOOKUP(A46,'Data shares'!$C$2:$CY$554,101,0)</f>
        <v>-4.4999999999999997E-3</v>
      </c>
      <c r="E46" s="86">
        <f>VLOOKUP($A46,'Data shares'!$C:$FA,74)</f>
        <v>46213025</v>
      </c>
      <c r="F46" s="86">
        <f>VLOOKUP($A46,'Data shares'!$C:$FA,76)</f>
        <v>-244900</v>
      </c>
      <c r="G46" s="87">
        <f>VLOOKUP(A46,'Data shares'!$C$2:$CA$231,77,0)</f>
        <v>-5.3E-3</v>
      </c>
      <c r="H46" s="86">
        <f>VLOOKUP($A46,'Data shares'!$C:$FA,90)</f>
        <v>19667050</v>
      </c>
      <c r="I46" s="86">
        <f>VLOOKUP($A46,'Data shares'!$C:$FA,92)</f>
        <v>-152075</v>
      </c>
      <c r="J46" s="87">
        <f>VLOOKUP($A46,'Data shares'!$C:$FA,93)</f>
        <v>-7.7000000000000002E-3</v>
      </c>
      <c r="K46" s="86">
        <f>VLOOKUP($A46,'Data shares'!$C:$FA,94)</f>
        <v>13826975</v>
      </c>
      <c r="L46" s="86">
        <f>VLOOKUP($A46,'Data shares'!$C:$FA,96)</f>
        <v>37525</v>
      </c>
      <c r="M46" s="87">
        <f>VLOOKUP($A46,'Data shares'!$C:$FA,97)</f>
        <v>2.7000000000000001E-3</v>
      </c>
      <c r="N46" s="86">
        <f>VLOOKUP($A46,'Data shares'!$C:$FA,78)</f>
        <v>32960775</v>
      </c>
      <c r="O46" s="87">
        <f>VLOOKUP($A46,'Data shares'!$C:$FA,81)</f>
        <v>-8.3999999999999995E-3</v>
      </c>
    </row>
    <row r="47" spans="1:15" x14ac:dyDescent="0.25">
      <c r="A47" s="100" t="str">
        <f>'OI(Value)'!A47</f>
        <v>BRITANNIA</v>
      </c>
      <c r="B47" s="82">
        <f>VLOOKUP(A47,'Data shares'!$C$2:$CV$231,98,0)</f>
        <v>4369125</v>
      </c>
      <c r="C47" s="82">
        <f>VLOOKUP(A47,'Data shares'!$C$2:$CX$231,100,0)</f>
        <v>36125</v>
      </c>
      <c r="D47" s="141">
        <f>VLOOKUP(A47,'Data shares'!$C$2:$CY$554,101,0)</f>
        <v>8.3000000000000001E-3</v>
      </c>
      <c r="E47" s="86">
        <f>VLOOKUP($A47,'Data shares'!$C:$FA,74)</f>
        <v>3155625</v>
      </c>
      <c r="F47" s="86">
        <f>VLOOKUP($A47,'Data shares'!$C:$FA,76)</f>
        <v>16500</v>
      </c>
      <c r="G47" s="87">
        <f>VLOOKUP(A47,'Data shares'!$C$2:$CA$231,77,0)</f>
        <v>5.3E-3</v>
      </c>
      <c r="H47" s="86">
        <f>VLOOKUP($A47,'Data shares'!$C:$FA,90)</f>
        <v>761250</v>
      </c>
      <c r="I47" s="86">
        <f>VLOOKUP($A47,'Data shares'!$C:$FA,92)</f>
        <v>-10375</v>
      </c>
      <c r="J47" s="87">
        <f>VLOOKUP($A47,'Data shares'!$C:$FA,93)</f>
        <v>-1.34E-2</v>
      </c>
      <c r="K47" s="86">
        <f>VLOOKUP($A47,'Data shares'!$C:$FA,94)</f>
        <v>452250</v>
      </c>
      <c r="L47" s="86">
        <f>VLOOKUP($A47,'Data shares'!$C:$FA,96)</f>
        <v>30000</v>
      </c>
      <c r="M47" s="87">
        <f>VLOOKUP($A47,'Data shares'!$C:$FA,97)</f>
        <v>7.0999999999999994E-2</v>
      </c>
      <c r="N47" s="86">
        <f>VLOOKUP($A47,'Data shares'!$C:$FA,78)</f>
        <v>2953500</v>
      </c>
      <c r="O47" s="87">
        <f>VLOOKUP($A47,'Data shares'!$C:$FA,81)</f>
        <v>1.4E-3</v>
      </c>
    </row>
    <row r="48" spans="1:15" x14ac:dyDescent="0.25">
      <c r="A48" s="100" t="str">
        <f>'OI(Value)'!A48</f>
        <v>BSE</v>
      </c>
      <c r="B48" s="82">
        <f>VLOOKUP(A48,'Data shares'!$C$2:$CV$231,98,0)</f>
        <v>43497000</v>
      </c>
      <c r="C48" s="82">
        <f>VLOOKUP(A48,'Data shares'!$C$2:$CX$231,100,0)</f>
        <v>-1217250</v>
      </c>
      <c r="D48" s="141">
        <f>VLOOKUP(A48,'Data shares'!$C$2:$CY$554,101,0)</f>
        <v>-2.7199999999999998E-2</v>
      </c>
      <c r="E48" s="86">
        <f>VLOOKUP($A48,'Data shares'!$C:$FA,74)</f>
        <v>13180125</v>
      </c>
      <c r="F48" s="86">
        <f>VLOOKUP($A48,'Data shares'!$C:$FA,76)</f>
        <v>-424875</v>
      </c>
      <c r="G48" s="87">
        <f>VLOOKUP(A48,'Data shares'!$C$2:$CA$231,77,0)</f>
        <v>-3.1199999999999999E-2</v>
      </c>
      <c r="H48" s="86">
        <f>VLOOKUP($A48,'Data shares'!$C:$FA,90)</f>
        <v>19578375</v>
      </c>
      <c r="I48" s="86">
        <f>VLOOKUP($A48,'Data shares'!$C:$FA,92)</f>
        <v>-478500</v>
      </c>
      <c r="J48" s="87">
        <f>VLOOKUP($A48,'Data shares'!$C:$FA,93)</f>
        <v>-2.3900000000000001E-2</v>
      </c>
      <c r="K48" s="86">
        <f>VLOOKUP($A48,'Data shares'!$C:$FA,94)</f>
        <v>10738500</v>
      </c>
      <c r="L48" s="86">
        <f>VLOOKUP($A48,'Data shares'!$C:$FA,96)</f>
        <v>-313875</v>
      </c>
      <c r="M48" s="87">
        <f>VLOOKUP($A48,'Data shares'!$C:$FA,97)</f>
        <v>-2.8400000000000002E-2</v>
      </c>
      <c r="N48" s="86">
        <f>VLOOKUP($A48,'Data shares'!$C:$FA,78)</f>
        <v>11191500</v>
      </c>
      <c r="O48" s="87">
        <f>VLOOKUP($A48,'Data shares'!$C:$FA,81)</f>
        <v>-3.5299999999999998E-2</v>
      </c>
    </row>
    <row r="49" spans="1:15" x14ac:dyDescent="0.25">
      <c r="A49" s="100" t="str">
        <f>'OI(Value)'!A49</f>
        <v>BSOFT</v>
      </c>
      <c r="B49" s="82">
        <f>VLOOKUP(A49,'Data shares'!$C$2:$CV$231,98,0)</f>
        <v>22295000</v>
      </c>
      <c r="C49" s="82">
        <f>VLOOKUP(A49,'Data shares'!$C$2:$CX$231,100,0)</f>
        <v>-633100</v>
      </c>
      <c r="D49" s="141">
        <f>VLOOKUP(A49,'Data shares'!$C$2:$CY$554,101,0)</f>
        <v>-2.76E-2</v>
      </c>
      <c r="E49" s="86">
        <f>VLOOKUP($A49,'Data shares'!$C:$FA,74)</f>
        <v>8505900</v>
      </c>
      <c r="F49" s="86">
        <f>VLOOKUP($A49,'Data shares'!$C:$FA,76)</f>
        <v>-100100</v>
      </c>
      <c r="G49" s="87">
        <f>VLOOKUP(A49,'Data shares'!$C$2:$CA$231,77,0)</f>
        <v>-1.1599999999999999E-2</v>
      </c>
      <c r="H49" s="86">
        <f>VLOOKUP($A49,'Data shares'!$C:$FA,90)</f>
        <v>9582300</v>
      </c>
      <c r="I49" s="86">
        <f>VLOOKUP($A49,'Data shares'!$C:$FA,92)</f>
        <v>-469300</v>
      </c>
      <c r="J49" s="87">
        <f>VLOOKUP($A49,'Data shares'!$C:$FA,93)</f>
        <v>-4.6699999999999998E-2</v>
      </c>
      <c r="K49" s="86">
        <f>VLOOKUP($A49,'Data shares'!$C:$FA,94)</f>
        <v>4206800</v>
      </c>
      <c r="L49" s="86">
        <f>VLOOKUP($A49,'Data shares'!$C:$FA,96)</f>
        <v>-63700</v>
      </c>
      <c r="M49" s="87">
        <f>VLOOKUP($A49,'Data shares'!$C:$FA,97)</f>
        <v>-1.49E-2</v>
      </c>
      <c r="N49" s="86">
        <f>VLOOKUP($A49,'Data shares'!$C:$FA,78)</f>
        <v>8505900</v>
      </c>
      <c r="O49" s="87">
        <f>VLOOKUP($A49,'Data shares'!$C:$FA,81)</f>
        <v>-1.1599999999999999E-2</v>
      </c>
    </row>
    <row r="50" spans="1:15" x14ac:dyDescent="0.25">
      <c r="A50" s="100" t="str">
        <f>'OI(Value)'!A50</f>
        <v>CAMS</v>
      </c>
      <c r="B50" s="82">
        <f>VLOOKUP(A50,'Data shares'!$C$2:$CV$231,98,0)</f>
        <v>4416150</v>
      </c>
      <c r="C50" s="82">
        <f>VLOOKUP(A50,'Data shares'!$C$2:$CX$231,100,0)</f>
        <v>17250</v>
      </c>
      <c r="D50" s="141">
        <f>VLOOKUP(A50,'Data shares'!$C$2:$CY$554,101,0)</f>
        <v>3.8999999999999998E-3</v>
      </c>
      <c r="E50" s="86">
        <f>VLOOKUP($A50,'Data shares'!$C:$FA,74)</f>
        <v>2442150</v>
      </c>
      <c r="F50" s="86">
        <f>VLOOKUP($A50,'Data shares'!$C:$FA,76)</f>
        <v>-7950</v>
      </c>
      <c r="G50" s="87">
        <f>VLOOKUP(A50,'Data shares'!$C$2:$CA$231,77,0)</f>
        <v>-3.2000000000000002E-3</v>
      </c>
      <c r="H50" s="86">
        <f>VLOOKUP($A50,'Data shares'!$C:$FA,90)</f>
        <v>1150500</v>
      </c>
      <c r="I50" s="86">
        <f>VLOOKUP($A50,'Data shares'!$C:$FA,92)</f>
        <v>30600</v>
      </c>
      <c r="J50" s="87">
        <f>VLOOKUP($A50,'Data shares'!$C:$FA,93)</f>
        <v>2.7300000000000001E-2</v>
      </c>
      <c r="K50" s="86">
        <f>VLOOKUP($A50,'Data shares'!$C:$FA,94)</f>
        <v>823500</v>
      </c>
      <c r="L50" s="86">
        <f>VLOOKUP($A50,'Data shares'!$C:$FA,96)</f>
        <v>-5400</v>
      </c>
      <c r="M50" s="87">
        <f>VLOOKUP($A50,'Data shares'!$C:$FA,97)</f>
        <v>-6.4999999999999997E-3</v>
      </c>
      <c r="N50" s="86">
        <f>VLOOKUP($A50,'Data shares'!$C:$FA,78)</f>
        <v>2171700</v>
      </c>
      <c r="O50" s="87">
        <f>VLOOKUP($A50,'Data shares'!$C:$FA,81)</f>
        <v>-1.29E-2</v>
      </c>
    </row>
    <row r="51" spans="1:15" x14ac:dyDescent="0.25">
      <c r="A51" s="100" t="str">
        <f>'OI(Value)'!A51</f>
        <v>CANBK</v>
      </c>
      <c r="B51" s="82">
        <f>VLOOKUP(A51,'Data shares'!$C$2:$CV$231,98,0)</f>
        <v>461018250</v>
      </c>
      <c r="C51" s="82">
        <f>VLOOKUP(A51,'Data shares'!$C$2:$CX$231,100,0)</f>
        <v>48735000</v>
      </c>
      <c r="D51" s="141">
        <f>VLOOKUP(A51,'Data shares'!$C$2:$CY$554,101,0)</f>
        <v>0.1182</v>
      </c>
      <c r="E51" s="86">
        <f>VLOOKUP($A51,'Data shares'!$C:$FA,74)</f>
        <v>207245250</v>
      </c>
      <c r="F51" s="86">
        <f>VLOOKUP($A51,'Data shares'!$C:$FA,76)</f>
        <v>12561750</v>
      </c>
      <c r="G51" s="87">
        <f>VLOOKUP(A51,'Data shares'!$C$2:$CA$231,77,0)</f>
        <v>6.4500000000000002E-2</v>
      </c>
      <c r="H51" s="86">
        <f>VLOOKUP($A51,'Data shares'!$C:$FA,90)</f>
        <v>156539250</v>
      </c>
      <c r="I51" s="86">
        <f>VLOOKUP($A51,'Data shares'!$C:$FA,92)</f>
        <v>26257500</v>
      </c>
      <c r="J51" s="87">
        <f>VLOOKUP($A51,'Data shares'!$C:$FA,93)</f>
        <v>0.20150000000000001</v>
      </c>
      <c r="K51" s="86">
        <f>VLOOKUP($A51,'Data shares'!$C:$FA,94)</f>
        <v>97233750</v>
      </c>
      <c r="L51" s="86">
        <f>VLOOKUP($A51,'Data shares'!$C:$FA,96)</f>
        <v>9915750</v>
      </c>
      <c r="M51" s="87">
        <f>VLOOKUP($A51,'Data shares'!$C:$FA,97)</f>
        <v>0.11360000000000001</v>
      </c>
      <c r="N51" s="86">
        <f>VLOOKUP($A51,'Data shares'!$C:$FA,78)</f>
        <v>157929750</v>
      </c>
      <c r="O51" s="87">
        <f>VLOOKUP($A51,'Data shares'!$C:$FA,81)</f>
        <v>4.0000000000000001E-3</v>
      </c>
    </row>
    <row r="52" spans="1:15" x14ac:dyDescent="0.25">
      <c r="A52" s="100" t="str">
        <f>'OI(Value)'!A52</f>
        <v>CDSL</v>
      </c>
      <c r="B52" s="82">
        <f>VLOOKUP(A52,'Data shares'!$C$2:$CV$231,98,0)</f>
        <v>24263475</v>
      </c>
      <c r="C52" s="82">
        <f>VLOOKUP(A52,'Data shares'!$C$2:$CX$231,100,0)</f>
        <v>1186075</v>
      </c>
      <c r="D52" s="141">
        <f>VLOOKUP(A52,'Data shares'!$C$2:$CY$554,101,0)</f>
        <v>5.1400000000000001E-2</v>
      </c>
      <c r="E52" s="86">
        <f>VLOOKUP($A52,'Data shares'!$C:$FA,74)</f>
        <v>10186850</v>
      </c>
      <c r="F52" s="86">
        <f>VLOOKUP($A52,'Data shares'!$C:$FA,76)</f>
        <v>458375</v>
      </c>
      <c r="G52" s="87">
        <f>VLOOKUP(A52,'Data shares'!$C$2:$CA$231,77,0)</f>
        <v>4.7100000000000003E-2</v>
      </c>
      <c r="H52" s="86">
        <f>VLOOKUP($A52,'Data shares'!$C:$FA,90)</f>
        <v>9256800</v>
      </c>
      <c r="I52" s="86">
        <f>VLOOKUP($A52,'Data shares'!$C:$FA,92)</f>
        <v>622725</v>
      </c>
      <c r="J52" s="87">
        <f>VLOOKUP($A52,'Data shares'!$C:$FA,93)</f>
        <v>7.2099999999999997E-2</v>
      </c>
      <c r="K52" s="86">
        <f>VLOOKUP($A52,'Data shares'!$C:$FA,94)</f>
        <v>4819825</v>
      </c>
      <c r="L52" s="86">
        <f>VLOOKUP($A52,'Data shares'!$C:$FA,96)</f>
        <v>104975</v>
      </c>
      <c r="M52" s="87">
        <f>VLOOKUP($A52,'Data shares'!$C:$FA,97)</f>
        <v>2.23E-2</v>
      </c>
      <c r="N52" s="86">
        <f>VLOOKUP($A52,'Data shares'!$C:$FA,78)</f>
        <v>7991875</v>
      </c>
      <c r="O52" s="87">
        <f>VLOOKUP($A52,'Data shares'!$C:$FA,81)</f>
        <v>1.67E-2</v>
      </c>
    </row>
    <row r="53" spans="1:15" x14ac:dyDescent="0.25">
      <c r="A53" s="100" t="str">
        <f>'OI(Value)'!A53</f>
        <v>CESC</v>
      </c>
      <c r="B53" s="82">
        <f>VLOOKUP(A53,'Data shares'!$C$2:$CV$231,98,0)</f>
        <v>34510000</v>
      </c>
      <c r="C53" s="82">
        <f>VLOOKUP(A53,'Data shares'!$C$2:$CX$231,100,0)</f>
        <v>-862750</v>
      </c>
      <c r="D53" s="141">
        <f>VLOOKUP(A53,'Data shares'!$C$2:$CY$554,101,0)</f>
        <v>-2.4400000000000002E-2</v>
      </c>
      <c r="E53" s="86">
        <f>VLOOKUP($A53,'Data shares'!$C:$FA,74)</f>
        <v>17226000</v>
      </c>
      <c r="F53" s="86">
        <f>VLOOKUP($A53,'Data shares'!$C:$FA,76)</f>
        <v>-351625</v>
      </c>
      <c r="G53" s="87">
        <f>VLOOKUP(A53,'Data shares'!$C$2:$CA$231,77,0)</f>
        <v>-0.02</v>
      </c>
      <c r="H53" s="86">
        <f>VLOOKUP($A53,'Data shares'!$C:$FA,90)</f>
        <v>12143750</v>
      </c>
      <c r="I53" s="86">
        <f>VLOOKUP($A53,'Data shares'!$C:$FA,92)</f>
        <v>-493000</v>
      </c>
      <c r="J53" s="87">
        <f>VLOOKUP($A53,'Data shares'!$C:$FA,93)</f>
        <v>-3.9E-2</v>
      </c>
      <c r="K53" s="86">
        <f>VLOOKUP($A53,'Data shares'!$C:$FA,94)</f>
        <v>5140250</v>
      </c>
      <c r="L53" s="86">
        <f>VLOOKUP($A53,'Data shares'!$C:$FA,96)</f>
        <v>-18125</v>
      </c>
      <c r="M53" s="87">
        <f>VLOOKUP($A53,'Data shares'!$C:$FA,97)</f>
        <v>-3.5000000000000001E-3</v>
      </c>
      <c r="N53" s="86">
        <f>VLOOKUP($A53,'Data shares'!$C:$FA,78)</f>
        <v>16443000</v>
      </c>
      <c r="O53" s="87">
        <f>VLOOKUP($A53,'Data shares'!$C:$FA,81)</f>
        <v>-2.7699999999999999E-2</v>
      </c>
    </row>
    <row r="54" spans="1:15" x14ac:dyDescent="0.25">
      <c r="A54" s="100" t="str">
        <f>'OI(Value)'!A54</f>
        <v>CGPOWER</v>
      </c>
      <c r="B54" s="82">
        <f>VLOOKUP(A54,'Data shares'!$C$2:$CV$231,98,0)</f>
        <v>27324100</v>
      </c>
      <c r="C54" s="82">
        <f>VLOOKUP(A54,'Data shares'!$C$2:$CX$231,100,0)</f>
        <v>22100</v>
      </c>
      <c r="D54" s="141">
        <f>VLOOKUP(A54,'Data shares'!$C$2:$CY$554,101,0)</f>
        <v>8.0000000000000004E-4</v>
      </c>
      <c r="E54" s="86">
        <f>VLOOKUP($A54,'Data shares'!$C:$FA,74)</f>
        <v>18206150</v>
      </c>
      <c r="F54" s="86">
        <f>VLOOKUP($A54,'Data shares'!$C:$FA,76)</f>
        <v>48450</v>
      </c>
      <c r="G54" s="87">
        <f>VLOOKUP(A54,'Data shares'!$C$2:$CA$231,77,0)</f>
        <v>2.7000000000000001E-3</v>
      </c>
      <c r="H54" s="86">
        <f>VLOOKUP($A54,'Data shares'!$C:$FA,90)</f>
        <v>5208800</v>
      </c>
      <c r="I54" s="86">
        <f>VLOOKUP($A54,'Data shares'!$C:$FA,92)</f>
        <v>-58650</v>
      </c>
      <c r="J54" s="87">
        <f>VLOOKUP($A54,'Data shares'!$C:$FA,93)</f>
        <v>-1.11E-2</v>
      </c>
      <c r="K54" s="86">
        <f>VLOOKUP($A54,'Data shares'!$C:$FA,94)</f>
        <v>3909150</v>
      </c>
      <c r="L54" s="86">
        <f>VLOOKUP($A54,'Data shares'!$C:$FA,96)</f>
        <v>32300</v>
      </c>
      <c r="M54" s="87">
        <f>VLOOKUP($A54,'Data shares'!$C:$FA,97)</f>
        <v>8.3000000000000001E-3</v>
      </c>
      <c r="N54" s="86">
        <f>VLOOKUP($A54,'Data shares'!$C:$FA,78)</f>
        <v>17393550</v>
      </c>
      <c r="O54" s="87">
        <f>VLOOKUP($A54,'Data shares'!$C:$FA,81)</f>
        <v>4.4999999999999997E-3</v>
      </c>
    </row>
    <row r="55" spans="1:15" x14ac:dyDescent="0.25">
      <c r="A55" s="100" t="str">
        <f>'OI(Value)'!A55</f>
        <v>CHAMBLFERT</v>
      </c>
      <c r="B55" s="82">
        <f>VLOOKUP(A55,'Data shares'!$C$2:$CV$231,98,0)</f>
        <v>19131100</v>
      </c>
      <c r="C55" s="82">
        <f>VLOOKUP(A55,'Data shares'!$C$2:$CX$231,100,0)</f>
        <v>-376200</v>
      </c>
      <c r="D55" s="141">
        <f>VLOOKUP(A55,'Data shares'!$C$2:$CY$554,101,0)</f>
        <v>-1.9300000000000001E-2</v>
      </c>
      <c r="E55" s="86">
        <f>VLOOKUP($A55,'Data shares'!$C:$FA,74)</f>
        <v>10329350</v>
      </c>
      <c r="F55" s="86">
        <f>VLOOKUP($A55,'Data shares'!$C:$FA,76)</f>
        <v>-272650</v>
      </c>
      <c r="G55" s="87">
        <f>VLOOKUP(A55,'Data shares'!$C$2:$CA$231,77,0)</f>
        <v>-2.5700000000000001E-2</v>
      </c>
      <c r="H55" s="86">
        <f>VLOOKUP($A55,'Data shares'!$C:$FA,90)</f>
        <v>5975500</v>
      </c>
      <c r="I55" s="86">
        <f>VLOOKUP($A55,'Data shares'!$C:$FA,92)</f>
        <v>7600</v>
      </c>
      <c r="J55" s="87">
        <f>VLOOKUP($A55,'Data shares'!$C:$FA,93)</f>
        <v>1.2999999999999999E-3</v>
      </c>
      <c r="K55" s="86">
        <f>VLOOKUP($A55,'Data shares'!$C:$FA,94)</f>
        <v>2826250</v>
      </c>
      <c r="L55" s="86">
        <f>VLOOKUP($A55,'Data shares'!$C:$FA,96)</f>
        <v>-111150</v>
      </c>
      <c r="M55" s="87">
        <f>VLOOKUP($A55,'Data shares'!$C:$FA,97)</f>
        <v>-3.78E-2</v>
      </c>
      <c r="N55" s="86">
        <f>VLOOKUP($A55,'Data shares'!$C:$FA,78)</f>
        <v>10329350</v>
      </c>
      <c r="O55" s="87">
        <f>VLOOKUP($A55,'Data shares'!$C:$FA,81)</f>
        <v>-2.5700000000000001E-2</v>
      </c>
    </row>
    <row r="56" spans="1:15" x14ac:dyDescent="0.25">
      <c r="A56" s="100" t="str">
        <f>'OI(Value)'!A56</f>
        <v>CHOLAFIN</v>
      </c>
      <c r="B56" s="82">
        <f>VLOOKUP(A56,'Data shares'!$C$2:$CV$231,98,0)</f>
        <v>19325625</v>
      </c>
      <c r="C56" s="82">
        <f>VLOOKUP(A56,'Data shares'!$C$2:$CX$231,100,0)</f>
        <v>174375</v>
      </c>
      <c r="D56" s="141">
        <f>VLOOKUP(A56,'Data shares'!$C$2:$CY$554,101,0)</f>
        <v>9.1000000000000004E-3</v>
      </c>
      <c r="E56" s="86">
        <f>VLOOKUP($A56,'Data shares'!$C:$FA,74)</f>
        <v>12371875</v>
      </c>
      <c r="F56" s="86">
        <f>VLOOKUP($A56,'Data shares'!$C:$FA,76)</f>
        <v>90625</v>
      </c>
      <c r="G56" s="87">
        <f>VLOOKUP(A56,'Data shares'!$C$2:$CA$231,77,0)</f>
        <v>7.4000000000000003E-3</v>
      </c>
      <c r="H56" s="86">
        <f>VLOOKUP($A56,'Data shares'!$C:$FA,90)</f>
        <v>3949375</v>
      </c>
      <c r="I56" s="86">
        <f>VLOOKUP($A56,'Data shares'!$C:$FA,92)</f>
        <v>48125</v>
      </c>
      <c r="J56" s="87">
        <f>VLOOKUP($A56,'Data shares'!$C:$FA,93)</f>
        <v>1.23E-2</v>
      </c>
      <c r="K56" s="86">
        <f>VLOOKUP($A56,'Data shares'!$C:$FA,94)</f>
        <v>3004375</v>
      </c>
      <c r="L56" s="86">
        <f>VLOOKUP($A56,'Data shares'!$C:$FA,96)</f>
        <v>35625</v>
      </c>
      <c r="M56" s="87">
        <f>VLOOKUP($A56,'Data shares'!$C:$FA,97)</f>
        <v>1.2E-2</v>
      </c>
      <c r="N56" s="86">
        <f>VLOOKUP($A56,'Data shares'!$C:$FA,78)</f>
        <v>11418125</v>
      </c>
      <c r="O56" s="87">
        <f>VLOOKUP($A56,'Data shares'!$C:$FA,81)</f>
        <v>1.2999999999999999E-3</v>
      </c>
    </row>
    <row r="57" spans="1:15" x14ac:dyDescent="0.25">
      <c r="A57" s="100" t="str">
        <f>'OI(Value)'!A57</f>
        <v>CIPLA</v>
      </c>
      <c r="B57" s="82">
        <f>VLOOKUP(A57,'Data shares'!$C$2:$CV$231,98,0)</f>
        <v>20369250</v>
      </c>
      <c r="C57" s="82">
        <f>VLOOKUP(A57,'Data shares'!$C$2:$CX$231,100,0)</f>
        <v>-412875</v>
      </c>
      <c r="D57" s="141">
        <f>VLOOKUP(A57,'Data shares'!$C$2:$CY$554,101,0)</f>
        <v>-1.9900000000000001E-2</v>
      </c>
      <c r="E57" s="86">
        <f>VLOOKUP($A57,'Data shares'!$C:$FA,74)</f>
        <v>11997750</v>
      </c>
      <c r="F57" s="86">
        <f>VLOOKUP($A57,'Data shares'!$C:$FA,76)</f>
        <v>-378375</v>
      </c>
      <c r="G57" s="87">
        <f>VLOOKUP(A57,'Data shares'!$C$2:$CA$231,77,0)</f>
        <v>-3.0599999999999999E-2</v>
      </c>
      <c r="H57" s="86">
        <f>VLOOKUP($A57,'Data shares'!$C:$FA,90)</f>
        <v>5564625</v>
      </c>
      <c r="I57" s="86">
        <f>VLOOKUP($A57,'Data shares'!$C:$FA,92)</f>
        <v>-28500</v>
      </c>
      <c r="J57" s="87">
        <f>VLOOKUP($A57,'Data shares'!$C:$FA,93)</f>
        <v>-5.1000000000000004E-3</v>
      </c>
      <c r="K57" s="86">
        <f>VLOOKUP($A57,'Data shares'!$C:$FA,94)</f>
        <v>2806875</v>
      </c>
      <c r="L57" s="86">
        <f>VLOOKUP($A57,'Data shares'!$C:$FA,96)</f>
        <v>-6000</v>
      </c>
      <c r="M57" s="87">
        <f>VLOOKUP($A57,'Data shares'!$C:$FA,97)</f>
        <v>-2.0999999999999999E-3</v>
      </c>
      <c r="N57" s="86">
        <f>VLOOKUP($A57,'Data shares'!$C:$FA,78)</f>
        <v>11191875</v>
      </c>
      <c r="O57" s="87">
        <f>VLOOKUP($A57,'Data shares'!$C:$FA,81)</f>
        <v>-4.0099999999999997E-2</v>
      </c>
    </row>
    <row r="58" spans="1:15" x14ac:dyDescent="0.25">
      <c r="A58" s="100" t="str">
        <f>'OI(Value)'!A58</f>
        <v>COALINDIA</v>
      </c>
      <c r="B58" s="82">
        <f>VLOOKUP(A58,'Data shares'!$C$2:$CV$231,98,0)</f>
        <v>154836900</v>
      </c>
      <c r="C58" s="82">
        <f>VLOOKUP(A58,'Data shares'!$C$2:$CX$231,100,0)</f>
        <v>-5628150</v>
      </c>
      <c r="D58" s="141">
        <f>VLOOKUP(A58,'Data shares'!$C$2:$CY$554,101,0)</f>
        <v>-3.5099999999999999E-2</v>
      </c>
      <c r="E58" s="86">
        <f>VLOOKUP($A58,'Data shares'!$C:$FA,74)</f>
        <v>87030450</v>
      </c>
      <c r="F58" s="86">
        <f>VLOOKUP($A58,'Data shares'!$C:$FA,76)</f>
        <v>-3581550</v>
      </c>
      <c r="G58" s="87">
        <f>VLOOKUP(A58,'Data shares'!$C$2:$CA$231,77,0)</f>
        <v>-3.95E-2</v>
      </c>
      <c r="H58" s="86">
        <f>VLOOKUP($A58,'Data shares'!$C:$FA,90)</f>
        <v>38699100</v>
      </c>
      <c r="I58" s="86">
        <f>VLOOKUP($A58,'Data shares'!$C:$FA,92)</f>
        <v>-2025000</v>
      </c>
      <c r="J58" s="87">
        <f>VLOOKUP($A58,'Data shares'!$C:$FA,93)</f>
        <v>-4.9700000000000001E-2</v>
      </c>
      <c r="K58" s="86">
        <f>VLOOKUP($A58,'Data shares'!$C:$FA,94)</f>
        <v>29107350</v>
      </c>
      <c r="L58" s="86">
        <f>VLOOKUP($A58,'Data shares'!$C:$FA,96)</f>
        <v>-21600</v>
      </c>
      <c r="M58" s="87">
        <f>VLOOKUP($A58,'Data shares'!$C:$FA,97)</f>
        <v>-6.9999999999999999E-4</v>
      </c>
      <c r="N58" s="86">
        <f>VLOOKUP($A58,'Data shares'!$C:$FA,78)</f>
        <v>46255050</v>
      </c>
      <c r="O58" s="87">
        <f>VLOOKUP($A58,'Data shares'!$C:$FA,81)</f>
        <v>-6.9800000000000001E-2</v>
      </c>
    </row>
    <row r="59" spans="1:15" x14ac:dyDescent="0.25">
      <c r="A59" s="100" t="str">
        <f>'OI(Value)'!A59</f>
        <v>COFORGE</v>
      </c>
      <c r="B59" s="82">
        <f>VLOOKUP(A59,'Data shares'!$C$2:$CV$231,98,0)</f>
        <v>22157250</v>
      </c>
      <c r="C59" s="82">
        <f>VLOOKUP(A59,'Data shares'!$C$2:$CX$231,100,0)</f>
        <v>178875</v>
      </c>
      <c r="D59" s="141">
        <f>VLOOKUP(A59,'Data shares'!$C$2:$CY$554,101,0)</f>
        <v>8.0999999999999996E-3</v>
      </c>
      <c r="E59" s="86">
        <f>VLOOKUP($A59,'Data shares'!$C:$FA,74)</f>
        <v>13065750</v>
      </c>
      <c r="F59" s="86">
        <f>VLOOKUP($A59,'Data shares'!$C:$FA,76)</f>
        <v>-274875</v>
      </c>
      <c r="G59" s="87">
        <f>VLOOKUP(A59,'Data shares'!$C$2:$CA$231,77,0)</f>
        <v>-2.06E-2</v>
      </c>
      <c r="H59" s="86">
        <f>VLOOKUP($A59,'Data shares'!$C:$FA,90)</f>
        <v>6077250</v>
      </c>
      <c r="I59" s="86">
        <f>VLOOKUP($A59,'Data shares'!$C:$FA,92)</f>
        <v>371625</v>
      </c>
      <c r="J59" s="87">
        <f>VLOOKUP($A59,'Data shares'!$C:$FA,93)</f>
        <v>6.5100000000000005E-2</v>
      </c>
      <c r="K59" s="86">
        <f>VLOOKUP($A59,'Data shares'!$C:$FA,94)</f>
        <v>3014250</v>
      </c>
      <c r="L59" s="86">
        <f>VLOOKUP($A59,'Data shares'!$C:$FA,96)</f>
        <v>82125</v>
      </c>
      <c r="M59" s="87">
        <f>VLOOKUP($A59,'Data shares'!$C:$FA,97)</f>
        <v>2.8000000000000001E-2</v>
      </c>
      <c r="N59" s="86">
        <f>VLOOKUP($A59,'Data shares'!$C:$FA,78)</f>
        <v>12506250</v>
      </c>
      <c r="O59" s="87">
        <f>VLOOKUP($A59,'Data shares'!$C:$FA,81)</f>
        <v>-3.2000000000000001E-2</v>
      </c>
    </row>
    <row r="60" spans="1:15" x14ac:dyDescent="0.25">
      <c r="A60" s="100" t="str">
        <f>'OI(Value)'!A60</f>
        <v>COLPAL</v>
      </c>
      <c r="B60" s="82">
        <f>VLOOKUP(A60,'Data shares'!$C$2:$CV$231,98,0)</f>
        <v>9188550</v>
      </c>
      <c r="C60" s="82">
        <f>VLOOKUP(A60,'Data shares'!$C$2:$CX$231,100,0)</f>
        <v>828450</v>
      </c>
      <c r="D60" s="141">
        <f>VLOOKUP(A60,'Data shares'!$C$2:$CY$554,101,0)</f>
        <v>9.9099999999999994E-2</v>
      </c>
      <c r="E60" s="86">
        <f>VLOOKUP($A60,'Data shares'!$C:$FA,74)</f>
        <v>5669775</v>
      </c>
      <c r="F60" s="86">
        <f>VLOOKUP($A60,'Data shares'!$C:$FA,76)</f>
        <v>409050</v>
      </c>
      <c r="G60" s="87">
        <f>VLOOKUP(A60,'Data shares'!$C$2:$CA$231,77,0)</f>
        <v>7.7799999999999994E-2</v>
      </c>
      <c r="H60" s="86">
        <f>VLOOKUP($A60,'Data shares'!$C:$FA,90)</f>
        <v>1916550</v>
      </c>
      <c r="I60" s="86">
        <f>VLOOKUP($A60,'Data shares'!$C:$FA,92)</f>
        <v>394875</v>
      </c>
      <c r="J60" s="87">
        <f>VLOOKUP($A60,'Data shares'!$C:$FA,93)</f>
        <v>0.25950000000000001</v>
      </c>
      <c r="K60" s="86">
        <f>VLOOKUP($A60,'Data shares'!$C:$FA,94)</f>
        <v>1602225</v>
      </c>
      <c r="L60" s="86">
        <f>VLOOKUP($A60,'Data shares'!$C:$FA,96)</f>
        <v>24525</v>
      </c>
      <c r="M60" s="87">
        <f>VLOOKUP($A60,'Data shares'!$C:$FA,97)</f>
        <v>1.55E-2</v>
      </c>
      <c r="N60" s="86">
        <f>VLOOKUP($A60,'Data shares'!$C:$FA,78)</f>
        <v>4991175</v>
      </c>
      <c r="O60" s="87">
        <f>VLOOKUP($A60,'Data shares'!$C:$FA,81)</f>
        <v>5.7700000000000001E-2</v>
      </c>
    </row>
    <row r="61" spans="1:15" x14ac:dyDescent="0.25">
      <c r="A61" s="100" t="str">
        <f>'OI(Value)'!A61</f>
        <v>CONCOR</v>
      </c>
      <c r="B61" s="82">
        <f>VLOOKUP(A61,'Data shares'!$C$2:$CV$231,98,0)</f>
        <v>32168750</v>
      </c>
      <c r="C61" s="82">
        <f>VLOOKUP(A61,'Data shares'!$C$2:$CX$231,100,0)</f>
        <v>535000</v>
      </c>
      <c r="D61" s="141">
        <f>VLOOKUP(A61,'Data shares'!$C$2:$CY$554,101,0)</f>
        <v>1.6899999999999998E-2</v>
      </c>
      <c r="E61" s="86">
        <f>VLOOKUP($A61,'Data shares'!$C:$FA,74)</f>
        <v>19086250</v>
      </c>
      <c r="F61" s="86">
        <f>VLOOKUP($A61,'Data shares'!$C:$FA,76)</f>
        <v>545000</v>
      </c>
      <c r="G61" s="87">
        <f>VLOOKUP(A61,'Data shares'!$C$2:$CA$231,77,0)</f>
        <v>2.9399999999999999E-2</v>
      </c>
      <c r="H61" s="86">
        <f>VLOOKUP($A61,'Data shares'!$C:$FA,90)</f>
        <v>8240000</v>
      </c>
      <c r="I61" s="86">
        <f>VLOOKUP($A61,'Data shares'!$C:$FA,92)</f>
        <v>-6250</v>
      </c>
      <c r="J61" s="87">
        <f>VLOOKUP($A61,'Data shares'!$C:$FA,93)</f>
        <v>-8.0000000000000004E-4</v>
      </c>
      <c r="K61" s="86">
        <f>VLOOKUP($A61,'Data shares'!$C:$FA,94)</f>
        <v>4842500</v>
      </c>
      <c r="L61" s="86">
        <f>VLOOKUP($A61,'Data shares'!$C:$FA,96)</f>
        <v>-3750</v>
      </c>
      <c r="M61" s="87">
        <f>VLOOKUP($A61,'Data shares'!$C:$FA,97)</f>
        <v>-8.0000000000000004E-4</v>
      </c>
      <c r="N61" s="86">
        <f>VLOOKUP($A61,'Data shares'!$C:$FA,78)</f>
        <v>15838750</v>
      </c>
      <c r="O61" s="87">
        <f>VLOOKUP($A61,'Data shares'!$C:$FA,81)</f>
        <v>-2.76E-2</v>
      </c>
    </row>
    <row r="62" spans="1:15" x14ac:dyDescent="0.25">
      <c r="A62" s="100" t="str">
        <f>'OI(Value)'!A62</f>
        <v>CROMPTON</v>
      </c>
      <c r="B62" s="82">
        <f>VLOOKUP(A62,'Data shares'!$C$2:$CV$231,98,0)</f>
        <v>50005800</v>
      </c>
      <c r="C62" s="82">
        <f>VLOOKUP(A62,'Data shares'!$C$2:$CX$231,100,0)</f>
        <v>880200</v>
      </c>
      <c r="D62" s="141">
        <f>VLOOKUP(A62,'Data shares'!$C$2:$CY$554,101,0)</f>
        <v>1.7899999999999999E-2</v>
      </c>
      <c r="E62" s="86">
        <f>VLOOKUP($A62,'Data shares'!$C:$FA,74)</f>
        <v>37751400</v>
      </c>
      <c r="F62" s="86">
        <f>VLOOKUP($A62,'Data shares'!$C:$FA,76)</f>
        <v>333000</v>
      </c>
      <c r="G62" s="87">
        <f>VLOOKUP(A62,'Data shares'!$C$2:$CA$231,77,0)</f>
        <v>8.8999999999999999E-3</v>
      </c>
      <c r="H62" s="86">
        <f>VLOOKUP($A62,'Data shares'!$C:$FA,90)</f>
        <v>7534800</v>
      </c>
      <c r="I62" s="86">
        <f>VLOOKUP($A62,'Data shares'!$C:$FA,92)</f>
        <v>262800</v>
      </c>
      <c r="J62" s="87">
        <f>VLOOKUP($A62,'Data shares'!$C:$FA,93)</f>
        <v>3.61E-2</v>
      </c>
      <c r="K62" s="86">
        <f>VLOOKUP($A62,'Data shares'!$C:$FA,94)</f>
        <v>4719600</v>
      </c>
      <c r="L62" s="86">
        <f>VLOOKUP($A62,'Data shares'!$C:$FA,96)</f>
        <v>284400</v>
      </c>
      <c r="M62" s="87">
        <f>VLOOKUP($A62,'Data shares'!$C:$FA,97)</f>
        <v>6.4100000000000004E-2</v>
      </c>
      <c r="N62" s="86">
        <f>VLOOKUP($A62,'Data shares'!$C:$FA,78)</f>
        <v>35528400</v>
      </c>
      <c r="O62" s="87">
        <f>VLOOKUP($A62,'Data shares'!$C:$FA,81)</f>
        <v>-7.7999999999999996E-3</v>
      </c>
    </row>
    <row r="63" spans="1:15" x14ac:dyDescent="0.25">
      <c r="A63" s="100" t="str">
        <f>'OI(Value)'!A63</f>
        <v>CUMMINSIND</v>
      </c>
      <c r="B63" s="82">
        <f>VLOOKUP(A63,'Data shares'!$C$2:$CV$231,98,0)</f>
        <v>4754000</v>
      </c>
      <c r="C63" s="82">
        <f>VLOOKUP(A63,'Data shares'!$C$2:$CX$231,100,0)</f>
        <v>-156200</v>
      </c>
      <c r="D63" s="141">
        <f>VLOOKUP(A63,'Data shares'!$C$2:$CY$554,101,0)</f>
        <v>-3.1800000000000002E-2</v>
      </c>
      <c r="E63" s="86">
        <f>VLOOKUP($A63,'Data shares'!$C:$FA,74)</f>
        <v>3308800</v>
      </c>
      <c r="F63" s="86">
        <f>VLOOKUP($A63,'Data shares'!$C:$FA,76)</f>
        <v>-73400</v>
      </c>
      <c r="G63" s="87">
        <f>VLOOKUP(A63,'Data shares'!$C$2:$CA$231,77,0)</f>
        <v>-2.1700000000000001E-2</v>
      </c>
      <c r="H63" s="86">
        <f>VLOOKUP($A63,'Data shares'!$C:$FA,90)</f>
        <v>756000</v>
      </c>
      <c r="I63" s="86">
        <f>VLOOKUP($A63,'Data shares'!$C:$FA,92)</f>
        <v>-62200</v>
      </c>
      <c r="J63" s="87">
        <f>VLOOKUP($A63,'Data shares'!$C:$FA,93)</f>
        <v>-7.5999999999999998E-2</v>
      </c>
      <c r="K63" s="86">
        <f>VLOOKUP($A63,'Data shares'!$C:$FA,94)</f>
        <v>689200</v>
      </c>
      <c r="L63" s="86">
        <f>VLOOKUP($A63,'Data shares'!$C:$FA,96)</f>
        <v>-20600</v>
      </c>
      <c r="M63" s="87">
        <f>VLOOKUP($A63,'Data shares'!$C:$FA,97)</f>
        <v>-2.9000000000000001E-2</v>
      </c>
      <c r="N63" s="86">
        <f>VLOOKUP($A63,'Data shares'!$C:$FA,78)</f>
        <v>3234600</v>
      </c>
      <c r="O63" s="87">
        <f>VLOOKUP($A63,'Data shares'!$C:$FA,81)</f>
        <v>-2.4799999999999999E-2</v>
      </c>
    </row>
    <row r="64" spans="1:15" x14ac:dyDescent="0.25">
      <c r="A64" s="100" t="str">
        <f>'OI(Value)'!A64</f>
        <v>CYIENT</v>
      </c>
      <c r="B64" s="82">
        <f>VLOOKUP(A64,'Data shares'!$C$2:$CV$231,98,0)</f>
        <v>5386025</v>
      </c>
      <c r="C64" s="82">
        <f>VLOOKUP(A64,'Data shares'!$C$2:$CX$231,100,0)</f>
        <v>46325</v>
      </c>
      <c r="D64" s="141">
        <f>VLOOKUP(A64,'Data shares'!$C$2:$CY$554,101,0)</f>
        <v>8.6999999999999994E-3</v>
      </c>
      <c r="E64" s="86">
        <f>VLOOKUP($A64,'Data shares'!$C:$FA,74)</f>
        <v>2749325</v>
      </c>
      <c r="F64" s="86">
        <f>VLOOKUP($A64,'Data shares'!$C:$FA,76)</f>
        <v>-4250</v>
      </c>
      <c r="G64" s="87">
        <f>VLOOKUP(A64,'Data shares'!$C$2:$CA$231,77,0)</f>
        <v>-1.5E-3</v>
      </c>
      <c r="H64" s="86">
        <f>VLOOKUP($A64,'Data shares'!$C:$FA,90)</f>
        <v>1510025</v>
      </c>
      <c r="I64" s="86">
        <f>VLOOKUP($A64,'Data shares'!$C:$FA,92)</f>
        <v>2125</v>
      </c>
      <c r="J64" s="87">
        <f>VLOOKUP($A64,'Data shares'!$C:$FA,93)</f>
        <v>1.4E-3</v>
      </c>
      <c r="K64" s="86">
        <f>VLOOKUP($A64,'Data shares'!$C:$FA,94)</f>
        <v>1126675</v>
      </c>
      <c r="L64" s="86">
        <f>VLOOKUP($A64,'Data shares'!$C:$FA,96)</f>
        <v>48450</v>
      </c>
      <c r="M64" s="87">
        <f>VLOOKUP($A64,'Data shares'!$C:$FA,97)</f>
        <v>4.4900000000000002E-2</v>
      </c>
      <c r="N64" s="86">
        <f>VLOOKUP($A64,'Data shares'!$C:$FA,78)</f>
        <v>2522375</v>
      </c>
      <c r="O64" s="87">
        <f>VLOOKUP($A64,'Data shares'!$C:$FA,81)</f>
        <v>-8.6999999999999994E-3</v>
      </c>
    </row>
    <row r="65" spans="1:15" x14ac:dyDescent="0.25">
      <c r="A65" s="100" t="str">
        <f>'OI(Value)'!A65</f>
        <v>DABUR</v>
      </c>
      <c r="B65" s="82">
        <f>VLOOKUP(A65,'Data shares'!$C$2:$CV$231,98,0)</f>
        <v>44146250</v>
      </c>
      <c r="C65" s="82">
        <f>VLOOKUP(A65,'Data shares'!$C$2:$CX$231,100,0)</f>
        <v>-563750</v>
      </c>
      <c r="D65" s="141">
        <f>VLOOKUP(A65,'Data shares'!$C$2:$CY$554,101,0)</f>
        <v>-1.26E-2</v>
      </c>
      <c r="E65" s="86">
        <f>VLOOKUP($A65,'Data shares'!$C:$FA,74)</f>
        <v>18548750</v>
      </c>
      <c r="F65" s="86">
        <f>VLOOKUP($A65,'Data shares'!$C:$FA,76)</f>
        <v>48750</v>
      </c>
      <c r="G65" s="87">
        <f>VLOOKUP(A65,'Data shares'!$C$2:$CA$231,77,0)</f>
        <v>2.5999999999999999E-3</v>
      </c>
      <c r="H65" s="86">
        <f>VLOOKUP($A65,'Data shares'!$C:$FA,90)</f>
        <v>12503750</v>
      </c>
      <c r="I65" s="86">
        <f>VLOOKUP($A65,'Data shares'!$C:$FA,92)</f>
        <v>-438750</v>
      </c>
      <c r="J65" s="87">
        <f>VLOOKUP($A65,'Data shares'!$C:$FA,93)</f>
        <v>-3.39E-2</v>
      </c>
      <c r="K65" s="86">
        <f>VLOOKUP($A65,'Data shares'!$C:$FA,94)</f>
        <v>13093750</v>
      </c>
      <c r="L65" s="86">
        <f>VLOOKUP($A65,'Data shares'!$C:$FA,96)</f>
        <v>-173750</v>
      </c>
      <c r="M65" s="87">
        <f>VLOOKUP($A65,'Data shares'!$C:$FA,97)</f>
        <v>-1.3100000000000001E-2</v>
      </c>
      <c r="N65" s="86">
        <f>VLOOKUP($A65,'Data shares'!$C:$FA,78)</f>
        <v>17637500</v>
      </c>
      <c r="O65" s="87">
        <f>VLOOKUP($A65,'Data shares'!$C:$FA,81)</f>
        <v>-6.9999999999999999E-4</v>
      </c>
    </row>
    <row r="66" spans="1:15" x14ac:dyDescent="0.25">
      <c r="A66" s="100" t="str">
        <f>'OI(Value)'!A66</f>
        <v>DALBHARAT</v>
      </c>
      <c r="B66" s="82">
        <f>VLOOKUP(A66,'Data shares'!$C$2:$CV$231,98,0)</f>
        <v>5344625</v>
      </c>
      <c r="C66" s="82">
        <f>VLOOKUP(A66,'Data shares'!$C$2:$CX$231,100,0)</f>
        <v>629850</v>
      </c>
      <c r="D66" s="141">
        <f>VLOOKUP(A66,'Data shares'!$C$2:$CY$554,101,0)</f>
        <v>0.1336</v>
      </c>
      <c r="E66" s="86">
        <f>VLOOKUP($A66,'Data shares'!$C:$FA,74)</f>
        <v>3425175</v>
      </c>
      <c r="F66" s="86">
        <f>VLOOKUP($A66,'Data shares'!$C:$FA,76)</f>
        <v>101725</v>
      </c>
      <c r="G66" s="87">
        <f>VLOOKUP(A66,'Data shares'!$C$2:$CA$231,77,0)</f>
        <v>3.0599999999999999E-2</v>
      </c>
      <c r="H66" s="86">
        <f>VLOOKUP($A66,'Data shares'!$C:$FA,90)</f>
        <v>1214850</v>
      </c>
      <c r="I66" s="86">
        <f>VLOOKUP($A66,'Data shares'!$C:$FA,92)</f>
        <v>269750</v>
      </c>
      <c r="J66" s="87">
        <f>VLOOKUP($A66,'Data shares'!$C:$FA,93)</f>
        <v>0.28539999999999999</v>
      </c>
      <c r="K66" s="86">
        <f>VLOOKUP($A66,'Data shares'!$C:$FA,94)</f>
        <v>704600</v>
      </c>
      <c r="L66" s="86">
        <f>VLOOKUP($A66,'Data shares'!$C:$FA,96)</f>
        <v>258375</v>
      </c>
      <c r="M66" s="87">
        <f>VLOOKUP($A66,'Data shares'!$C:$FA,97)</f>
        <v>0.57899999999999996</v>
      </c>
      <c r="N66" s="86">
        <f>VLOOKUP($A66,'Data shares'!$C:$FA,78)</f>
        <v>3120650</v>
      </c>
      <c r="O66" s="87">
        <f>VLOOKUP($A66,'Data shares'!$C:$FA,81)</f>
        <v>-2.86E-2</v>
      </c>
    </row>
    <row r="67" spans="1:15" x14ac:dyDescent="0.25">
      <c r="A67" s="100" t="str">
        <f>'OI(Value)'!A67</f>
        <v>DELHIVERY</v>
      </c>
      <c r="B67" s="82">
        <f>VLOOKUP(A67,'Data shares'!$C$2:$CV$231,98,0)</f>
        <v>25312925</v>
      </c>
      <c r="C67" s="82">
        <f>VLOOKUP(A67,'Data shares'!$C$2:$CX$231,100,0)</f>
        <v>1070700</v>
      </c>
      <c r="D67" s="141">
        <f>VLOOKUP(A67,'Data shares'!$C$2:$CY$554,101,0)</f>
        <v>4.4200000000000003E-2</v>
      </c>
      <c r="E67" s="86">
        <f>VLOOKUP($A67,'Data shares'!$C:$FA,74)</f>
        <v>12856700</v>
      </c>
      <c r="F67" s="86">
        <f>VLOOKUP($A67,'Data shares'!$C:$FA,76)</f>
        <v>977325</v>
      </c>
      <c r="G67" s="87">
        <f>VLOOKUP(A67,'Data shares'!$C$2:$CA$231,77,0)</f>
        <v>8.2299999999999998E-2</v>
      </c>
      <c r="H67" s="86">
        <f>VLOOKUP($A67,'Data shares'!$C:$FA,90)</f>
        <v>6828825</v>
      </c>
      <c r="I67" s="86">
        <f>VLOOKUP($A67,'Data shares'!$C:$FA,92)</f>
        <v>-346525</v>
      </c>
      <c r="J67" s="87">
        <f>VLOOKUP($A67,'Data shares'!$C:$FA,93)</f>
        <v>-4.8300000000000003E-2</v>
      </c>
      <c r="K67" s="86">
        <f>VLOOKUP($A67,'Data shares'!$C:$FA,94)</f>
        <v>5627400</v>
      </c>
      <c r="L67" s="86">
        <f>VLOOKUP($A67,'Data shares'!$C:$FA,96)</f>
        <v>439900</v>
      </c>
      <c r="M67" s="87">
        <f>VLOOKUP($A67,'Data shares'!$C:$FA,97)</f>
        <v>8.48E-2</v>
      </c>
      <c r="N67" s="86">
        <f>VLOOKUP($A67,'Data shares'!$C:$FA,78)</f>
        <v>11350250</v>
      </c>
      <c r="O67" s="87">
        <f>VLOOKUP($A67,'Data shares'!$C:$FA,81)</f>
        <v>6.0100000000000001E-2</v>
      </c>
    </row>
    <row r="68" spans="1:15" x14ac:dyDescent="0.25">
      <c r="A68" s="100" t="str">
        <f>'OI(Value)'!A68</f>
        <v>DIVISLAB</v>
      </c>
      <c r="B68" s="82">
        <f>VLOOKUP(A68,'Data shares'!$C$2:$CV$231,98,0)</f>
        <v>4855300</v>
      </c>
      <c r="C68" s="82">
        <f>VLOOKUP(A68,'Data shares'!$C$2:$CX$231,100,0)</f>
        <v>30500</v>
      </c>
      <c r="D68" s="141">
        <f>VLOOKUP(A68,'Data shares'!$C$2:$CY$554,101,0)</f>
        <v>6.3E-3</v>
      </c>
      <c r="E68" s="86">
        <f>VLOOKUP($A68,'Data shares'!$C:$FA,74)</f>
        <v>2916800</v>
      </c>
      <c r="F68" s="86">
        <f>VLOOKUP($A68,'Data shares'!$C:$FA,76)</f>
        <v>34800</v>
      </c>
      <c r="G68" s="87">
        <f>VLOOKUP(A68,'Data shares'!$C$2:$CA$231,77,0)</f>
        <v>1.21E-2</v>
      </c>
      <c r="H68" s="86">
        <f>VLOOKUP($A68,'Data shares'!$C:$FA,90)</f>
        <v>1255400</v>
      </c>
      <c r="I68" s="86">
        <f>VLOOKUP($A68,'Data shares'!$C:$FA,92)</f>
        <v>7800</v>
      </c>
      <c r="J68" s="87">
        <f>VLOOKUP($A68,'Data shares'!$C:$FA,93)</f>
        <v>6.3E-3</v>
      </c>
      <c r="K68" s="86">
        <f>VLOOKUP($A68,'Data shares'!$C:$FA,94)</f>
        <v>683100</v>
      </c>
      <c r="L68" s="86">
        <f>VLOOKUP($A68,'Data shares'!$C:$FA,96)</f>
        <v>-12100</v>
      </c>
      <c r="M68" s="87">
        <f>VLOOKUP($A68,'Data shares'!$C:$FA,97)</f>
        <v>-1.7399999999999999E-2</v>
      </c>
      <c r="N68" s="86">
        <f>VLOOKUP($A68,'Data shares'!$C:$FA,78)</f>
        <v>2800500</v>
      </c>
      <c r="O68" s="87">
        <f>VLOOKUP($A68,'Data shares'!$C:$FA,81)</f>
        <v>-5.0000000000000001E-4</v>
      </c>
    </row>
    <row r="69" spans="1:15" x14ac:dyDescent="0.25">
      <c r="A69" s="100" t="str">
        <f>'OI(Value)'!A69</f>
        <v>DIXON</v>
      </c>
      <c r="B69" s="82">
        <f>VLOOKUP(A69,'Data shares'!$C$2:$CV$231,98,0)</f>
        <v>4200500</v>
      </c>
      <c r="C69" s="82">
        <f>VLOOKUP(A69,'Data shares'!$C$2:$CX$231,100,0)</f>
        <v>479600</v>
      </c>
      <c r="D69" s="141">
        <f>VLOOKUP(A69,'Data shares'!$C$2:$CY$554,101,0)</f>
        <v>0.12889999999999999</v>
      </c>
      <c r="E69" s="86">
        <f>VLOOKUP($A69,'Data shares'!$C:$FA,74)</f>
        <v>1712500</v>
      </c>
      <c r="F69" s="86">
        <f>VLOOKUP($A69,'Data shares'!$C:$FA,76)</f>
        <v>20600</v>
      </c>
      <c r="G69" s="87">
        <f>VLOOKUP(A69,'Data shares'!$C$2:$CA$231,77,0)</f>
        <v>1.2200000000000001E-2</v>
      </c>
      <c r="H69" s="86">
        <f>VLOOKUP($A69,'Data shares'!$C:$FA,90)</f>
        <v>1381050</v>
      </c>
      <c r="I69" s="86">
        <f>VLOOKUP($A69,'Data shares'!$C:$FA,92)</f>
        <v>302900</v>
      </c>
      <c r="J69" s="87">
        <f>VLOOKUP($A69,'Data shares'!$C:$FA,93)</f>
        <v>0.28089999999999998</v>
      </c>
      <c r="K69" s="86">
        <f>VLOOKUP($A69,'Data shares'!$C:$FA,94)</f>
        <v>1106950</v>
      </c>
      <c r="L69" s="86">
        <f>VLOOKUP($A69,'Data shares'!$C:$FA,96)</f>
        <v>156100</v>
      </c>
      <c r="M69" s="87">
        <f>VLOOKUP($A69,'Data shares'!$C:$FA,97)</f>
        <v>0.16420000000000001</v>
      </c>
      <c r="N69" s="86">
        <f>VLOOKUP($A69,'Data shares'!$C:$FA,78)</f>
        <v>1556250</v>
      </c>
      <c r="O69" s="87">
        <f>VLOOKUP($A69,'Data shares'!$C:$FA,81)</f>
        <v>-4.4000000000000003E-3</v>
      </c>
    </row>
    <row r="70" spans="1:15" x14ac:dyDescent="0.25">
      <c r="A70" s="100" t="str">
        <f>'OI(Value)'!A70</f>
        <v>DLF</v>
      </c>
      <c r="B70" s="82">
        <f>VLOOKUP(A70,'Data shares'!$C$2:$CV$231,98,0)</f>
        <v>73772325</v>
      </c>
      <c r="C70" s="82">
        <f>VLOOKUP(A70,'Data shares'!$C$2:$CX$231,100,0)</f>
        <v>-648450</v>
      </c>
      <c r="D70" s="141">
        <f>VLOOKUP(A70,'Data shares'!$C$2:$CY$554,101,0)</f>
        <v>-8.6999999999999994E-3</v>
      </c>
      <c r="E70" s="86">
        <f>VLOOKUP($A70,'Data shares'!$C:$FA,74)</f>
        <v>47030775</v>
      </c>
      <c r="F70" s="86">
        <f>VLOOKUP($A70,'Data shares'!$C:$FA,76)</f>
        <v>-211200</v>
      </c>
      <c r="G70" s="87">
        <f>VLOOKUP(A70,'Data shares'!$C$2:$CA$231,77,0)</f>
        <v>-4.4999999999999997E-3</v>
      </c>
      <c r="H70" s="86">
        <f>VLOOKUP($A70,'Data shares'!$C:$FA,90)</f>
        <v>17141025</v>
      </c>
      <c r="I70" s="86">
        <f>VLOOKUP($A70,'Data shares'!$C:$FA,92)</f>
        <v>-318450</v>
      </c>
      <c r="J70" s="87">
        <f>VLOOKUP($A70,'Data shares'!$C:$FA,93)</f>
        <v>-1.8200000000000001E-2</v>
      </c>
      <c r="K70" s="86">
        <f>VLOOKUP($A70,'Data shares'!$C:$FA,94)</f>
        <v>9600525</v>
      </c>
      <c r="L70" s="86">
        <f>VLOOKUP($A70,'Data shares'!$C:$FA,96)</f>
        <v>-118800</v>
      </c>
      <c r="M70" s="87">
        <f>VLOOKUP($A70,'Data shares'!$C:$FA,97)</f>
        <v>-1.2200000000000001E-2</v>
      </c>
      <c r="N70" s="86">
        <f>VLOOKUP($A70,'Data shares'!$C:$FA,78)</f>
        <v>31040625</v>
      </c>
      <c r="O70" s="87">
        <f>VLOOKUP($A70,'Data shares'!$C:$FA,81)</f>
        <v>-9.2999999999999992E-3</v>
      </c>
    </row>
    <row r="71" spans="1:15" x14ac:dyDescent="0.25">
      <c r="A71" s="100" t="str">
        <f>'OI(Value)'!A71</f>
        <v>DMART</v>
      </c>
      <c r="B71" s="82">
        <f>VLOOKUP(A71,'Data shares'!$C$2:$CV$231,98,0)</f>
        <v>10971450</v>
      </c>
      <c r="C71" s="82">
        <f>VLOOKUP(A71,'Data shares'!$C$2:$CX$231,100,0)</f>
        <v>-88500</v>
      </c>
      <c r="D71" s="141">
        <f>VLOOKUP(A71,'Data shares'!$C$2:$CY$554,101,0)</f>
        <v>-8.0000000000000002E-3</v>
      </c>
      <c r="E71" s="86">
        <f>VLOOKUP($A71,'Data shares'!$C:$FA,74)</f>
        <v>6440550</v>
      </c>
      <c r="F71" s="86">
        <f>VLOOKUP($A71,'Data shares'!$C:$FA,76)</f>
        <v>13950</v>
      </c>
      <c r="G71" s="87">
        <f>VLOOKUP(A71,'Data shares'!$C$2:$CA$231,77,0)</f>
        <v>2.2000000000000001E-3</v>
      </c>
      <c r="H71" s="86">
        <f>VLOOKUP($A71,'Data shares'!$C:$FA,90)</f>
        <v>3138900</v>
      </c>
      <c r="I71" s="86">
        <f>VLOOKUP($A71,'Data shares'!$C:$FA,92)</f>
        <v>-65250</v>
      </c>
      <c r="J71" s="87">
        <f>VLOOKUP($A71,'Data shares'!$C:$FA,93)</f>
        <v>-2.0400000000000001E-2</v>
      </c>
      <c r="K71" s="86">
        <f>VLOOKUP($A71,'Data shares'!$C:$FA,94)</f>
        <v>1392000</v>
      </c>
      <c r="L71" s="86">
        <f>VLOOKUP($A71,'Data shares'!$C:$FA,96)</f>
        <v>-37200</v>
      </c>
      <c r="M71" s="87">
        <f>VLOOKUP($A71,'Data shares'!$C:$FA,97)</f>
        <v>-2.5999999999999999E-2</v>
      </c>
      <c r="N71" s="86">
        <f>VLOOKUP($A71,'Data shares'!$C:$FA,78)</f>
        <v>5647800</v>
      </c>
      <c r="O71" s="87">
        <f>VLOOKUP($A71,'Data shares'!$C:$FA,81)</f>
        <v>-4.1000000000000003E-3</v>
      </c>
    </row>
    <row r="72" spans="1:15" x14ac:dyDescent="0.25">
      <c r="A72" s="100" t="str">
        <f>'OI(Value)'!A72</f>
        <v>DRREDDY</v>
      </c>
      <c r="B72" s="82">
        <f>VLOOKUP(A72,'Data shares'!$C$2:$CV$231,98,0)</f>
        <v>28465625</v>
      </c>
      <c r="C72" s="82">
        <f>VLOOKUP(A72,'Data shares'!$C$2:$CX$231,100,0)</f>
        <v>693750</v>
      </c>
      <c r="D72" s="141">
        <f>VLOOKUP(A72,'Data shares'!$C$2:$CY$554,101,0)</f>
        <v>2.5000000000000001E-2</v>
      </c>
      <c r="E72" s="86">
        <f>VLOOKUP($A72,'Data shares'!$C:$FA,74)</f>
        <v>12191875</v>
      </c>
      <c r="F72" s="86">
        <f>VLOOKUP($A72,'Data shares'!$C:$FA,76)</f>
        <v>326250</v>
      </c>
      <c r="G72" s="87">
        <f>VLOOKUP(A72,'Data shares'!$C$2:$CA$231,77,0)</f>
        <v>2.75E-2</v>
      </c>
      <c r="H72" s="86">
        <f>VLOOKUP($A72,'Data shares'!$C:$FA,90)</f>
        <v>11045625</v>
      </c>
      <c r="I72" s="86">
        <f>VLOOKUP($A72,'Data shares'!$C:$FA,92)</f>
        <v>156875</v>
      </c>
      <c r="J72" s="87">
        <f>VLOOKUP($A72,'Data shares'!$C:$FA,93)</f>
        <v>1.44E-2</v>
      </c>
      <c r="K72" s="86">
        <f>VLOOKUP($A72,'Data shares'!$C:$FA,94)</f>
        <v>5228125</v>
      </c>
      <c r="L72" s="86">
        <f>VLOOKUP($A72,'Data shares'!$C:$FA,96)</f>
        <v>210625</v>
      </c>
      <c r="M72" s="87">
        <f>VLOOKUP($A72,'Data shares'!$C:$FA,97)</f>
        <v>4.2000000000000003E-2</v>
      </c>
      <c r="N72" s="86">
        <f>VLOOKUP($A72,'Data shares'!$C:$FA,78)</f>
        <v>11163125</v>
      </c>
      <c r="O72" s="87">
        <f>VLOOKUP($A72,'Data shares'!$C:$FA,81)</f>
        <v>1.7500000000000002E-2</v>
      </c>
    </row>
    <row r="73" spans="1:15" x14ac:dyDescent="0.25">
      <c r="A73" s="100" t="str">
        <f>'OI(Value)'!A73</f>
        <v>EICHERMOT</v>
      </c>
      <c r="B73" s="82">
        <f>VLOOKUP(A73,'Data shares'!$C$2:$CV$231,98,0)</f>
        <v>5752775</v>
      </c>
      <c r="C73" s="82">
        <f>VLOOKUP(A73,'Data shares'!$C$2:$CX$231,100,0)</f>
        <v>418600</v>
      </c>
      <c r="D73" s="141">
        <f>VLOOKUP(A73,'Data shares'!$C$2:$CY$554,101,0)</f>
        <v>7.85E-2</v>
      </c>
      <c r="E73" s="86">
        <f>VLOOKUP($A73,'Data shares'!$C:$FA,74)</f>
        <v>2885050</v>
      </c>
      <c r="F73" s="86">
        <f>VLOOKUP($A73,'Data shares'!$C:$FA,76)</f>
        <v>115325</v>
      </c>
      <c r="G73" s="87">
        <f>VLOOKUP(A73,'Data shares'!$C$2:$CA$231,77,0)</f>
        <v>4.1599999999999998E-2</v>
      </c>
      <c r="H73" s="86">
        <f>VLOOKUP($A73,'Data shares'!$C:$FA,90)</f>
        <v>1888600</v>
      </c>
      <c r="I73" s="86">
        <f>VLOOKUP($A73,'Data shares'!$C:$FA,92)</f>
        <v>228900</v>
      </c>
      <c r="J73" s="87">
        <f>VLOOKUP($A73,'Data shares'!$C:$FA,93)</f>
        <v>0.13789999999999999</v>
      </c>
      <c r="K73" s="86">
        <f>VLOOKUP($A73,'Data shares'!$C:$FA,94)</f>
        <v>979125</v>
      </c>
      <c r="L73" s="86">
        <f>VLOOKUP($A73,'Data shares'!$C:$FA,96)</f>
        <v>74375</v>
      </c>
      <c r="M73" s="87">
        <f>VLOOKUP($A73,'Data shares'!$C:$FA,97)</f>
        <v>8.2199999999999995E-2</v>
      </c>
      <c r="N73" s="86">
        <f>VLOOKUP($A73,'Data shares'!$C:$FA,78)</f>
        <v>2315250</v>
      </c>
      <c r="O73" s="87">
        <f>VLOOKUP($A73,'Data shares'!$C:$FA,81)</f>
        <v>2.4500000000000001E-2</v>
      </c>
    </row>
    <row r="74" spans="1:15" x14ac:dyDescent="0.25">
      <c r="A74" s="100" t="str">
        <f>'OI(Value)'!A74</f>
        <v>ETERNAL</v>
      </c>
      <c r="B74" s="82">
        <f>VLOOKUP(A74,'Data shares'!$C$2:$CV$231,98,0)</f>
        <v>376903200</v>
      </c>
      <c r="C74" s="82">
        <f>VLOOKUP(A74,'Data shares'!$C$2:$CX$231,100,0)</f>
        <v>93864475</v>
      </c>
      <c r="D74" s="141">
        <f>VLOOKUP(A74,'Data shares'!$C$2:$CY$554,101,0)</f>
        <v>0.33160000000000001</v>
      </c>
      <c r="E74" s="86">
        <f>VLOOKUP($A74,'Data shares'!$C:$FA,74)</f>
        <v>185987800</v>
      </c>
      <c r="F74" s="86">
        <f>VLOOKUP($A74,'Data shares'!$C:$FA,76)</f>
        <v>21783775</v>
      </c>
      <c r="G74" s="87">
        <f>VLOOKUP(A74,'Data shares'!$C$2:$CA$231,77,0)</f>
        <v>0.13270000000000001</v>
      </c>
      <c r="H74" s="86">
        <f>VLOOKUP($A74,'Data shares'!$C:$FA,90)</f>
        <v>92833850</v>
      </c>
      <c r="I74" s="86">
        <f>VLOOKUP($A74,'Data shares'!$C:$FA,92)</f>
        <v>26997525</v>
      </c>
      <c r="J74" s="87">
        <f>VLOOKUP($A74,'Data shares'!$C:$FA,93)</f>
        <v>0.41010000000000002</v>
      </c>
      <c r="K74" s="86">
        <f>VLOOKUP($A74,'Data shares'!$C:$FA,94)</f>
        <v>98081550</v>
      </c>
      <c r="L74" s="86">
        <f>VLOOKUP($A74,'Data shares'!$C:$FA,96)</f>
        <v>45083175</v>
      </c>
      <c r="M74" s="87">
        <f>VLOOKUP($A74,'Data shares'!$C:$FA,97)</f>
        <v>0.85070000000000001</v>
      </c>
      <c r="N74" s="86">
        <f>VLOOKUP($A74,'Data shares'!$C:$FA,78)</f>
        <v>172563000</v>
      </c>
      <c r="O74" s="87">
        <f>VLOOKUP($A74,'Data shares'!$C:$FA,81)</f>
        <v>0.10489999999999999</v>
      </c>
    </row>
    <row r="75" spans="1:15" x14ac:dyDescent="0.25">
      <c r="A75" s="100" t="str">
        <f>'OI(Value)'!A75</f>
        <v>EXIDEIND</v>
      </c>
      <c r="B75" s="82">
        <f>VLOOKUP(A75,'Data shares'!$C$2:$CV$231,98,0)</f>
        <v>45567000</v>
      </c>
      <c r="C75" s="82">
        <f>VLOOKUP(A75,'Data shares'!$C$2:$CX$231,100,0)</f>
        <v>2181600</v>
      </c>
      <c r="D75" s="141">
        <f>VLOOKUP(A75,'Data shares'!$C$2:$CY$554,101,0)</f>
        <v>5.0299999999999997E-2</v>
      </c>
      <c r="E75" s="86">
        <f>VLOOKUP($A75,'Data shares'!$C:$FA,74)</f>
        <v>24292800</v>
      </c>
      <c r="F75" s="86">
        <f>VLOOKUP($A75,'Data shares'!$C:$FA,76)</f>
        <v>630000</v>
      </c>
      <c r="G75" s="87">
        <f>VLOOKUP(A75,'Data shares'!$C$2:$CA$231,77,0)</f>
        <v>2.6599999999999999E-2</v>
      </c>
      <c r="H75" s="86">
        <f>VLOOKUP($A75,'Data shares'!$C:$FA,90)</f>
        <v>13566600</v>
      </c>
      <c r="I75" s="86">
        <f>VLOOKUP($A75,'Data shares'!$C:$FA,92)</f>
        <v>1242000</v>
      </c>
      <c r="J75" s="87">
        <f>VLOOKUP($A75,'Data shares'!$C:$FA,93)</f>
        <v>0.1008</v>
      </c>
      <c r="K75" s="86">
        <f>VLOOKUP($A75,'Data shares'!$C:$FA,94)</f>
        <v>7707600</v>
      </c>
      <c r="L75" s="86">
        <f>VLOOKUP($A75,'Data shares'!$C:$FA,96)</f>
        <v>309600</v>
      </c>
      <c r="M75" s="87">
        <f>VLOOKUP($A75,'Data shares'!$C:$FA,97)</f>
        <v>4.1799999999999997E-2</v>
      </c>
      <c r="N75" s="86">
        <f>VLOOKUP($A75,'Data shares'!$C:$FA,78)</f>
        <v>20318400</v>
      </c>
      <c r="O75" s="87">
        <f>VLOOKUP($A75,'Data shares'!$C:$FA,81)</f>
        <v>-4.0300000000000002E-2</v>
      </c>
    </row>
    <row r="76" spans="1:15" x14ac:dyDescent="0.25">
      <c r="A76" s="100" t="str">
        <f>'OI(Value)'!A76</f>
        <v>FEDERALBNK</v>
      </c>
      <c r="B76" s="82">
        <f>VLOOKUP(A76,'Data shares'!$C$2:$CV$231,98,0)</f>
        <v>162860000</v>
      </c>
      <c r="C76" s="82">
        <f>VLOOKUP(A76,'Data shares'!$C$2:$CX$231,100,0)</f>
        <v>455000</v>
      </c>
      <c r="D76" s="141">
        <f>VLOOKUP(A76,'Data shares'!$C$2:$CY$554,101,0)</f>
        <v>2.8E-3</v>
      </c>
      <c r="E76" s="86">
        <f>VLOOKUP($A76,'Data shares'!$C:$FA,74)</f>
        <v>82670000</v>
      </c>
      <c r="F76" s="86">
        <f>VLOOKUP($A76,'Data shares'!$C:$FA,76)</f>
        <v>-545000</v>
      </c>
      <c r="G76" s="87">
        <f>VLOOKUP(A76,'Data shares'!$C$2:$CA$231,77,0)</f>
        <v>-6.4999999999999997E-3</v>
      </c>
      <c r="H76" s="86">
        <f>VLOOKUP($A76,'Data shares'!$C:$FA,90)</f>
        <v>48720000</v>
      </c>
      <c r="I76" s="86">
        <f>VLOOKUP($A76,'Data shares'!$C:$FA,92)</f>
        <v>955000</v>
      </c>
      <c r="J76" s="87">
        <f>VLOOKUP($A76,'Data shares'!$C:$FA,93)</f>
        <v>0.02</v>
      </c>
      <c r="K76" s="86">
        <f>VLOOKUP($A76,'Data shares'!$C:$FA,94)</f>
        <v>31470000</v>
      </c>
      <c r="L76" s="86">
        <f>VLOOKUP($A76,'Data shares'!$C:$FA,96)</f>
        <v>45000</v>
      </c>
      <c r="M76" s="87">
        <f>VLOOKUP($A76,'Data shares'!$C:$FA,97)</f>
        <v>1.4E-3</v>
      </c>
      <c r="N76" s="86">
        <f>VLOOKUP($A76,'Data shares'!$C:$FA,78)</f>
        <v>68885000</v>
      </c>
      <c r="O76" s="87">
        <f>VLOOKUP($A76,'Data shares'!$C:$FA,81)</f>
        <v>-1.9699999999999999E-2</v>
      </c>
    </row>
    <row r="77" spans="1:15" x14ac:dyDescent="0.25">
      <c r="A77" s="100" t="str">
        <f>'OI(Value)'!A77</f>
        <v>FINNIFTY</v>
      </c>
      <c r="B77" s="82">
        <f>VLOOKUP(A77,'Data shares'!$C$2:$CV$231,98,0)</f>
        <v>2997735</v>
      </c>
      <c r="C77" s="82">
        <f>VLOOKUP(A77,'Data shares'!$C$2:$CX$231,100,0)</f>
        <v>144300</v>
      </c>
      <c r="D77" s="141">
        <f>VLOOKUP(A77,'Data shares'!$C$2:$CY$554,101,0)</f>
        <v>5.0599999999999999E-2</v>
      </c>
      <c r="E77" s="86">
        <f>VLOOKUP($A77,'Data shares'!$C:$FA,74)</f>
        <v>82290</v>
      </c>
      <c r="F77" s="86">
        <f>VLOOKUP($A77,'Data shares'!$C:$FA,76)</f>
        <v>2015</v>
      </c>
      <c r="G77" s="87">
        <f>VLOOKUP(A77,'Data shares'!$C$2:$CA$231,77,0)</f>
        <v>2.5100000000000001E-2</v>
      </c>
      <c r="H77" s="86">
        <f>VLOOKUP($A77,'Data shares'!$C:$FA,90)</f>
        <v>1562730</v>
      </c>
      <c r="I77" s="86">
        <f>VLOOKUP($A77,'Data shares'!$C:$FA,92)</f>
        <v>71045</v>
      </c>
      <c r="J77" s="87">
        <f>VLOOKUP($A77,'Data shares'!$C:$FA,93)</f>
        <v>4.7600000000000003E-2</v>
      </c>
      <c r="K77" s="86">
        <f>VLOOKUP($A77,'Data shares'!$C:$FA,94)</f>
        <v>1352715</v>
      </c>
      <c r="L77" s="86">
        <f>VLOOKUP($A77,'Data shares'!$C:$FA,96)</f>
        <v>71240</v>
      </c>
      <c r="M77" s="87">
        <f>VLOOKUP($A77,'Data shares'!$C:$FA,97)</f>
        <v>5.5599999999999997E-2</v>
      </c>
      <c r="N77" s="86">
        <f>VLOOKUP($A77,'Data shares'!$C:$FA,78)</f>
        <v>74230</v>
      </c>
      <c r="O77" s="87">
        <f>VLOOKUP($A77,'Data shares'!$C:$FA,81)</f>
        <v>2.1499999999999998E-2</v>
      </c>
    </row>
    <row r="78" spans="1:15" x14ac:dyDescent="0.25">
      <c r="A78" s="100" t="str">
        <f>'OI(Value)'!A78</f>
        <v>FORTIS</v>
      </c>
      <c r="B78" s="82">
        <f>VLOOKUP(A78,'Data shares'!$C$2:$CV$231,98,0)</f>
        <v>13906600</v>
      </c>
      <c r="C78" s="82">
        <f>VLOOKUP(A78,'Data shares'!$C$2:$CX$231,100,0)</f>
        <v>807550</v>
      </c>
      <c r="D78" s="141">
        <f>VLOOKUP(A78,'Data shares'!$C$2:$CY$554,101,0)</f>
        <v>6.1600000000000002E-2</v>
      </c>
      <c r="E78" s="86">
        <f>VLOOKUP($A78,'Data shares'!$C:$FA,74)</f>
        <v>9241100</v>
      </c>
      <c r="F78" s="86">
        <f>VLOOKUP($A78,'Data shares'!$C:$FA,76)</f>
        <v>616125</v>
      </c>
      <c r="G78" s="87">
        <f>VLOOKUP(A78,'Data shares'!$C$2:$CA$231,77,0)</f>
        <v>7.1400000000000005E-2</v>
      </c>
      <c r="H78" s="86">
        <f>VLOOKUP($A78,'Data shares'!$C:$FA,90)</f>
        <v>2769850</v>
      </c>
      <c r="I78" s="86">
        <f>VLOOKUP($A78,'Data shares'!$C:$FA,92)</f>
        <v>194525</v>
      </c>
      <c r="J78" s="87">
        <f>VLOOKUP($A78,'Data shares'!$C:$FA,93)</f>
        <v>7.5499999999999998E-2</v>
      </c>
      <c r="K78" s="86">
        <f>VLOOKUP($A78,'Data shares'!$C:$FA,94)</f>
        <v>1895650</v>
      </c>
      <c r="L78" s="86">
        <f>VLOOKUP($A78,'Data shares'!$C:$FA,96)</f>
        <v>-3100</v>
      </c>
      <c r="M78" s="87">
        <f>VLOOKUP($A78,'Data shares'!$C:$FA,97)</f>
        <v>-1.6000000000000001E-3</v>
      </c>
      <c r="N78" s="86">
        <f>VLOOKUP($A78,'Data shares'!$C:$FA,78)</f>
        <v>8478500</v>
      </c>
      <c r="O78" s="87">
        <f>VLOOKUP($A78,'Data shares'!$C:$FA,81)</f>
        <v>3.1199999999999999E-2</v>
      </c>
    </row>
    <row r="79" spans="1:15" x14ac:dyDescent="0.25">
      <c r="A79" s="100" t="str">
        <f>'OI(Value)'!A79</f>
        <v>GAIL</v>
      </c>
      <c r="B79" s="82">
        <f>VLOOKUP(A79,'Data shares'!$C$2:$CV$231,98,0)</f>
        <v>187639200</v>
      </c>
      <c r="C79" s="82">
        <f>VLOOKUP(A79,'Data shares'!$C$2:$CX$231,100,0)</f>
        <v>-910350</v>
      </c>
      <c r="D79" s="141">
        <f>VLOOKUP(A79,'Data shares'!$C$2:$CY$554,101,0)</f>
        <v>-4.7999999999999996E-3</v>
      </c>
      <c r="E79" s="86">
        <f>VLOOKUP($A79,'Data shares'!$C:$FA,74)</f>
        <v>108939600</v>
      </c>
      <c r="F79" s="86">
        <f>VLOOKUP($A79,'Data shares'!$C:$FA,76)</f>
        <v>-485100</v>
      </c>
      <c r="G79" s="87">
        <f>VLOOKUP(A79,'Data shares'!$C$2:$CA$231,77,0)</f>
        <v>-4.4000000000000003E-3</v>
      </c>
      <c r="H79" s="86">
        <f>VLOOKUP($A79,'Data shares'!$C:$FA,90)</f>
        <v>49117950</v>
      </c>
      <c r="I79" s="86">
        <f>VLOOKUP($A79,'Data shares'!$C:$FA,92)</f>
        <v>-683550</v>
      </c>
      <c r="J79" s="87">
        <f>VLOOKUP($A79,'Data shares'!$C:$FA,93)</f>
        <v>-1.37E-2</v>
      </c>
      <c r="K79" s="86">
        <f>VLOOKUP($A79,'Data shares'!$C:$FA,94)</f>
        <v>29581650</v>
      </c>
      <c r="L79" s="86">
        <f>VLOOKUP($A79,'Data shares'!$C:$FA,96)</f>
        <v>258300</v>
      </c>
      <c r="M79" s="87">
        <f>VLOOKUP($A79,'Data shares'!$C:$FA,97)</f>
        <v>8.8000000000000005E-3</v>
      </c>
      <c r="N79" s="86">
        <f>VLOOKUP($A79,'Data shares'!$C:$FA,78)</f>
        <v>80233650</v>
      </c>
      <c r="O79" s="87">
        <f>VLOOKUP($A79,'Data shares'!$C:$FA,81)</f>
        <v>-2.2499999999999999E-2</v>
      </c>
    </row>
    <row r="80" spans="1:15" x14ac:dyDescent="0.25">
      <c r="A80" s="100" t="str">
        <f>'OI(Value)'!A80</f>
        <v>GLENMARK</v>
      </c>
      <c r="B80" s="82">
        <f>VLOOKUP(A80,'Data shares'!$C$2:$CV$231,98,0)</f>
        <v>23221500</v>
      </c>
      <c r="C80" s="82">
        <f>VLOOKUP(A80,'Data shares'!$C$2:$CX$231,100,0)</f>
        <v>-898125</v>
      </c>
      <c r="D80" s="141">
        <f>VLOOKUP(A80,'Data shares'!$C$2:$CY$554,101,0)</f>
        <v>-3.7199999999999997E-2</v>
      </c>
      <c r="E80" s="86">
        <f>VLOOKUP($A80,'Data shares'!$C:$FA,74)</f>
        <v>8859750</v>
      </c>
      <c r="F80" s="86">
        <f>VLOOKUP($A80,'Data shares'!$C:$FA,76)</f>
        <v>-291375</v>
      </c>
      <c r="G80" s="87">
        <f>VLOOKUP(A80,'Data shares'!$C$2:$CA$231,77,0)</f>
        <v>-3.1800000000000002E-2</v>
      </c>
      <c r="H80" s="86">
        <f>VLOOKUP($A80,'Data shares'!$C:$FA,90)</f>
        <v>7445625</v>
      </c>
      <c r="I80" s="86">
        <f>VLOOKUP($A80,'Data shares'!$C:$FA,92)</f>
        <v>-187125</v>
      </c>
      <c r="J80" s="87">
        <f>VLOOKUP($A80,'Data shares'!$C:$FA,93)</f>
        <v>-2.4500000000000001E-2</v>
      </c>
      <c r="K80" s="86">
        <f>VLOOKUP($A80,'Data shares'!$C:$FA,94)</f>
        <v>6916125</v>
      </c>
      <c r="L80" s="86">
        <f>VLOOKUP($A80,'Data shares'!$C:$FA,96)</f>
        <v>-419625</v>
      </c>
      <c r="M80" s="87">
        <f>VLOOKUP($A80,'Data shares'!$C:$FA,97)</f>
        <v>-5.7200000000000001E-2</v>
      </c>
      <c r="N80" s="86">
        <f>VLOOKUP($A80,'Data shares'!$C:$FA,78)</f>
        <v>7645875</v>
      </c>
      <c r="O80" s="87">
        <f>VLOOKUP($A80,'Data shares'!$C:$FA,81)</f>
        <v>-0.03</v>
      </c>
    </row>
    <row r="81" spans="1:15" x14ac:dyDescent="0.25">
      <c r="A81" s="100" t="str">
        <f>'OI(Value)'!A81</f>
        <v>GMRAIRPORT</v>
      </c>
      <c r="B81" s="82">
        <f>VLOOKUP(A81,'Data shares'!$C$2:$CV$231,98,0)</f>
        <v>321233625</v>
      </c>
      <c r="C81" s="82">
        <f>VLOOKUP(A81,'Data shares'!$C$2:$CX$231,100,0)</f>
        <v>-767250</v>
      </c>
      <c r="D81" s="141">
        <f>VLOOKUP(A81,'Data shares'!$C$2:$CY$554,101,0)</f>
        <v>-2.3999999999999998E-3</v>
      </c>
      <c r="E81" s="86">
        <f>VLOOKUP($A81,'Data shares'!$C:$FA,74)</f>
        <v>184921200</v>
      </c>
      <c r="F81" s="86">
        <f>VLOOKUP($A81,'Data shares'!$C:$FA,76)</f>
        <v>-2399400</v>
      </c>
      <c r="G81" s="87">
        <f>VLOOKUP(A81,'Data shares'!$C$2:$CA$231,77,0)</f>
        <v>-1.2800000000000001E-2</v>
      </c>
      <c r="H81" s="86">
        <f>VLOOKUP($A81,'Data shares'!$C:$FA,90)</f>
        <v>90640125</v>
      </c>
      <c r="I81" s="86">
        <f>VLOOKUP($A81,'Data shares'!$C:$FA,92)</f>
        <v>1806525</v>
      </c>
      <c r="J81" s="87">
        <f>VLOOKUP($A81,'Data shares'!$C:$FA,93)</f>
        <v>2.0299999999999999E-2</v>
      </c>
      <c r="K81" s="86">
        <f>VLOOKUP($A81,'Data shares'!$C:$FA,94)</f>
        <v>45672300</v>
      </c>
      <c r="L81" s="86">
        <f>VLOOKUP($A81,'Data shares'!$C:$FA,96)</f>
        <v>-174375</v>
      </c>
      <c r="M81" s="87">
        <f>VLOOKUP($A81,'Data shares'!$C:$FA,97)</f>
        <v>-3.8E-3</v>
      </c>
      <c r="N81" s="86">
        <f>VLOOKUP($A81,'Data shares'!$C:$FA,78)</f>
        <v>170741025</v>
      </c>
      <c r="O81" s="87">
        <f>VLOOKUP($A81,'Data shares'!$C:$FA,81)</f>
        <v>-1.78E-2</v>
      </c>
    </row>
    <row r="82" spans="1:15" x14ac:dyDescent="0.25">
      <c r="A82" s="100" t="str">
        <f>'OI(Value)'!A82</f>
        <v>GODREJCP</v>
      </c>
      <c r="B82" s="82">
        <f>VLOOKUP(A82,'Data shares'!$C$2:$CV$231,98,0)</f>
        <v>15369000</v>
      </c>
      <c r="C82" s="82">
        <f>VLOOKUP(A82,'Data shares'!$C$2:$CX$231,100,0)</f>
        <v>84500</v>
      </c>
      <c r="D82" s="141">
        <f>VLOOKUP(A82,'Data shares'!$C$2:$CY$554,101,0)</f>
        <v>5.4999999999999997E-3</v>
      </c>
      <c r="E82" s="86">
        <f>VLOOKUP($A82,'Data shares'!$C:$FA,74)</f>
        <v>10644000</v>
      </c>
      <c r="F82" s="86">
        <f>VLOOKUP($A82,'Data shares'!$C:$FA,76)</f>
        <v>79500</v>
      </c>
      <c r="G82" s="87">
        <f>VLOOKUP(A82,'Data shares'!$C$2:$CA$231,77,0)</f>
        <v>7.4999999999999997E-3</v>
      </c>
      <c r="H82" s="86">
        <f>VLOOKUP($A82,'Data shares'!$C:$FA,90)</f>
        <v>2919500</v>
      </c>
      <c r="I82" s="86">
        <f>VLOOKUP($A82,'Data shares'!$C:$FA,92)</f>
        <v>-61500</v>
      </c>
      <c r="J82" s="87">
        <f>VLOOKUP($A82,'Data shares'!$C:$FA,93)</f>
        <v>-2.06E-2</v>
      </c>
      <c r="K82" s="86">
        <f>VLOOKUP($A82,'Data shares'!$C:$FA,94)</f>
        <v>1805500</v>
      </c>
      <c r="L82" s="86">
        <f>VLOOKUP($A82,'Data shares'!$C:$FA,96)</f>
        <v>66500</v>
      </c>
      <c r="M82" s="87">
        <f>VLOOKUP($A82,'Data shares'!$C:$FA,97)</f>
        <v>3.8199999999999998E-2</v>
      </c>
      <c r="N82" s="86">
        <f>VLOOKUP($A82,'Data shares'!$C:$FA,78)</f>
        <v>10018000</v>
      </c>
      <c r="O82" s="87">
        <f>VLOOKUP($A82,'Data shares'!$C:$FA,81)</f>
        <v>7.1000000000000004E-3</v>
      </c>
    </row>
    <row r="83" spans="1:15" x14ac:dyDescent="0.25">
      <c r="A83" s="100" t="str">
        <f>'OI(Value)'!A83</f>
        <v>GODREJPROP</v>
      </c>
      <c r="B83" s="82">
        <f>VLOOKUP(A83,'Data shares'!$C$2:$CV$231,98,0)</f>
        <v>10830600</v>
      </c>
      <c r="C83" s="82">
        <f>VLOOKUP(A83,'Data shares'!$C$2:$CX$231,100,0)</f>
        <v>-107800</v>
      </c>
      <c r="D83" s="141">
        <f>VLOOKUP(A83,'Data shares'!$C$2:$CY$554,101,0)</f>
        <v>-9.9000000000000008E-3</v>
      </c>
      <c r="E83" s="86">
        <f>VLOOKUP($A83,'Data shares'!$C:$FA,74)</f>
        <v>6507600</v>
      </c>
      <c r="F83" s="86">
        <f>VLOOKUP($A83,'Data shares'!$C:$FA,76)</f>
        <v>-27500</v>
      </c>
      <c r="G83" s="87">
        <f>VLOOKUP(A83,'Data shares'!$C$2:$CA$231,77,0)</f>
        <v>-4.1999999999999997E-3</v>
      </c>
      <c r="H83" s="86">
        <f>VLOOKUP($A83,'Data shares'!$C:$FA,90)</f>
        <v>2632025</v>
      </c>
      <c r="I83" s="86">
        <f>VLOOKUP($A83,'Data shares'!$C:$FA,92)</f>
        <v>56925</v>
      </c>
      <c r="J83" s="87">
        <f>VLOOKUP($A83,'Data shares'!$C:$FA,93)</f>
        <v>2.2100000000000002E-2</v>
      </c>
      <c r="K83" s="86">
        <f>VLOOKUP($A83,'Data shares'!$C:$FA,94)</f>
        <v>1690975</v>
      </c>
      <c r="L83" s="86">
        <f>VLOOKUP($A83,'Data shares'!$C:$FA,96)</f>
        <v>-137225</v>
      </c>
      <c r="M83" s="87">
        <f>VLOOKUP($A83,'Data shares'!$C:$FA,97)</f>
        <v>-7.51E-2</v>
      </c>
      <c r="N83" s="86">
        <f>VLOOKUP($A83,'Data shares'!$C:$FA,78)</f>
        <v>6149275</v>
      </c>
      <c r="O83" s="87">
        <f>VLOOKUP($A83,'Data shares'!$C:$FA,81)</f>
        <v>-0.01</v>
      </c>
    </row>
    <row r="84" spans="1:15" x14ac:dyDescent="0.25">
      <c r="A84" s="100" t="str">
        <f>'OI(Value)'!A84</f>
        <v>GRANULES</v>
      </c>
      <c r="B84" s="82">
        <f>VLOOKUP(A84,'Data shares'!$C$2:$CV$231,98,0)</f>
        <v>20233650</v>
      </c>
      <c r="C84" s="82">
        <f>VLOOKUP(A84,'Data shares'!$C$2:$CX$231,100,0)</f>
        <v>406350</v>
      </c>
      <c r="D84" s="141">
        <f>VLOOKUP(A84,'Data shares'!$C$2:$CY$554,101,0)</f>
        <v>2.0500000000000001E-2</v>
      </c>
      <c r="E84" s="86">
        <f>VLOOKUP($A84,'Data shares'!$C:$FA,74)</f>
        <v>12786050</v>
      </c>
      <c r="F84" s="86">
        <f>VLOOKUP($A84,'Data shares'!$C:$FA,76)</f>
        <v>131150</v>
      </c>
      <c r="G84" s="87">
        <f>VLOOKUP(A84,'Data shares'!$C$2:$CA$231,77,0)</f>
        <v>1.04E-2</v>
      </c>
      <c r="H84" s="86">
        <f>VLOOKUP($A84,'Data shares'!$C:$FA,90)</f>
        <v>4931025</v>
      </c>
      <c r="I84" s="86">
        <f>VLOOKUP($A84,'Data shares'!$C:$FA,92)</f>
        <v>250475</v>
      </c>
      <c r="J84" s="87">
        <f>VLOOKUP($A84,'Data shares'!$C:$FA,93)</f>
        <v>5.3499999999999999E-2</v>
      </c>
      <c r="K84" s="86">
        <f>VLOOKUP($A84,'Data shares'!$C:$FA,94)</f>
        <v>2516575</v>
      </c>
      <c r="L84" s="86">
        <f>VLOOKUP($A84,'Data shares'!$C:$FA,96)</f>
        <v>24725</v>
      </c>
      <c r="M84" s="87">
        <f>VLOOKUP($A84,'Data shares'!$C:$FA,97)</f>
        <v>9.9000000000000008E-3</v>
      </c>
      <c r="N84" s="86">
        <f>VLOOKUP($A84,'Data shares'!$C:$FA,78)</f>
        <v>12320575</v>
      </c>
      <c r="O84" s="87">
        <f>VLOOKUP($A84,'Data shares'!$C:$FA,81)</f>
        <v>1.9E-3</v>
      </c>
    </row>
    <row r="85" spans="1:15" x14ac:dyDescent="0.25">
      <c r="A85" s="100" t="str">
        <f>'OI(Value)'!A85</f>
        <v>GRASIM</v>
      </c>
      <c r="B85" s="82">
        <f>VLOOKUP(A85,'Data shares'!$C$2:$CV$231,98,0)</f>
        <v>16166250</v>
      </c>
      <c r="C85" s="82">
        <f>VLOOKUP(A85,'Data shares'!$C$2:$CX$231,100,0)</f>
        <v>217250</v>
      </c>
      <c r="D85" s="141">
        <f>VLOOKUP(A85,'Data shares'!$C$2:$CY$554,101,0)</f>
        <v>1.3599999999999999E-2</v>
      </c>
      <c r="E85" s="86">
        <f>VLOOKUP($A85,'Data shares'!$C:$FA,74)</f>
        <v>12675500</v>
      </c>
      <c r="F85" s="86">
        <f>VLOOKUP($A85,'Data shares'!$C:$FA,76)</f>
        <v>155750</v>
      </c>
      <c r="G85" s="87">
        <f>VLOOKUP(A85,'Data shares'!$C$2:$CA$231,77,0)</f>
        <v>1.24E-2</v>
      </c>
      <c r="H85" s="86">
        <f>VLOOKUP($A85,'Data shares'!$C:$FA,90)</f>
        <v>2389000</v>
      </c>
      <c r="I85" s="86">
        <f>VLOOKUP($A85,'Data shares'!$C:$FA,92)</f>
        <v>71250</v>
      </c>
      <c r="J85" s="87">
        <f>VLOOKUP($A85,'Data shares'!$C:$FA,93)</f>
        <v>3.0700000000000002E-2</v>
      </c>
      <c r="K85" s="86">
        <f>VLOOKUP($A85,'Data shares'!$C:$FA,94)</f>
        <v>1101750</v>
      </c>
      <c r="L85" s="86">
        <f>VLOOKUP($A85,'Data shares'!$C:$FA,96)</f>
        <v>-9750</v>
      </c>
      <c r="M85" s="87">
        <f>VLOOKUP($A85,'Data shares'!$C:$FA,97)</f>
        <v>-8.8000000000000005E-3</v>
      </c>
      <c r="N85" s="86">
        <f>VLOOKUP($A85,'Data shares'!$C:$FA,78)</f>
        <v>11963500</v>
      </c>
      <c r="O85" s="87">
        <f>VLOOKUP($A85,'Data shares'!$C:$FA,81)</f>
        <v>9.5999999999999992E-3</v>
      </c>
    </row>
    <row r="86" spans="1:15" x14ac:dyDescent="0.25">
      <c r="A86" s="100" t="str">
        <f>'OI(Value)'!A86</f>
        <v>HAL</v>
      </c>
      <c r="B86" s="82">
        <f>VLOOKUP(A86,'Data shares'!$C$2:$CV$231,98,0)</f>
        <v>20104650</v>
      </c>
      <c r="C86" s="82">
        <f>VLOOKUP(A86,'Data shares'!$C$2:$CX$231,100,0)</f>
        <v>-100950</v>
      </c>
      <c r="D86" s="141">
        <f>VLOOKUP(A86,'Data shares'!$C$2:$CY$554,101,0)</f>
        <v>-5.0000000000000001E-3</v>
      </c>
      <c r="E86" s="86">
        <f>VLOOKUP($A86,'Data shares'!$C:$FA,74)</f>
        <v>9372600</v>
      </c>
      <c r="F86" s="86">
        <f>VLOOKUP($A86,'Data shares'!$C:$FA,76)</f>
        <v>-44100</v>
      </c>
      <c r="G86" s="87">
        <f>VLOOKUP(A86,'Data shares'!$C$2:$CA$231,77,0)</f>
        <v>-4.7000000000000002E-3</v>
      </c>
      <c r="H86" s="86">
        <f>VLOOKUP($A86,'Data shares'!$C:$FA,90)</f>
        <v>7079700</v>
      </c>
      <c r="I86" s="86">
        <f>VLOOKUP($A86,'Data shares'!$C:$FA,92)</f>
        <v>-107550</v>
      </c>
      <c r="J86" s="87">
        <f>VLOOKUP($A86,'Data shares'!$C:$FA,93)</f>
        <v>-1.4999999999999999E-2</v>
      </c>
      <c r="K86" s="86">
        <f>VLOOKUP($A86,'Data shares'!$C:$FA,94)</f>
        <v>3652350</v>
      </c>
      <c r="L86" s="86">
        <f>VLOOKUP($A86,'Data shares'!$C:$FA,96)</f>
        <v>50700</v>
      </c>
      <c r="M86" s="87">
        <f>VLOOKUP($A86,'Data shares'!$C:$FA,97)</f>
        <v>1.41E-2</v>
      </c>
      <c r="N86" s="86">
        <f>VLOOKUP($A86,'Data shares'!$C:$FA,78)</f>
        <v>7405650</v>
      </c>
      <c r="O86" s="87">
        <f>VLOOKUP($A86,'Data shares'!$C:$FA,81)</f>
        <v>-2.8199999999999999E-2</v>
      </c>
    </row>
    <row r="87" spans="1:15" x14ac:dyDescent="0.25">
      <c r="A87" s="100" t="str">
        <f>'OI(Value)'!A87</f>
        <v>HAVELLS</v>
      </c>
      <c r="B87" s="82">
        <f>VLOOKUP(A87,'Data shares'!$C$2:$CV$231,98,0)</f>
        <v>16683000</v>
      </c>
      <c r="C87" s="82">
        <f>VLOOKUP(A87,'Data shares'!$C$2:$CX$231,100,0)</f>
        <v>-2118000</v>
      </c>
      <c r="D87" s="141">
        <f>VLOOKUP(A87,'Data shares'!$C$2:$CY$554,101,0)</f>
        <v>-0.11269999999999999</v>
      </c>
      <c r="E87" s="86">
        <f>VLOOKUP($A87,'Data shares'!$C:$FA,74)</f>
        <v>9090000</v>
      </c>
      <c r="F87" s="86">
        <f>VLOOKUP($A87,'Data shares'!$C:$FA,76)</f>
        <v>-1445500</v>
      </c>
      <c r="G87" s="87">
        <f>VLOOKUP(A87,'Data shares'!$C$2:$CA$231,77,0)</f>
        <v>-0.13719999999999999</v>
      </c>
      <c r="H87" s="86">
        <f>VLOOKUP($A87,'Data shares'!$C:$FA,90)</f>
        <v>3740000</v>
      </c>
      <c r="I87" s="86">
        <f>VLOOKUP($A87,'Data shares'!$C:$FA,92)</f>
        <v>-631000</v>
      </c>
      <c r="J87" s="87">
        <f>VLOOKUP($A87,'Data shares'!$C:$FA,93)</f>
        <v>-0.1444</v>
      </c>
      <c r="K87" s="86">
        <f>VLOOKUP($A87,'Data shares'!$C:$FA,94)</f>
        <v>3853000</v>
      </c>
      <c r="L87" s="86">
        <f>VLOOKUP($A87,'Data shares'!$C:$FA,96)</f>
        <v>-41500</v>
      </c>
      <c r="M87" s="87">
        <f>VLOOKUP($A87,'Data shares'!$C:$FA,97)</f>
        <v>-1.0699999999999999E-2</v>
      </c>
      <c r="N87" s="86">
        <f>VLOOKUP($A87,'Data shares'!$C:$FA,78)</f>
        <v>8329000</v>
      </c>
      <c r="O87" s="87">
        <f>VLOOKUP($A87,'Data shares'!$C:$FA,81)</f>
        <v>-0.14760000000000001</v>
      </c>
    </row>
    <row r="88" spans="1:15" x14ac:dyDescent="0.25">
      <c r="A88" s="100" t="str">
        <f>'OI(Value)'!A88</f>
        <v>HCLTECH</v>
      </c>
      <c r="B88" s="82">
        <f>VLOOKUP(A88,'Data shares'!$C$2:$CV$231,98,0)</f>
        <v>43713950</v>
      </c>
      <c r="C88" s="82">
        <f>VLOOKUP(A88,'Data shares'!$C$2:$CX$231,100,0)</f>
        <v>-62650</v>
      </c>
      <c r="D88" s="141">
        <f>VLOOKUP(A88,'Data shares'!$C$2:$CY$554,101,0)</f>
        <v>-1.4E-3</v>
      </c>
      <c r="E88" s="86">
        <f>VLOOKUP($A88,'Data shares'!$C:$FA,74)</f>
        <v>19739300</v>
      </c>
      <c r="F88" s="86">
        <f>VLOOKUP($A88,'Data shares'!$C:$FA,76)</f>
        <v>-10850</v>
      </c>
      <c r="G88" s="87">
        <f>VLOOKUP(A88,'Data shares'!$C$2:$CA$231,77,0)</f>
        <v>-5.0000000000000001E-4</v>
      </c>
      <c r="H88" s="86">
        <f>VLOOKUP($A88,'Data shares'!$C:$FA,90)</f>
        <v>17356150</v>
      </c>
      <c r="I88" s="86">
        <f>VLOOKUP($A88,'Data shares'!$C:$FA,92)</f>
        <v>10500</v>
      </c>
      <c r="J88" s="87">
        <f>VLOOKUP($A88,'Data shares'!$C:$FA,93)</f>
        <v>5.9999999999999995E-4</v>
      </c>
      <c r="K88" s="86">
        <f>VLOOKUP($A88,'Data shares'!$C:$FA,94)</f>
        <v>6618500</v>
      </c>
      <c r="L88" s="86">
        <f>VLOOKUP($A88,'Data shares'!$C:$FA,96)</f>
        <v>-62300</v>
      </c>
      <c r="M88" s="87">
        <f>VLOOKUP($A88,'Data shares'!$C:$FA,97)</f>
        <v>-9.2999999999999992E-3</v>
      </c>
      <c r="N88" s="86">
        <f>VLOOKUP($A88,'Data shares'!$C:$FA,78)</f>
        <v>16002000</v>
      </c>
      <c r="O88" s="87">
        <f>VLOOKUP($A88,'Data shares'!$C:$FA,81)</f>
        <v>-1.8800000000000001E-2</v>
      </c>
    </row>
    <row r="89" spans="1:15" x14ac:dyDescent="0.25">
      <c r="A89" s="100" t="str">
        <f>'OI(Value)'!A89</f>
        <v>HDFCAMC</v>
      </c>
      <c r="B89" s="82">
        <f>VLOOKUP(A89,'Data shares'!$C$2:$CV$231,98,0)</f>
        <v>6207450</v>
      </c>
      <c r="C89" s="82">
        <f>VLOOKUP(A89,'Data shares'!$C$2:$CX$231,100,0)</f>
        <v>-195300</v>
      </c>
      <c r="D89" s="141">
        <f>VLOOKUP(A89,'Data shares'!$C$2:$CY$554,101,0)</f>
        <v>-3.0499999999999999E-2</v>
      </c>
      <c r="E89" s="86">
        <f>VLOOKUP($A89,'Data shares'!$C:$FA,74)</f>
        <v>2777250</v>
      </c>
      <c r="F89" s="86">
        <f>VLOOKUP($A89,'Data shares'!$C:$FA,76)</f>
        <v>-40950</v>
      </c>
      <c r="G89" s="87">
        <f>VLOOKUP(A89,'Data shares'!$C$2:$CA$231,77,0)</f>
        <v>-1.4500000000000001E-2</v>
      </c>
      <c r="H89" s="86">
        <f>VLOOKUP($A89,'Data shares'!$C:$FA,90)</f>
        <v>2013900</v>
      </c>
      <c r="I89" s="86">
        <f>VLOOKUP($A89,'Data shares'!$C:$FA,92)</f>
        <v>-71850</v>
      </c>
      <c r="J89" s="87">
        <f>VLOOKUP($A89,'Data shares'!$C:$FA,93)</f>
        <v>-3.44E-2</v>
      </c>
      <c r="K89" s="86">
        <f>VLOOKUP($A89,'Data shares'!$C:$FA,94)</f>
        <v>1416300</v>
      </c>
      <c r="L89" s="86">
        <f>VLOOKUP($A89,'Data shares'!$C:$FA,96)</f>
        <v>-82500</v>
      </c>
      <c r="M89" s="87">
        <f>VLOOKUP($A89,'Data shares'!$C:$FA,97)</f>
        <v>-5.5E-2</v>
      </c>
      <c r="N89" s="86">
        <f>VLOOKUP($A89,'Data shares'!$C:$FA,78)</f>
        <v>2510850</v>
      </c>
      <c r="O89" s="87">
        <f>VLOOKUP($A89,'Data shares'!$C:$FA,81)</f>
        <v>-2.3099999999999999E-2</v>
      </c>
    </row>
    <row r="90" spans="1:15" x14ac:dyDescent="0.25">
      <c r="A90" s="100" t="str">
        <f>'OI(Value)'!A90</f>
        <v>HDFCBANK</v>
      </c>
      <c r="B90" s="82">
        <f>VLOOKUP(A90,'Data shares'!$C$2:$CV$231,98,0)</f>
        <v>162228550</v>
      </c>
      <c r="C90" s="82">
        <f>VLOOKUP(A90,'Data shares'!$C$2:$CX$231,100,0)</f>
        <v>-2882550</v>
      </c>
      <c r="D90" s="141">
        <f>VLOOKUP(A90,'Data shares'!$C$2:$CY$554,101,0)</f>
        <v>-1.7500000000000002E-2</v>
      </c>
      <c r="E90" s="86">
        <f>VLOOKUP($A90,'Data shares'!$C:$FA,74)</f>
        <v>104651250</v>
      </c>
      <c r="F90" s="86">
        <f>VLOOKUP($A90,'Data shares'!$C:$FA,76)</f>
        <v>-1505350</v>
      </c>
      <c r="G90" s="87">
        <f>VLOOKUP(A90,'Data shares'!$C$2:$CA$231,77,0)</f>
        <v>-1.4200000000000001E-2</v>
      </c>
      <c r="H90" s="86">
        <f>VLOOKUP($A90,'Data shares'!$C:$FA,90)</f>
        <v>36168000</v>
      </c>
      <c r="I90" s="86">
        <f>VLOOKUP($A90,'Data shares'!$C:$FA,92)</f>
        <v>-1906850</v>
      </c>
      <c r="J90" s="87">
        <f>VLOOKUP($A90,'Data shares'!$C:$FA,93)</f>
        <v>-5.0099999999999999E-2</v>
      </c>
      <c r="K90" s="86">
        <f>VLOOKUP($A90,'Data shares'!$C:$FA,94)</f>
        <v>21409300</v>
      </c>
      <c r="L90" s="86">
        <f>VLOOKUP($A90,'Data shares'!$C:$FA,96)</f>
        <v>529650</v>
      </c>
      <c r="M90" s="87">
        <f>VLOOKUP($A90,'Data shares'!$C:$FA,97)</f>
        <v>2.5399999999999999E-2</v>
      </c>
      <c r="N90" s="86">
        <f>VLOOKUP($A90,'Data shares'!$C:$FA,78)</f>
        <v>85634450</v>
      </c>
      <c r="O90" s="87">
        <f>VLOOKUP($A90,'Data shares'!$C:$FA,81)</f>
        <v>-2.64E-2</v>
      </c>
    </row>
    <row r="91" spans="1:15" x14ac:dyDescent="0.25">
      <c r="A91" s="100" t="str">
        <f>'OI(Value)'!A91</f>
        <v>HDFCLIFE</v>
      </c>
      <c r="B91" s="82">
        <f>VLOOKUP(A91,'Data shares'!$C$2:$CV$231,98,0)</f>
        <v>60084200</v>
      </c>
      <c r="C91" s="82">
        <f>VLOOKUP(A91,'Data shares'!$C$2:$CX$231,100,0)</f>
        <v>-4238300</v>
      </c>
      <c r="D91" s="141">
        <f>VLOOKUP(A91,'Data shares'!$C$2:$CY$554,101,0)</f>
        <v>-6.59E-2</v>
      </c>
      <c r="E91" s="86">
        <f>VLOOKUP($A91,'Data shares'!$C:$FA,74)</f>
        <v>29080700</v>
      </c>
      <c r="F91" s="86">
        <f>VLOOKUP($A91,'Data shares'!$C:$FA,76)</f>
        <v>-530200</v>
      </c>
      <c r="G91" s="87">
        <f>VLOOKUP(A91,'Data shares'!$C$2:$CA$231,77,0)</f>
        <v>-1.7899999999999999E-2</v>
      </c>
      <c r="H91" s="86">
        <f>VLOOKUP($A91,'Data shares'!$C:$FA,90)</f>
        <v>20573300</v>
      </c>
      <c r="I91" s="86">
        <f>VLOOKUP($A91,'Data shares'!$C:$FA,92)</f>
        <v>-3052500</v>
      </c>
      <c r="J91" s="87">
        <f>VLOOKUP($A91,'Data shares'!$C:$FA,93)</f>
        <v>-0.12920000000000001</v>
      </c>
      <c r="K91" s="86">
        <f>VLOOKUP($A91,'Data shares'!$C:$FA,94)</f>
        <v>10430200</v>
      </c>
      <c r="L91" s="86">
        <f>VLOOKUP($A91,'Data shares'!$C:$FA,96)</f>
        <v>-655600</v>
      </c>
      <c r="M91" s="87">
        <f>VLOOKUP($A91,'Data shares'!$C:$FA,97)</f>
        <v>-5.91E-2</v>
      </c>
      <c r="N91" s="86">
        <f>VLOOKUP($A91,'Data shares'!$C:$FA,78)</f>
        <v>26248200</v>
      </c>
      <c r="O91" s="87">
        <f>VLOOKUP($A91,'Data shares'!$C:$FA,81)</f>
        <v>-3.1800000000000002E-2</v>
      </c>
    </row>
    <row r="92" spans="1:15" x14ac:dyDescent="0.25">
      <c r="A92" s="100" t="str">
        <f>'OI(Value)'!A92</f>
        <v>HEROMOTOCO</v>
      </c>
      <c r="B92" s="82">
        <f>VLOOKUP(A92,'Data shares'!$C$2:$CV$231,98,0)</f>
        <v>13135950</v>
      </c>
      <c r="C92" s="82">
        <f>VLOOKUP(A92,'Data shares'!$C$2:$CX$231,100,0)</f>
        <v>626250</v>
      </c>
      <c r="D92" s="141">
        <f>VLOOKUP(A92,'Data shares'!$C$2:$CY$554,101,0)</f>
        <v>5.0099999999999999E-2</v>
      </c>
      <c r="E92" s="86">
        <f>VLOOKUP($A92,'Data shares'!$C:$FA,74)</f>
        <v>6679500</v>
      </c>
      <c r="F92" s="86">
        <f>VLOOKUP($A92,'Data shares'!$C:$FA,76)</f>
        <v>333900</v>
      </c>
      <c r="G92" s="87">
        <f>VLOOKUP(A92,'Data shares'!$C$2:$CA$231,77,0)</f>
        <v>5.2600000000000001E-2</v>
      </c>
      <c r="H92" s="86">
        <f>VLOOKUP($A92,'Data shares'!$C:$FA,90)</f>
        <v>4189350</v>
      </c>
      <c r="I92" s="86">
        <f>VLOOKUP($A92,'Data shares'!$C:$FA,92)</f>
        <v>300150</v>
      </c>
      <c r="J92" s="87">
        <f>VLOOKUP($A92,'Data shares'!$C:$FA,93)</f>
        <v>7.7200000000000005E-2</v>
      </c>
      <c r="K92" s="86">
        <f>VLOOKUP($A92,'Data shares'!$C:$FA,94)</f>
        <v>2267100</v>
      </c>
      <c r="L92" s="86">
        <f>VLOOKUP($A92,'Data shares'!$C:$FA,96)</f>
        <v>-7800</v>
      </c>
      <c r="M92" s="87">
        <f>VLOOKUP($A92,'Data shares'!$C:$FA,97)</f>
        <v>-3.3999999999999998E-3</v>
      </c>
      <c r="N92" s="86">
        <f>VLOOKUP($A92,'Data shares'!$C:$FA,78)</f>
        <v>5990700</v>
      </c>
      <c r="O92" s="87">
        <f>VLOOKUP($A92,'Data shares'!$C:$FA,81)</f>
        <v>2.9000000000000001E-2</v>
      </c>
    </row>
    <row r="93" spans="1:15" x14ac:dyDescent="0.25">
      <c r="A93" s="100" t="str">
        <f>'OI(Value)'!A93</f>
        <v>HFCL</v>
      </c>
      <c r="B93" s="82">
        <f>VLOOKUP(A93,'Data shares'!$C$2:$CV$231,98,0)</f>
        <v>137443050</v>
      </c>
      <c r="C93" s="82">
        <f>VLOOKUP(A93,'Data shares'!$C$2:$CX$231,100,0)</f>
        <v>5160000</v>
      </c>
      <c r="D93" s="141">
        <f>VLOOKUP(A93,'Data shares'!$C$2:$CY$554,101,0)</f>
        <v>3.9E-2</v>
      </c>
      <c r="E93" s="86">
        <f>VLOOKUP($A93,'Data shares'!$C:$FA,74)</f>
        <v>83482350</v>
      </c>
      <c r="F93" s="86">
        <f>VLOOKUP($A93,'Data shares'!$C:$FA,76)</f>
        <v>4244100</v>
      </c>
      <c r="G93" s="87">
        <f>VLOOKUP(A93,'Data shares'!$C$2:$CA$231,77,0)</f>
        <v>5.3600000000000002E-2</v>
      </c>
      <c r="H93" s="86">
        <f>VLOOKUP($A93,'Data shares'!$C:$FA,90)</f>
        <v>32624100</v>
      </c>
      <c r="I93" s="86">
        <f>VLOOKUP($A93,'Data shares'!$C:$FA,92)</f>
        <v>335400</v>
      </c>
      <c r="J93" s="87">
        <f>VLOOKUP($A93,'Data shares'!$C:$FA,93)</f>
        <v>1.04E-2</v>
      </c>
      <c r="K93" s="86">
        <f>VLOOKUP($A93,'Data shares'!$C:$FA,94)</f>
        <v>21336600</v>
      </c>
      <c r="L93" s="86">
        <f>VLOOKUP($A93,'Data shares'!$C:$FA,96)</f>
        <v>580500</v>
      </c>
      <c r="M93" s="87">
        <f>VLOOKUP($A93,'Data shares'!$C:$FA,97)</f>
        <v>2.8000000000000001E-2</v>
      </c>
      <c r="N93" s="86">
        <f>VLOOKUP($A93,'Data shares'!$C:$FA,78)</f>
        <v>71717550</v>
      </c>
      <c r="O93" s="87">
        <f>VLOOKUP($A93,'Data shares'!$C:$FA,81)</f>
        <v>2.35E-2</v>
      </c>
    </row>
    <row r="94" spans="1:15" x14ac:dyDescent="0.25">
      <c r="A94" s="100" t="str">
        <f>'OI(Value)'!A94</f>
        <v>HINDALCO</v>
      </c>
      <c r="B94" s="82">
        <f>VLOOKUP(A94,'Data shares'!$C$2:$CV$231,98,0)</f>
        <v>82874400</v>
      </c>
      <c r="C94" s="82">
        <f>VLOOKUP(A94,'Data shares'!$C$2:$CX$231,100,0)</f>
        <v>1244600</v>
      </c>
      <c r="D94" s="141">
        <f>VLOOKUP(A94,'Data shares'!$C$2:$CY$554,101,0)</f>
        <v>1.52E-2</v>
      </c>
      <c r="E94" s="86">
        <f>VLOOKUP($A94,'Data shares'!$C:$FA,74)</f>
        <v>53978400</v>
      </c>
      <c r="F94" s="86">
        <f>VLOOKUP($A94,'Data shares'!$C:$FA,76)</f>
        <v>50400</v>
      </c>
      <c r="G94" s="87">
        <f>VLOOKUP(A94,'Data shares'!$C$2:$CA$231,77,0)</f>
        <v>8.9999999999999998E-4</v>
      </c>
      <c r="H94" s="86">
        <f>VLOOKUP($A94,'Data shares'!$C:$FA,90)</f>
        <v>18641000</v>
      </c>
      <c r="I94" s="86">
        <f>VLOOKUP($A94,'Data shares'!$C:$FA,92)</f>
        <v>855400</v>
      </c>
      <c r="J94" s="87">
        <f>VLOOKUP($A94,'Data shares'!$C:$FA,93)</f>
        <v>4.8099999999999997E-2</v>
      </c>
      <c r="K94" s="86">
        <f>VLOOKUP($A94,'Data shares'!$C:$FA,94)</f>
        <v>10255000</v>
      </c>
      <c r="L94" s="86">
        <f>VLOOKUP($A94,'Data shares'!$C:$FA,96)</f>
        <v>338800</v>
      </c>
      <c r="M94" s="87">
        <f>VLOOKUP($A94,'Data shares'!$C:$FA,97)</f>
        <v>3.4200000000000001E-2</v>
      </c>
      <c r="N94" s="86">
        <f>VLOOKUP($A94,'Data shares'!$C:$FA,78)</f>
        <v>49870800</v>
      </c>
      <c r="O94" s="87">
        <f>VLOOKUP($A94,'Data shares'!$C:$FA,81)</f>
        <v>-1.34E-2</v>
      </c>
    </row>
    <row r="95" spans="1:15" x14ac:dyDescent="0.25">
      <c r="A95" s="100" t="str">
        <f>'OI(Value)'!A95</f>
        <v>HINDCOPPER</v>
      </c>
      <c r="B95" s="82">
        <f>VLOOKUP(A95,'Data shares'!$C$2:$CV$231,98,0)</f>
        <v>49464900</v>
      </c>
      <c r="C95" s="82">
        <f>VLOOKUP(A95,'Data shares'!$C$2:$CX$231,100,0)</f>
        <v>-2689750</v>
      </c>
      <c r="D95" s="141">
        <f>VLOOKUP(A95,'Data shares'!$C$2:$CY$554,101,0)</f>
        <v>-5.16E-2</v>
      </c>
      <c r="E95" s="86">
        <f>VLOOKUP($A95,'Data shares'!$C:$FA,74)</f>
        <v>31280600</v>
      </c>
      <c r="F95" s="86">
        <f>VLOOKUP($A95,'Data shares'!$C:$FA,76)</f>
        <v>-1242850</v>
      </c>
      <c r="G95" s="87">
        <f>VLOOKUP(A95,'Data shares'!$C$2:$CA$231,77,0)</f>
        <v>-3.8199999999999998E-2</v>
      </c>
      <c r="H95" s="86">
        <f>VLOOKUP($A95,'Data shares'!$C:$FA,90)</f>
        <v>12261550</v>
      </c>
      <c r="I95" s="86">
        <f>VLOOKUP($A95,'Data shares'!$C:$FA,92)</f>
        <v>-344500</v>
      </c>
      <c r="J95" s="87">
        <f>VLOOKUP($A95,'Data shares'!$C:$FA,93)</f>
        <v>-2.7300000000000001E-2</v>
      </c>
      <c r="K95" s="86">
        <f>VLOOKUP($A95,'Data shares'!$C:$FA,94)</f>
        <v>5922750</v>
      </c>
      <c r="L95" s="86">
        <f>VLOOKUP($A95,'Data shares'!$C:$FA,96)</f>
        <v>-1102400</v>
      </c>
      <c r="M95" s="87">
        <f>VLOOKUP($A95,'Data shares'!$C:$FA,97)</f>
        <v>-0.15690000000000001</v>
      </c>
      <c r="N95" s="86">
        <f>VLOOKUP($A95,'Data shares'!$C:$FA,78)</f>
        <v>31280600</v>
      </c>
      <c r="O95" s="87">
        <f>VLOOKUP($A95,'Data shares'!$C:$FA,81)</f>
        <v>-3.8199999999999998E-2</v>
      </c>
    </row>
    <row r="96" spans="1:15" x14ac:dyDescent="0.25">
      <c r="A96" s="100" t="str">
        <f>'OI(Value)'!A96</f>
        <v>HINDPETRO</v>
      </c>
      <c r="B96" s="82">
        <f>VLOOKUP(A96,'Data shares'!$C$2:$CV$231,98,0)</f>
        <v>83006775</v>
      </c>
      <c r="C96" s="82">
        <f>VLOOKUP(A96,'Data shares'!$C$2:$CX$231,100,0)</f>
        <v>309825</v>
      </c>
      <c r="D96" s="141">
        <f>VLOOKUP(A96,'Data shares'!$C$2:$CY$554,101,0)</f>
        <v>3.7000000000000002E-3</v>
      </c>
      <c r="E96" s="86">
        <f>VLOOKUP($A96,'Data shares'!$C:$FA,74)</f>
        <v>54723600</v>
      </c>
      <c r="F96" s="86">
        <f>VLOOKUP($A96,'Data shares'!$C:$FA,76)</f>
        <v>415125</v>
      </c>
      <c r="G96" s="87">
        <f>VLOOKUP(A96,'Data shares'!$C$2:$CA$231,77,0)</f>
        <v>7.6E-3</v>
      </c>
      <c r="H96" s="86">
        <f>VLOOKUP($A96,'Data shares'!$C:$FA,90)</f>
        <v>16764975</v>
      </c>
      <c r="I96" s="86">
        <f>VLOOKUP($A96,'Data shares'!$C:$FA,92)</f>
        <v>133650</v>
      </c>
      <c r="J96" s="87">
        <f>VLOOKUP($A96,'Data shares'!$C:$FA,93)</f>
        <v>8.0000000000000002E-3</v>
      </c>
      <c r="K96" s="86">
        <f>VLOOKUP($A96,'Data shares'!$C:$FA,94)</f>
        <v>11518200</v>
      </c>
      <c r="L96" s="86">
        <f>VLOOKUP($A96,'Data shares'!$C:$FA,96)</f>
        <v>-238950</v>
      </c>
      <c r="M96" s="87">
        <f>VLOOKUP($A96,'Data shares'!$C:$FA,97)</f>
        <v>-2.0299999999999999E-2</v>
      </c>
      <c r="N96" s="86">
        <f>VLOOKUP($A96,'Data shares'!$C:$FA,78)</f>
        <v>51483600</v>
      </c>
      <c r="O96" s="87">
        <f>VLOOKUP($A96,'Data shares'!$C:$FA,81)</f>
        <v>-3.8E-3</v>
      </c>
    </row>
    <row r="97" spans="1:15" x14ac:dyDescent="0.25">
      <c r="A97" s="100" t="str">
        <f>'OI(Value)'!A97</f>
        <v>HINDUNILVR</v>
      </c>
      <c r="B97" s="82">
        <f>VLOOKUP(A97,'Data shares'!$C$2:$CV$231,98,0)</f>
        <v>33282600</v>
      </c>
      <c r="C97" s="82">
        <f>VLOOKUP(A97,'Data shares'!$C$2:$CX$231,100,0)</f>
        <v>-399900</v>
      </c>
      <c r="D97" s="141">
        <f>VLOOKUP(A97,'Data shares'!$C$2:$CY$554,101,0)</f>
        <v>-1.1900000000000001E-2</v>
      </c>
      <c r="E97" s="86">
        <f>VLOOKUP($A97,'Data shares'!$C:$FA,74)</f>
        <v>16158900</v>
      </c>
      <c r="F97" s="86">
        <f>VLOOKUP($A97,'Data shares'!$C:$FA,76)</f>
        <v>-243300</v>
      </c>
      <c r="G97" s="87">
        <f>VLOOKUP(A97,'Data shares'!$C$2:$CA$231,77,0)</f>
        <v>-1.4800000000000001E-2</v>
      </c>
      <c r="H97" s="86">
        <f>VLOOKUP($A97,'Data shares'!$C:$FA,90)</f>
        <v>10020000</v>
      </c>
      <c r="I97" s="86">
        <f>VLOOKUP($A97,'Data shares'!$C:$FA,92)</f>
        <v>-138900</v>
      </c>
      <c r="J97" s="87">
        <f>VLOOKUP($A97,'Data shares'!$C:$FA,93)</f>
        <v>-1.37E-2</v>
      </c>
      <c r="K97" s="86">
        <f>VLOOKUP($A97,'Data shares'!$C:$FA,94)</f>
        <v>7103700</v>
      </c>
      <c r="L97" s="86">
        <f>VLOOKUP($A97,'Data shares'!$C:$FA,96)</f>
        <v>-17700</v>
      </c>
      <c r="M97" s="87">
        <f>VLOOKUP($A97,'Data shares'!$C:$FA,97)</f>
        <v>-2.5000000000000001E-3</v>
      </c>
      <c r="N97" s="86">
        <f>VLOOKUP($A97,'Data shares'!$C:$FA,78)</f>
        <v>14417100</v>
      </c>
      <c r="O97" s="87">
        <f>VLOOKUP($A97,'Data shares'!$C:$FA,81)</f>
        <v>-1.9900000000000001E-2</v>
      </c>
    </row>
    <row r="98" spans="1:15" x14ac:dyDescent="0.25">
      <c r="A98" s="100" t="str">
        <f>'OI(Value)'!A98</f>
        <v>HINDZINC</v>
      </c>
      <c r="B98" s="82">
        <f>VLOOKUP(A98,'Data shares'!$C$2:$CV$231,98,0)</f>
        <v>72994075</v>
      </c>
      <c r="C98" s="82">
        <f>VLOOKUP(A98,'Data shares'!$C$2:$CX$231,100,0)</f>
        <v>-1674575</v>
      </c>
      <c r="D98" s="141">
        <f>VLOOKUP(A98,'Data shares'!$C$2:$CY$554,101,0)</f>
        <v>-2.24E-2</v>
      </c>
      <c r="E98" s="86">
        <f>VLOOKUP($A98,'Data shares'!$C:$FA,74)</f>
        <v>38005625</v>
      </c>
      <c r="F98" s="86">
        <f>VLOOKUP($A98,'Data shares'!$C:$FA,76)</f>
        <v>-365050</v>
      </c>
      <c r="G98" s="87">
        <f>VLOOKUP(A98,'Data shares'!$C$2:$CA$231,77,0)</f>
        <v>-9.4999999999999998E-3</v>
      </c>
      <c r="H98" s="86">
        <f>VLOOKUP($A98,'Data shares'!$C:$FA,90)</f>
        <v>22065925</v>
      </c>
      <c r="I98" s="86">
        <f>VLOOKUP($A98,'Data shares'!$C:$FA,92)</f>
        <v>-531650</v>
      </c>
      <c r="J98" s="87">
        <f>VLOOKUP($A98,'Data shares'!$C:$FA,93)</f>
        <v>-2.35E-2</v>
      </c>
      <c r="K98" s="86">
        <f>VLOOKUP($A98,'Data shares'!$C:$FA,94)</f>
        <v>12922525</v>
      </c>
      <c r="L98" s="86">
        <f>VLOOKUP($A98,'Data shares'!$C:$FA,96)</f>
        <v>-777875</v>
      </c>
      <c r="M98" s="87">
        <f>VLOOKUP($A98,'Data shares'!$C:$FA,97)</f>
        <v>-5.6800000000000003E-2</v>
      </c>
      <c r="N98" s="86">
        <f>VLOOKUP($A98,'Data shares'!$C:$FA,78)</f>
        <v>34318375</v>
      </c>
      <c r="O98" s="87">
        <f>VLOOKUP($A98,'Data shares'!$C:$FA,81)</f>
        <v>-1.77E-2</v>
      </c>
    </row>
    <row r="99" spans="1:15" x14ac:dyDescent="0.25">
      <c r="A99" s="100" t="str">
        <f>'OI(Value)'!A99</f>
        <v>HUDCO</v>
      </c>
      <c r="B99" s="82">
        <f>VLOOKUP(A99,'Data shares'!$C$2:$CV$231,98,0)</f>
        <v>68861625</v>
      </c>
      <c r="C99" s="82">
        <f>VLOOKUP(A99,'Data shares'!$C$2:$CX$231,100,0)</f>
        <v>-302475</v>
      </c>
      <c r="D99" s="141">
        <f>VLOOKUP(A99,'Data shares'!$C$2:$CY$554,101,0)</f>
        <v>-4.4000000000000003E-3</v>
      </c>
      <c r="E99" s="86">
        <f>VLOOKUP($A99,'Data shares'!$C:$FA,74)</f>
        <v>42790500</v>
      </c>
      <c r="F99" s="86">
        <f>VLOOKUP($A99,'Data shares'!$C:$FA,76)</f>
        <v>505050</v>
      </c>
      <c r="G99" s="87">
        <f>VLOOKUP(A99,'Data shares'!$C$2:$CA$231,77,0)</f>
        <v>1.1900000000000001E-2</v>
      </c>
      <c r="H99" s="86">
        <f>VLOOKUP($A99,'Data shares'!$C:$FA,90)</f>
        <v>16958025</v>
      </c>
      <c r="I99" s="86">
        <f>VLOOKUP($A99,'Data shares'!$C:$FA,92)</f>
        <v>-391275</v>
      </c>
      <c r="J99" s="87">
        <f>VLOOKUP($A99,'Data shares'!$C:$FA,93)</f>
        <v>-2.2599999999999999E-2</v>
      </c>
      <c r="K99" s="86">
        <f>VLOOKUP($A99,'Data shares'!$C:$FA,94)</f>
        <v>9113100</v>
      </c>
      <c r="L99" s="86">
        <f>VLOOKUP($A99,'Data shares'!$C:$FA,96)</f>
        <v>-416250</v>
      </c>
      <c r="M99" s="87">
        <f>VLOOKUP($A99,'Data shares'!$C:$FA,97)</f>
        <v>-4.3700000000000003E-2</v>
      </c>
      <c r="N99" s="86">
        <f>VLOOKUP($A99,'Data shares'!$C:$FA,78)</f>
        <v>39366150</v>
      </c>
      <c r="O99" s="87">
        <f>VLOOKUP($A99,'Data shares'!$C:$FA,81)</f>
        <v>3.0000000000000001E-3</v>
      </c>
    </row>
    <row r="100" spans="1:15" x14ac:dyDescent="0.25">
      <c r="A100" s="100" t="str">
        <f>'OI(Value)'!A100</f>
        <v>ICICIBANK</v>
      </c>
      <c r="B100" s="82">
        <f>VLOOKUP(A100,'Data shares'!$C$2:$CV$231,98,0)</f>
        <v>154910000</v>
      </c>
      <c r="C100" s="82">
        <f>VLOOKUP(A100,'Data shares'!$C$2:$CX$231,100,0)</f>
        <v>-1141000</v>
      </c>
      <c r="D100" s="141">
        <f>VLOOKUP(A100,'Data shares'!$C$2:$CY$554,101,0)</f>
        <v>-7.3000000000000001E-3</v>
      </c>
      <c r="E100" s="86">
        <f>VLOOKUP($A100,'Data shares'!$C:$FA,74)</f>
        <v>108398500</v>
      </c>
      <c r="F100" s="86">
        <f>VLOOKUP($A100,'Data shares'!$C:$FA,76)</f>
        <v>-1852900</v>
      </c>
      <c r="G100" s="87">
        <f>VLOOKUP(A100,'Data shares'!$C$2:$CA$231,77,0)</f>
        <v>-1.6799999999999999E-2</v>
      </c>
      <c r="H100" s="86">
        <f>VLOOKUP($A100,'Data shares'!$C:$FA,90)</f>
        <v>24581900</v>
      </c>
      <c r="I100" s="86">
        <f>VLOOKUP($A100,'Data shares'!$C:$FA,92)</f>
        <v>-539700</v>
      </c>
      <c r="J100" s="87">
        <f>VLOOKUP($A100,'Data shares'!$C:$FA,93)</f>
        <v>-2.1499999999999998E-2</v>
      </c>
      <c r="K100" s="86">
        <f>VLOOKUP($A100,'Data shares'!$C:$FA,94)</f>
        <v>21929600</v>
      </c>
      <c r="L100" s="86">
        <f>VLOOKUP($A100,'Data shares'!$C:$FA,96)</f>
        <v>1251600</v>
      </c>
      <c r="M100" s="87">
        <f>VLOOKUP($A100,'Data shares'!$C:$FA,97)</f>
        <v>6.0499999999999998E-2</v>
      </c>
      <c r="N100" s="86">
        <f>VLOOKUP($A100,'Data shares'!$C:$FA,78)</f>
        <v>59131800</v>
      </c>
      <c r="O100" s="87">
        <f>VLOOKUP($A100,'Data shares'!$C:$FA,81)</f>
        <v>-3.6600000000000001E-2</v>
      </c>
    </row>
    <row r="101" spans="1:15" x14ac:dyDescent="0.25">
      <c r="A101" s="100" t="str">
        <f>'OI(Value)'!A101</f>
        <v>ICICIGI</v>
      </c>
      <c r="B101" s="82">
        <f>VLOOKUP(A101,'Data shares'!$C$2:$CV$231,98,0)</f>
        <v>9319050</v>
      </c>
      <c r="C101" s="82">
        <f>VLOOKUP(A101,'Data shares'!$C$2:$CX$231,100,0)</f>
        <v>-519350</v>
      </c>
      <c r="D101" s="141">
        <f>VLOOKUP(A101,'Data shares'!$C$2:$CY$554,101,0)</f>
        <v>-5.28E-2</v>
      </c>
      <c r="E101" s="86">
        <f>VLOOKUP($A101,'Data shares'!$C:$FA,74)</f>
        <v>5315050</v>
      </c>
      <c r="F101" s="86">
        <f>VLOOKUP($A101,'Data shares'!$C:$FA,76)</f>
        <v>-14625</v>
      </c>
      <c r="G101" s="87">
        <f>VLOOKUP(A101,'Data shares'!$C$2:$CA$231,77,0)</f>
        <v>-2.7000000000000001E-3</v>
      </c>
      <c r="H101" s="86">
        <f>VLOOKUP($A101,'Data shares'!$C:$FA,90)</f>
        <v>2910050</v>
      </c>
      <c r="I101" s="86">
        <f>VLOOKUP($A101,'Data shares'!$C:$FA,92)</f>
        <v>-383825</v>
      </c>
      <c r="J101" s="87">
        <f>VLOOKUP($A101,'Data shares'!$C:$FA,93)</f>
        <v>-0.11650000000000001</v>
      </c>
      <c r="K101" s="86">
        <f>VLOOKUP($A101,'Data shares'!$C:$FA,94)</f>
        <v>1093950</v>
      </c>
      <c r="L101" s="86">
        <f>VLOOKUP($A101,'Data shares'!$C:$FA,96)</f>
        <v>-120900</v>
      </c>
      <c r="M101" s="87">
        <f>VLOOKUP($A101,'Data shares'!$C:$FA,97)</f>
        <v>-9.9500000000000005E-2</v>
      </c>
      <c r="N101" s="86">
        <f>VLOOKUP($A101,'Data shares'!$C:$FA,78)</f>
        <v>5144100</v>
      </c>
      <c r="O101" s="87">
        <f>VLOOKUP($A101,'Data shares'!$C:$FA,81)</f>
        <v>-7.1999999999999998E-3</v>
      </c>
    </row>
    <row r="102" spans="1:15" x14ac:dyDescent="0.25">
      <c r="A102" s="100" t="str">
        <f>'OI(Value)'!A102</f>
        <v>ICICIPRULI</v>
      </c>
      <c r="B102" s="82">
        <f>VLOOKUP(A102,'Data shares'!$C$2:$CV$231,98,0)</f>
        <v>26969300</v>
      </c>
      <c r="C102" s="82">
        <f>VLOOKUP(A102,'Data shares'!$C$2:$CX$231,100,0)</f>
        <v>584600</v>
      </c>
      <c r="D102" s="141">
        <f>VLOOKUP(A102,'Data shares'!$C$2:$CY$554,101,0)</f>
        <v>2.2200000000000001E-2</v>
      </c>
      <c r="E102" s="86">
        <f>VLOOKUP($A102,'Data shares'!$C:$FA,74)</f>
        <v>14786125</v>
      </c>
      <c r="F102" s="86">
        <f>VLOOKUP($A102,'Data shares'!$C:$FA,76)</f>
        <v>272875</v>
      </c>
      <c r="G102" s="87">
        <f>VLOOKUP(A102,'Data shares'!$C$2:$CA$231,77,0)</f>
        <v>1.8800000000000001E-2</v>
      </c>
      <c r="H102" s="86">
        <f>VLOOKUP($A102,'Data shares'!$C:$FA,90)</f>
        <v>8855950</v>
      </c>
      <c r="I102" s="86">
        <f>VLOOKUP($A102,'Data shares'!$C:$FA,92)</f>
        <v>317275</v>
      </c>
      <c r="J102" s="87">
        <f>VLOOKUP($A102,'Data shares'!$C:$FA,93)</f>
        <v>3.7199999999999997E-2</v>
      </c>
      <c r="K102" s="86">
        <f>VLOOKUP($A102,'Data shares'!$C:$FA,94)</f>
        <v>3327225</v>
      </c>
      <c r="L102" s="86">
        <f>VLOOKUP($A102,'Data shares'!$C:$FA,96)</f>
        <v>-5550</v>
      </c>
      <c r="M102" s="87">
        <f>VLOOKUP($A102,'Data shares'!$C:$FA,97)</f>
        <v>-1.6999999999999999E-3</v>
      </c>
      <c r="N102" s="86">
        <f>VLOOKUP($A102,'Data shares'!$C:$FA,78)</f>
        <v>14090525</v>
      </c>
      <c r="O102" s="87">
        <f>VLOOKUP($A102,'Data shares'!$C:$FA,81)</f>
        <v>7.7000000000000002E-3</v>
      </c>
    </row>
    <row r="103" spans="1:15" x14ac:dyDescent="0.25">
      <c r="A103" s="100" t="str">
        <f>'OI(Value)'!A103</f>
        <v>IDEA</v>
      </c>
      <c r="B103" s="82">
        <f>VLOOKUP(A103,'Data shares'!$C$2:$CV$231,98,0)</f>
        <v>7501015350</v>
      </c>
      <c r="C103" s="82">
        <f>VLOOKUP(A103,'Data shares'!$C$2:$CX$231,100,0)</f>
        <v>107712825</v>
      </c>
      <c r="D103" s="141">
        <f>VLOOKUP(A103,'Data shares'!$C$2:$CY$554,101,0)</f>
        <v>1.46E-2</v>
      </c>
      <c r="E103" s="86">
        <f>VLOOKUP($A103,'Data shares'!$C:$FA,74)</f>
        <v>5320670475</v>
      </c>
      <c r="F103" s="86">
        <f>VLOOKUP($A103,'Data shares'!$C:$FA,76)</f>
        <v>32592600</v>
      </c>
      <c r="G103" s="87">
        <f>VLOOKUP(A103,'Data shares'!$C$2:$CA$231,77,0)</f>
        <v>6.1999999999999998E-3</v>
      </c>
      <c r="H103" s="86">
        <f>VLOOKUP($A103,'Data shares'!$C:$FA,90)</f>
        <v>1432501950</v>
      </c>
      <c r="I103" s="86">
        <f>VLOOKUP($A103,'Data shares'!$C:$FA,92)</f>
        <v>62683575</v>
      </c>
      <c r="J103" s="87">
        <f>VLOOKUP($A103,'Data shares'!$C:$FA,93)</f>
        <v>4.58E-2</v>
      </c>
      <c r="K103" s="86">
        <f>VLOOKUP($A103,'Data shares'!$C:$FA,94)</f>
        <v>747842925</v>
      </c>
      <c r="L103" s="86">
        <f>VLOOKUP($A103,'Data shares'!$C:$FA,96)</f>
        <v>12436650</v>
      </c>
      <c r="M103" s="87">
        <f>VLOOKUP($A103,'Data shares'!$C:$FA,97)</f>
        <v>1.6899999999999998E-2</v>
      </c>
      <c r="N103" s="86">
        <f>VLOOKUP($A103,'Data shares'!$C:$FA,78)</f>
        <v>4314731325</v>
      </c>
      <c r="O103" s="87">
        <f>VLOOKUP($A103,'Data shares'!$C:$FA,81)</f>
        <v>-4.5999999999999999E-3</v>
      </c>
    </row>
    <row r="104" spans="1:15" x14ac:dyDescent="0.25">
      <c r="A104" s="100" t="str">
        <f>'OI(Value)'!A104</f>
        <v>IDFCFIRSTB</v>
      </c>
      <c r="B104" s="82">
        <f>VLOOKUP(A104,'Data shares'!$C$2:$CV$231,98,0)</f>
        <v>618067450</v>
      </c>
      <c r="C104" s="82">
        <f>VLOOKUP(A104,'Data shares'!$C$2:$CX$231,100,0)</f>
        <v>8152725</v>
      </c>
      <c r="D104" s="141">
        <f>VLOOKUP(A104,'Data shares'!$C$2:$CY$554,101,0)</f>
        <v>1.34E-2</v>
      </c>
      <c r="E104" s="86">
        <f>VLOOKUP($A104,'Data shares'!$C:$FA,74)</f>
        <v>378522025</v>
      </c>
      <c r="F104" s="86">
        <f>VLOOKUP($A104,'Data shares'!$C:$FA,76)</f>
        <v>2430050</v>
      </c>
      <c r="G104" s="87">
        <f>VLOOKUP(A104,'Data shares'!$C$2:$CA$231,77,0)</f>
        <v>6.4999999999999997E-3</v>
      </c>
      <c r="H104" s="86">
        <f>VLOOKUP($A104,'Data shares'!$C:$FA,90)</f>
        <v>146823250</v>
      </c>
      <c r="I104" s="86">
        <f>VLOOKUP($A104,'Data shares'!$C:$FA,92)</f>
        <v>4906475</v>
      </c>
      <c r="J104" s="87">
        <f>VLOOKUP($A104,'Data shares'!$C:$FA,93)</f>
        <v>3.4599999999999999E-2</v>
      </c>
      <c r="K104" s="86">
        <f>VLOOKUP($A104,'Data shares'!$C:$FA,94)</f>
        <v>92722175</v>
      </c>
      <c r="L104" s="86">
        <f>VLOOKUP($A104,'Data shares'!$C:$FA,96)</f>
        <v>816200</v>
      </c>
      <c r="M104" s="87">
        <f>VLOOKUP($A104,'Data shares'!$C:$FA,97)</f>
        <v>8.8999999999999999E-3</v>
      </c>
      <c r="N104" s="86">
        <f>VLOOKUP($A104,'Data shares'!$C:$FA,78)</f>
        <v>279789650</v>
      </c>
      <c r="O104" s="87">
        <f>VLOOKUP($A104,'Data shares'!$C:$FA,81)</f>
        <v>-1.2800000000000001E-2</v>
      </c>
    </row>
    <row r="105" spans="1:15" x14ac:dyDescent="0.25">
      <c r="A105" s="100" t="str">
        <f>'OI(Value)'!A105</f>
        <v>IEX</v>
      </c>
      <c r="B105" s="82">
        <f>VLOOKUP(A105,'Data shares'!$C$2:$CV$231,98,0)</f>
        <v>202252500</v>
      </c>
      <c r="C105" s="82">
        <f>VLOOKUP(A105,'Data shares'!$C$2:$CX$231,100,0)</f>
        <v>70477500</v>
      </c>
      <c r="D105" s="141">
        <f>VLOOKUP(A105,'Data shares'!$C$2:$CY$554,101,0)</f>
        <v>0.53480000000000005</v>
      </c>
      <c r="E105" s="86">
        <f>VLOOKUP($A105,'Data shares'!$C:$FA,74)</f>
        <v>51138750</v>
      </c>
      <c r="F105" s="86">
        <f>VLOOKUP($A105,'Data shares'!$C:$FA,76)</f>
        <v>10263750</v>
      </c>
      <c r="G105" s="87">
        <f>VLOOKUP(A105,'Data shares'!$C$2:$CA$231,77,0)</f>
        <v>0.25109999999999999</v>
      </c>
      <c r="H105" s="86">
        <f>VLOOKUP($A105,'Data shares'!$C:$FA,90)</f>
        <v>45723750</v>
      </c>
      <c r="I105" s="86">
        <f>VLOOKUP($A105,'Data shares'!$C:$FA,92)</f>
        <v>12315000</v>
      </c>
      <c r="J105" s="87">
        <f>VLOOKUP($A105,'Data shares'!$C:$FA,93)</f>
        <v>0.36859999999999998</v>
      </c>
      <c r="K105" s="86">
        <f>VLOOKUP($A105,'Data shares'!$C:$FA,94)</f>
        <v>105390000</v>
      </c>
      <c r="L105" s="86">
        <f>VLOOKUP($A105,'Data shares'!$C:$FA,96)</f>
        <v>47898750</v>
      </c>
      <c r="M105" s="87">
        <f>VLOOKUP($A105,'Data shares'!$C:$FA,97)</f>
        <v>0.83309999999999995</v>
      </c>
      <c r="N105" s="86">
        <f>VLOOKUP($A105,'Data shares'!$C:$FA,78)</f>
        <v>42693750</v>
      </c>
      <c r="O105" s="87">
        <f>VLOOKUP($A105,'Data shares'!$C:$FA,81)</f>
        <v>0.1588</v>
      </c>
    </row>
    <row r="106" spans="1:15" x14ac:dyDescent="0.25">
      <c r="A106" s="100" t="str">
        <f>'OI(Value)'!A106</f>
        <v>IGL</v>
      </c>
      <c r="B106" s="82">
        <f>VLOOKUP(A106,'Data shares'!$C$2:$CV$231,98,0)</f>
        <v>44002750</v>
      </c>
      <c r="C106" s="82">
        <f>VLOOKUP(A106,'Data shares'!$C$2:$CX$231,100,0)</f>
        <v>3275250</v>
      </c>
      <c r="D106" s="141">
        <f>VLOOKUP(A106,'Data shares'!$C$2:$CY$554,101,0)</f>
        <v>8.0399999999999999E-2</v>
      </c>
      <c r="E106" s="86">
        <f>VLOOKUP($A106,'Data shares'!$C:$FA,74)</f>
        <v>18788000</v>
      </c>
      <c r="F106" s="86">
        <f>VLOOKUP($A106,'Data shares'!$C:$FA,76)</f>
        <v>1372250</v>
      </c>
      <c r="G106" s="87">
        <f>VLOOKUP(A106,'Data shares'!$C$2:$CA$231,77,0)</f>
        <v>7.8799999999999995E-2</v>
      </c>
      <c r="H106" s="86">
        <f>VLOOKUP($A106,'Data shares'!$C:$FA,90)</f>
        <v>14971000</v>
      </c>
      <c r="I106" s="86">
        <f>VLOOKUP($A106,'Data shares'!$C:$FA,92)</f>
        <v>519750</v>
      </c>
      <c r="J106" s="87">
        <f>VLOOKUP($A106,'Data shares'!$C:$FA,93)</f>
        <v>3.5999999999999997E-2</v>
      </c>
      <c r="K106" s="86">
        <f>VLOOKUP($A106,'Data shares'!$C:$FA,94)</f>
        <v>10243750</v>
      </c>
      <c r="L106" s="86">
        <f>VLOOKUP($A106,'Data shares'!$C:$FA,96)</f>
        <v>1383250</v>
      </c>
      <c r="M106" s="87">
        <f>VLOOKUP($A106,'Data shares'!$C:$FA,97)</f>
        <v>0.15609999999999999</v>
      </c>
      <c r="N106" s="86">
        <f>VLOOKUP($A106,'Data shares'!$C:$FA,78)</f>
        <v>15081000</v>
      </c>
      <c r="O106" s="87">
        <f>VLOOKUP($A106,'Data shares'!$C:$FA,81)</f>
        <v>4.36E-2</v>
      </c>
    </row>
    <row r="107" spans="1:15" x14ac:dyDescent="0.25">
      <c r="A107" s="100" t="str">
        <f>'OI(Value)'!A107</f>
        <v>IIFL</v>
      </c>
      <c r="B107" s="82">
        <f>VLOOKUP(A107,'Data shares'!$C$2:$CV$231,98,0)</f>
        <v>23642850</v>
      </c>
      <c r="C107" s="82">
        <f>VLOOKUP(A107,'Data shares'!$C$2:$CX$231,100,0)</f>
        <v>-927300</v>
      </c>
      <c r="D107" s="141">
        <f>VLOOKUP(A107,'Data shares'!$C$2:$CY$554,101,0)</f>
        <v>-3.7699999999999997E-2</v>
      </c>
      <c r="E107" s="86">
        <f>VLOOKUP($A107,'Data shares'!$C:$FA,74)</f>
        <v>16326750</v>
      </c>
      <c r="F107" s="86">
        <f>VLOOKUP($A107,'Data shares'!$C:$FA,76)</f>
        <v>-262350</v>
      </c>
      <c r="G107" s="87">
        <f>VLOOKUP(A107,'Data shares'!$C$2:$CA$231,77,0)</f>
        <v>-1.5800000000000002E-2</v>
      </c>
      <c r="H107" s="86">
        <f>VLOOKUP($A107,'Data shares'!$C:$FA,90)</f>
        <v>4060650</v>
      </c>
      <c r="I107" s="86">
        <f>VLOOKUP($A107,'Data shares'!$C:$FA,92)</f>
        <v>-297000</v>
      </c>
      <c r="J107" s="87">
        <f>VLOOKUP($A107,'Data shares'!$C:$FA,93)</f>
        <v>-6.8199999999999997E-2</v>
      </c>
      <c r="K107" s="86">
        <f>VLOOKUP($A107,'Data shares'!$C:$FA,94)</f>
        <v>3255450</v>
      </c>
      <c r="L107" s="86">
        <f>VLOOKUP($A107,'Data shares'!$C:$FA,96)</f>
        <v>-367950</v>
      </c>
      <c r="M107" s="87">
        <f>VLOOKUP($A107,'Data shares'!$C:$FA,97)</f>
        <v>-0.10150000000000001</v>
      </c>
      <c r="N107" s="86">
        <f>VLOOKUP($A107,'Data shares'!$C:$FA,78)</f>
        <v>15402750</v>
      </c>
      <c r="O107" s="87">
        <f>VLOOKUP($A107,'Data shares'!$C:$FA,81)</f>
        <v>-2.1299999999999999E-2</v>
      </c>
    </row>
    <row r="108" spans="1:15" x14ac:dyDescent="0.25">
      <c r="A108" s="100" t="str">
        <f>'OI(Value)'!A108</f>
        <v>INDHOTEL</v>
      </c>
      <c r="B108" s="82">
        <f>VLOOKUP(A108,'Data shares'!$C$2:$CV$231,98,0)</f>
        <v>46989000</v>
      </c>
      <c r="C108" s="82">
        <f>VLOOKUP(A108,'Data shares'!$C$2:$CX$231,100,0)</f>
        <v>1037000</v>
      </c>
      <c r="D108" s="141">
        <f>VLOOKUP(A108,'Data shares'!$C$2:$CY$554,101,0)</f>
        <v>2.2599999999999999E-2</v>
      </c>
      <c r="E108" s="86">
        <f>VLOOKUP($A108,'Data shares'!$C:$FA,74)</f>
        <v>29077000</v>
      </c>
      <c r="F108" s="86">
        <f>VLOOKUP($A108,'Data shares'!$C:$FA,76)</f>
        <v>725000</v>
      </c>
      <c r="G108" s="87">
        <f>VLOOKUP(A108,'Data shares'!$C$2:$CA$231,77,0)</f>
        <v>2.5600000000000001E-2</v>
      </c>
      <c r="H108" s="86">
        <f>VLOOKUP($A108,'Data shares'!$C:$FA,90)</f>
        <v>11053000</v>
      </c>
      <c r="I108" s="86">
        <f>VLOOKUP($A108,'Data shares'!$C:$FA,92)</f>
        <v>561000</v>
      </c>
      <c r="J108" s="87">
        <f>VLOOKUP($A108,'Data shares'!$C:$FA,93)</f>
        <v>5.3499999999999999E-2</v>
      </c>
      <c r="K108" s="86">
        <f>VLOOKUP($A108,'Data shares'!$C:$FA,94)</f>
        <v>6859000</v>
      </c>
      <c r="L108" s="86">
        <f>VLOOKUP($A108,'Data shares'!$C:$FA,96)</f>
        <v>-249000</v>
      </c>
      <c r="M108" s="87">
        <f>VLOOKUP($A108,'Data shares'!$C:$FA,97)</f>
        <v>-3.5000000000000003E-2</v>
      </c>
      <c r="N108" s="86">
        <f>VLOOKUP($A108,'Data shares'!$C:$FA,78)</f>
        <v>26803000</v>
      </c>
      <c r="O108" s="87">
        <f>VLOOKUP($A108,'Data shares'!$C:$FA,81)</f>
        <v>1.2500000000000001E-2</v>
      </c>
    </row>
    <row r="109" spans="1:15" x14ac:dyDescent="0.25">
      <c r="A109" s="100" t="str">
        <f>'OI(Value)'!A109</f>
        <v>INDIANB</v>
      </c>
      <c r="B109" s="82">
        <f>VLOOKUP(A109,'Data shares'!$C$2:$CV$231,98,0)</f>
        <v>11232000</v>
      </c>
      <c r="C109" s="82">
        <f>VLOOKUP(A109,'Data shares'!$C$2:$CX$231,100,0)</f>
        <v>24000</v>
      </c>
      <c r="D109" s="141">
        <f>VLOOKUP(A109,'Data shares'!$C$2:$CY$554,101,0)</f>
        <v>2.0999999999999999E-3</v>
      </c>
      <c r="E109" s="86">
        <f>VLOOKUP($A109,'Data shares'!$C:$FA,74)</f>
        <v>6665000</v>
      </c>
      <c r="F109" s="86">
        <f>VLOOKUP($A109,'Data shares'!$C:$FA,76)</f>
        <v>51000</v>
      </c>
      <c r="G109" s="87">
        <f>VLOOKUP(A109,'Data shares'!$C$2:$CA$231,77,0)</f>
        <v>7.7000000000000002E-3</v>
      </c>
      <c r="H109" s="86">
        <f>VLOOKUP($A109,'Data shares'!$C:$FA,90)</f>
        <v>2731000</v>
      </c>
      <c r="I109" s="86">
        <f>VLOOKUP($A109,'Data shares'!$C:$FA,92)</f>
        <v>-41000</v>
      </c>
      <c r="J109" s="87">
        <f>VLOOKUP($A109,'Data shares'!$C:$FA,93)</f>
        <v>-1.4800000000000001E-2</v>
      </c>
      <c r="K109" s="86">
        <f>VLOOKUP($A109,'Data shares'!$C:$FA,94)</f>
        <v>1836000</v>
      </c>
      <c r="L109" s="86">
        <f>VLOOKUP($A109,'Data shares'!$C:$FA,96)</f>
        <v>14000</v>
      </c>
      <c r="M109" s="87">
        <f>VLOOKUP($A109,'Data shares'!$C:$FA,97)</f>
        <v>7.7000000000000002E-3</v>
      </c>
      <c r="N109" s="86">
        <f>VLOOKUP($A109,'Data shares'!$C:$FA,78)</f>
        <v>6195000</v>
      </c>
      <c r="O109" s="87">
        <f>VLOOKUP($A109,'Data shares'!$C:$FA,81)</f>
        <v>-9.2999999999999992E-3</v>
      </c>
    </row>
    <row r="110" spans="1:15" x14ac:dyDescent="0.25">
      <c r="A110" s="100" t="str">
        <f>'OI(Value)'!A110</f>
        <v>INDIAVIX</v>
      </c>
      <c r="B110" s="82">
        <f>VLOOKUP(A110,'Data shares'!$C$2:$CV$231,98,0)</f>
        <v>0</v>
      </c>
      <c r="C110" s="82">
        <f>VLOOKUP(A110,'Data shares'!$C$2:$CX$231,100,0)</f>
        <v>0</v>
      </c>
      <c r="D110" s="141">
        <f>VLOOKUP(A110,'Data shares'!$C$2:$CY$554,101,0)</f>
        <v>0</v>
      </c>
      <c r="E110" s="86">
        <f>VLOOKUP($A110,'Data shares'!$C:$FA,74)</f>
        <v>0</v>
      </c>
      <c r="F110" s="86">
        <f>VLOOKUP($A110,'Data shares'!$C:$FA,76)</f>
        <v>0</v>
      </c>
      <c r="G110" s="87">
        <f>VLOOKUP(A110,'Data shares'!$C$2:$CA$231,77,0)</f>
        <v>0</v>
      </c>
      <c r="H110" s="86">
        <f>VLOOKUP($A110,'Data shares'!$C:$FA,90)</f>
        <v>0</v>
      </c>
      <c r="I110" s="86">
        <f>VLOOKUP($A110,'Data shares'!$C:$FA,92)</f>
        <v>0</v>
      </c>
      <c r="J110" s="87">
        <f>VLOOKUP($A110,'Data shares'!$C:$FA,93)</f>
        <v>0</v>
      </c>
      <c r="K110" s="86">
        <f>VLOOKUP($A110,'Data shares'!$C:$FA,94)</f>
        <v>0</v>
      </c>
      <c r="L110" s="86">
        <f>VLOOKUP($A110,'Data shares'!$C:$FA,96)</f>
        <v>0</v>
      </c>
      <c r="M110" s="87">
        <f>VLOOKUP($A110,'Data shares'!$C:$FA,97)</f>
        <v>0</v>
      </c>
      <c r="N110" s="86">
        <f>VLOOKUP($A110,'Data shares'!$C:$FA,78)</f>
        <v>0</v>
      </c>
      <c r="O110" s="87">
        <f>VLOOKUP($A110,'Data shares'!$C:$FA,81)</f>
        <v>0</v>
      </c>
    </row>
    <row r="111" spans="1:15" x14ac:dyDescent="0.25">
      <c r="A111" s="100" t="str">
        <f>'OI(Value)'!A111</f>
        <v>INDIGO</v>
      </c>
      <c r="B111" s="82">
        <f>VLOOKUP(A111,'Data shares'!$C$2:$CV$231,98,0)</f>
        <v>13502400</v>
      </c>
      <c r="C111" s="82">
        <f>VLOOKUP(A111,'Data shares'!$C$2:$CX$231,100,0)</f>
        <v>82500</v>
      </c>
      <c r="D111" s="141">
        <f>VLOOKUP(A111,'Data shares'!$C$2:$CY$554,101,0)</f>
        <v>6.1000000000000004E-3</v>
      </c>
      <c r="E111" s="86">
        <f>VLOOKUP($A111,'Data shares'!$C:$FA,74)</f>
        <v>7466100</v>
      </c>
      <c r="F111" s="86">
        <f>VLOOKUP($A111,'Data shares'!$C:$FA,76)</f>
        <v>68850</v>
      </c>
      <c r="G111" s="87">
        <f>VLOOKUP(A111,'Data shares'!$C$2:$CA$231,77,0)</f>
        <v>9.2999999999999992E-3</v>
      </c>
      <c r="H111" s="86">
        <f>VLOOKUP($A111,'Data shares'!$C:$FA,90)</f>
        <v>3321900</v>
      </c>
      <c r="I111" s="86">
        <f>VLOOKUP($A111,'Data shares'!$C:$FA,92)</f>
        <v>-36000</v>
      </c>
      <c r="J111" s="87">
        <f>VLOOKUP($A111,'Data shares'!$C:$FA,93)</f>
        <v>-1.0699999999999999E-2</v>
      </c>
      <c r="K111" s="86">
        <f>VLOOKUP($A111,'Data shares'!$C:$FA,94)</f>
        <v>2714400</v>
      </c>
      <c r="L111" s="86">
        <f>VLOOKUP($A111,'Data shares'!$C:$FA,96)</f>
        <v>49650</v>
      </c>
      <c r="M111" s="87">
        <f>VLOOKUP($A111,'Data shares'!$C:$FA,97)</f>
        <v>1.8599999999999998E-2</v>
      </c>
      <c r="N111" s="86">
        <f>VLOOKUP($A111,'Data shares'!$C:$FA,78)</f>
        <v>7118100</v>
      </c>
      <c r="O111" s="87">
        <f>VLOOKUP($A111,'Data shares'!$C:$FA,81)</f>
        <v>-4.8999999999999998E-3</v>
      </c>
    </row>
    <row r="112" spans="1:15" x14ac:dyDescent="0.25">
      <c r="A112" s="100" t="str">
        <f>'OI(Value)'!A112</f>
        <v>INDUSINDBK</v>
      </c>
      <c r="B112" s="82">
        <f>VLOOKUP(A112,'Data shares'!$C$2:$CV$231,98,0)</f>
        <v>74508000</v>
      </c>
      <c r="C112" s="82">
        <f>VLOOKUP(A112,'Data shares'!$C$2:$CX$231,100,0)</f>
        <v>2718800</v>
      </c>
      <c r="D112" s="141">
        <f>VLOOKUP(A112,'Data shares'!$C$2:$CY$554,101,0)</f>
        <v>3.7900000000000003E-2</v>
      </c>
      <c r="E112" s="86">
        <f>VLOOKUP($A112,'Data shares'!$C:$FA,74)</f>
        <v>43044400</v>
      </c>
      <c r="F112" s="86">
        <f>VLOOKUP($A112,'Data shares'!$C:$FA,76)</f>
        <v>1446200</v>
      </c>
      <c r="G112" s="87">
        <f>VLOOKUP(A112,'Data shares'!$C$2:$CA$231,77,0)</f>
        <v>3.4799999999999998E-2</v>
      </c>
      <c r="H112" s="86">
        <f>VLOOKUP($A112,'Data shares'!$C:$FA,90)</f>
        <v>20682200</v>
      </c>
      <c r="I112" s="86">
        <f>VLOOKUP($A112,'Data shares'!$C:$FA,92)</f>
        <v>1374800</v>
      </c>
      <c r="J112" s="87">
        <f>VLOOKUP($A112,'Data shares'!$C:$FA,93)</f>
        <v>7.1199999999999999E-2</v>
      </c>
      <c r="K112" s="86">
        <f>VLOOKUP($A112,'Data shares'!$C:$FA,94)</f>
        <v>10781400</v>
      </c>
      <c r="L112" s="86">
        <f>VLOOKUP($A112,'Data shares'!$C:$FA,96)</f>
        <v>-102200</v>
      </c>
      <c r="M112" s="87">
        <f>VLOOKUP($A112,'Data shares'!$C:$FA,97)</f>
        <v>-9.4000000000000004E-3</v>
      </c>
      <c r="N112" s="86">
        <f>VLOOKUP($A112,'Data shares'!$C:$FA,78)</f>
        <v>35925400</v>
      </c>
      <c r="O112" s="87">
        <f>VLOOKUP($A112,'Data shares'!$C:$FA,81)</f>
        <v>-1.2200000000000001E-2</v>
      </c>
    </row>
    <row r="113" spans="1:15" x14ac:dyDescent="0.25">
      <c r="A113" s="100" t="str">
        <f>'OI(Value)'!A113</f>
        <v>INDUSTOWER</v>
      </c>
      <c r="B113" s="82">
        <f>VLOOKUP(A113,'Data shares'!$C$2:$CV$231,98,0)</f>
        <v>88146700</v>
      </c>
      <c r="C113" s="82">
        <f>VLOOKUP(A113,'Data shares'!$C$2:$CX$231,100,0)</f>
        <v>748000</v>
      </c>
      <c r="D113" s="141">
        <f>VLOOKUP(A113,'Data shares'!$C$2:$CY$554,101,0)</f>
        <v>8.6E-3</v>
      </c>
      <c r="E113" s="86">
        <f>VLOOKUP($A113,'Data shares'!$C:$FA,74)</f>
        <v>62546400</v>
      </c>
      <c r="F113" s="86">
        <f>VLOOKUP($A113,'Data shares'!$C:$FA,76)</f>
        <v>141100</v>
      </c>
      <c r="G113" s="87">
        <f>VLOOKUP(A113,'Data shares'!$C$2:$CA$231,77,0)</f>
        <v>2.3E-3</v>
      </c>
      <c r="H113" s="86">
        <f>VLOOKUP($A113,'Data shares'!$C:$FA,90)</f>
        <v>16204400</v>
      </c>
      <c r="I113" s="86">
        <f>VLOOKUP($A113,'Data shares'!$C:$FA,92)</f>
        <v>280500</v>
      </c>
      <c r="J113" s="87">
        <f>VLOOKUP($A113,'Data shares'!$C:$FA,93)</f>
        <v>1.7600000000000001E-2</v>
      </c>
      <c r="K113" s="86">
        <f>VLOOKUP($A113,'Data shares'!$C:$FA,94)</f>
        <v>9395900</v>
      </c>
      <c r="L113" s="86">
        <f>VLOOKUP($A113,'Data shares'!$C:$FA,96)</f>
        <v>326400</v>
      </c>
      <c r="M113" s="87">
        <f>VLOOKUP($A113,'Data shares'!$C:$FA,97)</f>
        <v>3.5999999999999997E-2</v>
      </c>
      <c r="N113" s="86">
        <f>VLOOKUP($A113,'Data shares'!$C:$FA,78)</f>
        <v>59704000</v>
      </c>
      <c r="O113" s="87">
        <f>VLOOKUP($A113,'Data shares'!$C:$FA,81)</f>
        <v>-7.9000000000000008E-3</v>
      </c>
    </row>
    <row r="114" spans="1:15" x14ac:dyDescent="0.25">
      <c r="A114" s="100" t="str">
        <f>'OI(Value)'!A114</f>
        <v>INFY</v>
      </c>
      <c r="B114" s="82">
        <f>VLOOKUP(A114,'Data shares'!$C$2:$CV$231,98,0)</f>
        <v>119963200</v>
      </c>
      <c r="C114" s="82">
        <f>VLOOKUP(A114,'Data shares'!$C$2:$CX$231,100,0)</f>
        <v>5664400</v>
      </c>
      <c r="D114" s="141">
        <f>VLOOKUP(A114,'Data shares'!$C$2:$CY$554,101,0)</f>
        <v>4.9599999999999998E-2</v>
      </c>
      <c r="E114" s="86">
        <f>VLOOKUP($A114,'Data shares'!$C:$FA,74)</f>
        <v>75992000</v>
      </c>
      <c r="F114" s="86">
        <f>VLOOKUP($A114,'Data shares'!$C:$FA,76)</f>
        <v>2097600</v>
      </c>
      <c r="G114" s="87">
        <f>VLOOKUP(A114,'Data shares'!$C$2:$CA$231,77,0)</f>
        <v>2.8400000000000002E-2</v>
      </c>
      <c r="H114" s="86">
        <f>VLOOKUP($A114,'Data shares'!$C:$FA,90)</f>
        <v>28663200</v>
      </c>
      <c r="I114" s="86">
        <f>VLOOKUP($A114,'Data shares'!$C:$FA,92)</f>
        <v>2165600</v>
      </c>
      <c r="J114" s="87">
        <f>VLOOKUP($A114,'Data shares'!$C:$FA,93)</f>
        <v>8.1699999999999995E-2</v>
      </c>
      <c r="K114" s="86">
        <f>VLOOKUP($A114,'Data shares'!$C:$FA,94)</f>
        <v>15308000</v>
      </c>
      <c r="L114" s="86">
        <f>VLOOKUP($A114,'Data shares'!$C:$FA,96)</f>
        <v>1401200</v>
      </c>
      <c r="M114" s="87">
        <f>VLOOKUP($A114,'Data shares'!$C:$FA,97)</f>
        <v>0.1008</v>
      </c>
      <c r="N114" s="86">
        <f>VLOOKUP($A114,'Data shares'!$C:$FA,78)</f>
        <v>68068400</v>
      </c>
      <c r="O114" s="87">
        <f>VLOOKUP($A114,'Data shares'!$C:$FA,81)</f>
        <v>2.0500000000000001E-2</v>
      </c>
    </row>
    <row r="115" spans="1:15" x14ac:dyDescent="0.25">
      <c r="A115" s="100" t="str">
        <f>'OI(Value)'!A115</f>
        <v>INOXWIND</v>
      </c>
      <c r="B115" s="82">
        <f>VLOOKUP(A115,'Data shares'!$C$2:$CV$231,98,0)</f>
        <v>74474925</v>
      </c>
      <c r="C115" s="82">
        <f>VLOOKUP(A115,'Data shares'!$C$2:$CX$231,100,0)</f>
        <v>174150</v>
      </c>
      <c r="D115" s="141">
        <f>VLOOKUP(A115,'Data shares'!$C$2:$CY$554,101,0)</f>
        <v>2.3E-3</v>
      </c>
      <c r="E115" s="86">
        <f>VLOOKUP($A115,'Data shares'!$C:$FA,74)</f>
        <v>45617625</v>
      </c>
      <c r="F115" s="86">
        <f>VLOOKUP($A115,'Data shares'!$C:$FA,76)</f>
        <v>625650</v>
      </c>
      <c r="G115" s="87">
        <f>VLOOKUP(A115,'Data shares'!$C$2:$CA$231,77,0)</f>
        <v>1.3899999999999999E-2</v>
      </c>
      <c r="H115" s="86">
        <f>VLOOKUP($A115,'Data shares'!$C:$FA,90)</f>
        <v>18975900</v>
      </c>
      <c r="I115" s="86">
        <f>VLOOKUP($A115,'Data shares'!$C:$FA,92)</f>
        <v>-1077150</v>
      </c>
      <c r="J115" s="87">
        <f>VLOOKUP($A115,'Data shares'!$C:$FA,93)</f>
        <v>-5.3699999999999998E-2</v>
      </c>
      <c r="K115" s="86">
        <f>VLOOKUP($A115,'Data shares'!$C:$FA,94)</f>
        <v>9881400</v>
      </c>
      <c r="L115" s="86">
        <f>VLOOKUP($A115,'Data shares'!$C:$FA,96)</f>
        <v>625650</v>
      </c>
      <c r="M115" s="87">
        <f>VLOOKUP($A115,'Data shares'!$C:$FA,97)</f>
        <v>6.7599999999999993E-2</v>
      </c>
      <c r="N115" s="86">
        <f>VLOOKUP($A115,'Data shares'!$C:$FA,78)</f>
        <v>38158200</v>
      </c>
      <c r="O115" s="87">
        <f>VLOOKUP($A115,'Data shares'!$C:$FA,81)</f>
        <v>3.5999999999999999E-3</v>
      </c>
    </row>
    <row r="116" spans="1:15" x14ac:dyDescent="0.25">
      <c r="A116" s="100" t="str">
        <f>'OI(Value)'!A116</f>
        <v>IOC</v>
      </c>
      <c r="B116" s="82">
        <f>VLOOKUP(A116,'Data shares'!$C$2:$CV$231,98,0)</f>
        <v>206792625</v>
      </c>
      <c r="C116" s="82">
        <f>VLOOKUP(A116,'Data shares'!$C$2:$CX$231,100,0)</f>
        <v>-190125</v>
      </c>
      <c r="D116" s="141">
        <f>VLOOKUP(A116,'Data shares'!$C$2:$CY$554,101,0)</f>
        <v>-8.9999999999999998E-4</v>
      </c>
      <c r="E116" s="86">
        <f>VLOOKUP($A116,'Data shares'!$C:$FA,74)</f>
        <v>92810250</v>
      </c>
      <c r="F116" s="86">
        <f>VLOOKUP($A116,'Data shares'!$C:$FA,76)</f>
        <v>-394875</v>
      </c>
      <c r="G116" s="87">
        <f>VLOOKUP(A116,'Data shares'!$C$2:$CA$231,77,0)</f>
        <v>-4.1999999999999997E-3</v>
      </c>
      <c r="H116" s="86">
        <f>VLOOKUP($A116,'Data shares'!$C:$FA,90)</f>
        <v>67435875</v>
      </c>
      <c r="I116" s="86">
        <f>VLOOKUP($A116,'Data shares'!$C:$FA,92)</f>
        <v>-214500</v>
      </c>
      <c r="J116" s="87">
        <f>VLOOKUP($A116,'Data shares'!$C:$FA,93)</f>
        <v>-3.2000000000000002E-3</v>
      </c>
      <c r="K116" s="86">
        <f>VLOOKUP($A116,'Data shares'!$C:$FA,94)</f>
        <v>46546500</v>
      </c>
      <c r="L116" s="86">
        <f>VLOOKUP($A116,'Data shares'!$C:$FA,96)</f>
        <v>419250</v>
      </c>
      <c r="M116" s="87">
        <f>VLOOKUP($A116,'Data shares'!$C:$FA,97)</f>
        <v>9.1000000000000004E-3</v>
      </c>
      <c r="N116" s="86">
        <f>VLOOKUP($A116,'Data shares'!$C:$FA,78)</f>
        <v>81763500</v>
      </c>
      <c r="O116" s="87">
        <f>VLOOKUP($A116,'Data shares'!$C:$FA,81)</f>
        <v>-2.4500000000000001E-2</v>
      </c>
    </row>
    <row r="117" spans="1:15" x14ac:dyDescent="0.25">
      <c r="A117" s="100" t="str">
        <f>'OI(Value)'!A117</f>
        <v>IRB</v>
      </c>
      <c r="B117" s="82">
        <f>VLOOKUP(A117,'Data shares'!$C$2:$CV$231,98,0)</f>
        <v>146813125</v>
      </c>
      <c r="C117" s="82">
        <f>VLOOKUP(A117,'Data shares'!$C$2:$CX$231,100,0)</f>
        <v>-4413150</v>
      </c>
      <c r="D117" s="141">
        <f>VLOOKUP(A117,'Data shares'!$C$2:$CY$554,101,0)</f>
        <v>-2.92E-2</v>
      </c>
      <c r="E117" s="86">
        <f>VLOOKUP($A117,'Data shares'!$C:$FA,74)</f>
        <v>98863900</v>
      </c>
      <c r="F117" s="86">
        <f>VLOOKUP($A117,'Data shares'!$C:$FA,76)</f>
        <v>980700</v>
      </c>
      <c r="G117" s="87">
        <f>VLOOKUP(A117,'Data shares'!$C$2:$CA$231,77,0)</f>
        <v>0.01</v>
      </c>
      <c r="H117" s="86">
        <f>VLOOKUP($A117,'Data shares'!$C:$FA,90)</f>
        <v>33518925</v>
      </c>
      <c r="I117" s="86">
        <f>VLOOKUP($A117,'Data shares'!$C:$FA,92)</f>
        <v>-5475575</v>
      </c>
      <c r="J117" s="87">
        <f>VLOOKUP($A117,'Data shares'!$C:$FA,93)</f>
        <v>-0.1404</v>
      </c>
      <c r="K117" s="86">
        <f>VLOOKUP($A117,'Data shares'!$C:$FA,94)</f>
        <v>14430300</v>
      </c>
      <c r="L117" s="86">
        <f>VLOOKUP($A117,'Data shares'!$C:$FA,96)</f>
        <v>81725</v>
      </c>
      <c r="M117" s="87">
        <f>VLOOKUP($A117,'Data shares'!$C:$FA,97)</f>
        <v>5.7000000000000002E-3</v>
      </c>
      <c r="N117" s="86">
        <f>VLOOKUP($A117,'Data shares'!$C:$FA,78)</f>
        <v>88087875</v>
      </c>
      <c r="O117" s="87">
        <f>VLOOKUP($A117,'Data shares'!$C:$FA,81)</f>
        <v>5.1999999999999998E-3</v>
      </c>
    </row>
    <row r="118" spans="1:15" x14ac:dyDescent="0.25">
      <c r="A118" s="100" t="str">
        <f>'OI(Value)'!A118</f>
        <v>IRCTC</v>
      </c>
      <c r="B118" s="82">
        <f>VLOOKUP(A118,'Data shares'!$C$2:$CV$231,98,0)</f>
        <v>28792750</v>
      </c>
      <c r="C118" s="82">
        <f>VLOOKUP(A118,'Data shares'!$C$2:$CX$231,100,0)</f>
        <v>866250</v>
      </c>
      <c r="D118" s="141">
        <f>VLOOKUP(A118,'Data shares'!$C$2:$CY$554,101,0)</f>
        <v>3.1E-2</v>
      </c>
      <c r="E118" s="86">
        <f>VLOOKUP($A118,'Data shares'!$C:$FA,74)</f>
        <v>14724500</v>
      </c>
      <c r="F118" s="86">
        <f>VLOOKUP($A118,'Data shares'!$C:$FA,76)</f>
        <v>339500</v>
      </c>
      <c r="G118" s="87">
        <f>VLOOKUP(A118,'Data shares'!$C$2:$CA$231,77,0)</f>
        <v>2.3599999999999999E-2</v>
      </c>
      <c r="H118" s="86">
        <f>VLOOKUP($A118,'Data shares'!$C:$FA,90)</f>
        <v>8294125</v>
      </c>
      <c r="I118" s="86">
        <f>VLOOKUP($A118,'Data shares'!$C:$FA,92)</f>
        <v>234500</v>
      </c>
      <c r="J118" s="87">
        <f>VLOOKUP($A118,'Data shares'!$C:$FA,93)</f>
        <v>2.9100000000000001E-2</v>
      </c>
      <c r="K118" s="86">
        <f>VLOOKUP($A118,'Data shares'!$C:$FA,94)</f>
        <v>5774125</v>
      </c>
      <c r="L118" s="86">
        <f>VLOOKUP($A118,'Data shares'!$C:$FA,96)</f>
        <v>292250</v>
      </c>
      <c r="M118" s="87">
        <f>VLOOKUP($A118,'Data shares'!$C:$FA,97)</f>
        <v>5.33E-2</v>
      </c>
      <c r="N118" s="86">
        <f>VLOOKUP($A118,'Data shares'!$C:$FA,78)</f>
        <v>12220250</v>
      </c>
      <c r="O118" s="87">
        <f>VLOOKUP($A118,'Data shares'!$C:$FA,81)</f>
        <v>-1.2699999999999999E-2</v>
      </c>
    </row>
    <row r="119" spans="1:15" x14ac:dyDescent="0.25">
      <c r="A119" s="100" t="str">
        <f>'OI(Value)'!A119</f>
        <v>IREDA</v>
      </c>
      <c r="B119" s="82">
        <f>VLOOKUP(A119,'Data shares'!$C$2:$CV$231,98,0)</f>
        <v>102351150</v>
      </c>
      <c r="C119" s="82">
        <f>VLOOKUP(A119,'Data shares'!$C$2:$CX$231,100,0)</f>
        <v>897000</v>
      </c>
      <c r="D119" s="141">
        <f>VLOOKUP(A119,'Data shares'!$C$2:$CY$554,101,0)</f>
        <v>8.8000000000000005E-3</v>
      </c>
      <c r="E119" s="86">
        <f>VLOOKUP($A119,'Data shares'!$C:$FA,74)</f>
        <v>48303450</v>
      </c>
      <c r="F119" s="86">
        <f>VLOOKUP($A119,'Data shares'!$C:$FA,76)</f>
        <v>1459350</v>
      </c>
      <c r="G119" s="87">
        <f>VLOOKUP(A119,'Data shares'!$C$2:$CA$231,77,0)</f>
        <v>3.1199999999999999E-2</v>
      </c>
      <c r="H119" s="86">
        <f>VLOOKUP($A119,'Data shares'!$C:$FA,90)</f>
        <v>36507900</v>
      </c>
      <c r="I119" s="86">
        <f>VLOOKUP($A119,'Data shares'!$C:$FA,92)</f>
        <v>-721050</v>
      </c>
      <c r="J119" s="87">
        <f>VLOOKUP($A119,'Data shares'!$C:$FA,93)</f>
        <v>-1.9400000000000001E-2</v>
      </c>
      <c r="K119" s="86">
        <f>VLOOKUP($A119,'Data shares'!$C:$FA,94)</f>
        <v>17539800</v>
      </c>
      <c r="L119" s="86">
        <f>VLOOKUP($A119,'Data shares'!$C:$FA,96)</f>
        <v>158700</v>
      </c>
      <c r="M119" s="87">
        <f>VLOOKUP($A119,'Data shares'!$C:$FA,97)</f>
        <v>9.1000000000000004E-3</v>
      </c>
      <c r="N119" s="86">
        <f>VLOOKUP($A119,'Data shares'!$C:$FA,78)</f>
        <v>36676950</v>
      </c>
      <c r="O119" s="87">
        <f>VLOOKUP($A119,'Data shares'!$C:$FA,81)</f>
        <v>1.14E-2</v>
      </c>
    </row>
    <row r="120" spans="1:15" x14ac:dyDescent="0.25">
      <c r="A120" s="100" t="str">
        <f>'OI(Value)'!A120</f>
        <v>IRFC</v>
      </c>
      <c r="B120" s="82">
        <f>VLOOKUP(A120,'Data shares'!$C$2:$CV$231,98,0)</f>
        <v>124010750</v>
      </c>
      <c r="C120" s="82">
        <f>VLOOKUP(A120,'Data shares'!$C$2:$CX$231,100,0)</f>
        <v>23022250</v>
      </c>
      <c r="D120" s="141">
        <f>VLOOKUP(A120,'Data shares'!$C$2:$CY$554,101,0)</f>
        <v>0.22800000000000001</v>
      </c>
      <c r="E120" s="86">
        <f>VLOOKUP($A120,'Data shares'!$C:$FA,74)</f>
        <v>54680500</v>
      </c>
      <c r="F120" s="86">
        <f>VLOOKUP($A120,'Data shares'!$C:$FA,76)</f>
        <v>6396250</v>
      </c>
      <c r="G120" s="87">
        <f>VLOOKUP(A120,'Data shares'!$C$2:$CA$231,77,0)</f>
        <v>0.13250000000000001</v>
      </c>
      <c r="H120" s="86">
        <f>VLOOKUP($A120,'Data shares'!$C:$FA,90)</f>
        <v>48152500</v>
      </c>
      <c r="I120" s="86">
        <f>VLOOKUP($A120,'Data shares'!$C:$FA,92)</f>
        <v>11343250</v>
      </c>
      <c r="J120" s="87">
        <f>VLOOKUP($A120,'Data shares'!$C:$FA,93)</f>
        <v>0.30819999999999997</v>
      </c>
      <c r="K120" s="86">
        <f>VLOOKUP($A120,'Data shares'!$C:$FA,94)</f>
        <v>21177750</v>
      </c>
      <c r="L120" s="86">
        <f>VLOOKUP($A120,'Data shares'!$C:$FA,96)</f>
        <v>5282750</v>
      </c>
      <c r="M120" s="87">
        <f>VLOOKUP($A120,'Data shares'!$C:$FA,97)</f>
        <v>0.33239999999999997</v>
      </c>
      <c r="N120" s="86">
        <f>VLOOKUP($A120,'Data shares'!$C:$FA,78)</f>
        <v>43447750</v>
      </c>
      <c r="O120" s="87">
        <f>VLOOKUP($A120,'Data shares'!$C:$FA,81)</f>
        <v>8.8200000000000001E-2</v>
      </c>
    </row>
    <row r="121" spans="1:15" x14ac:dyDescent="0.25">
      <c r="A121" s="100" t="str">
        <f>'OI(Value)'!A121</f>
        <v>ITC</v>
      </c>
      <c r="B121" s="82">
        <f>VLOOKUP(A121,'Data shares'!$C$2:$CV$231,98,0)</f>
        <v>197393600</v>
      </c>
      <c r="C121" s="82">
        <f>VLOOKUP(A121,'Data shares'!$C$2:$CX$231,100,0)</f>
        <v>2228800</v>
      </c>
      <c r="D121" s="141">
        <f>VLOOKUP(A121,'Data shares'!$C$2:$CY$554,101,0)</f>
        <v>1.14E-2</v>
      </c>
      <c r="E121" s="86">
        <f>VLOOKUP($A121,'Data shares'!$C:$FA,74)</f>
        <v>113659200</v>
      </c>
      <c r="F121" s="86">
        <f>VLOOKUP($A121,'Data shares'!$C:$FA,76)</f>
        <v>150400</v>
      </c>
      <c r="G121" s="87">
        <f>VLOOKUP(A121,'Data shares'!$C$2:$CA$231,77,0)</f>
        <v>1.2999999999999999E-3</v>
      </c>
      <c r="H121" s="86">
        <f>VLOOKUP($A121,'Data shares'!$C:$FA,90)</f>
        <v>53152000</v>
      </c>
      <c r="I121" s="86">
        <f>VLOOKUP($A121,'Data shares'!$C:$FA,92)</f>
        <v>1217600</v>
      </c>
      <c r="J121" s="87">
        <f>VLOOKUP($A121,'Data shares'!$C:$FA,93)</f>
        <v>2.3400000000000001E-2</v>
      </c>
      <c r="K121" s="86">
        <f>VLOOKUP($A121,'Data shares'!$C:$FA,94)</f>
        <v>30582400</v>
      </c>
      <c r="L121" s="86">
        <f>VLOOKUP($A121,'Data shares'!$C:$FA,96)</f>
        <v>860800</v>
      </c>
      <c r="M121" s="87">
        <f>VLOOKUP($A121,'Data shares'!$C:$FA,97)</f>
        <v>2.9000000000000001E-2</v>
      </c>
      <c r="N121" s="86">
        <f>VLOOKUP($A121,'Data shares'!$C:$FA,78)</f>
        <v>95931200</v>
      </c>
      <c r="O121" s="87">
        <f>VLOOKUP($A121,'Data shares'!$C:$FA,81)</f>
        <v>-3.49E-2</v>
      </c>
    </row>
    <row r="122" spans="1:15" x14ac:dyDescent="0.25">
      <c r="A122" s="100" t="str">
        <f>'OI(Value)'!A122</f>
        <v>JINDALSTEL</v>
      </c>
      <c r="B122" s="82">
        <f>VLOOKUP(A122,'Data shares'!$C$2:$CV$231,98,0)</f>
        <v>26138125</v>
      </c>
      <c r="C122" s="82">
        <f>VLOOKUP(A122,'Data shares'!$C$2:$CX$231,100,0)</f>
        <v>-346875</v>
      </c>
      <c r="D122" s="141">
        <f>VLOOKUP(A122,'Data shares'!$C$2:$CY$554,101,0)</f>
        <v>-1.3100000000000001E-2</v>
      </c>
      <c r="E122" s="86">
        <f>VLOOKUP($A122,'Data shares'!$C:$FA,74)</f>
        <v>17262500</v>
      </c>
      <c r="F122" s="86">
        <f>VLOOKUP($A122,'Data shares'!$C:$FA,76)</f>
        <v>-506875</v>
      </c>
      <c r="G122" s="87">
        <f>VLOOKUP(A122,'Data shares'!$C$2:$CA$231,77,0)</f>
        <v>-2.8500000000000001E-2</v>
      </c>
      <c r="H122" s="86">
        <f>VLOOKUP($A122,'Data shares'!$C:$FA,90)</f>
        <v>4855625</v>
      </c>
      <c r="I122" s="86">
        <f>VLOOKUP($A122,'Data shares'!$C:$FA,92)</f>
        <v>43750</v>
      </c>
      <c r="J122" s="87">
        <f>VLOOKUP($A122,'Data shares'!$C:$FA,93)</f>
        <v>9.1000000000000004E-3</v>
      </c>
      <c r="K122" s="86">
        <f>VLOOKUP($A122,'Data shares'!$C:$FA,94)</f>
        <v>4020000</v>
      </c>
      <c r="L122" s="86">
        <f>VLOOKUP($A122,'Data shares'!$C:$FA,96)</f>
        <v>116250</v>
      </c>
      <c r="M122" s="87">
        <f>VLOOKUP($A122,'Data shares'!$C:$FA,97)</f>
        <v>2.98E-2</v>
      </c>
      <c r="N122" s="86">
        <f>VLOOKUP($A122,'Data shares'!$C:$FA,78)</f>
        <v>16572500</v>
      </c>
      <c r="O122" s="87">
        <f>VLOOKUP($A122,'Data shares'!$C:$FA,81)</f>
        <v>-3.3000000000000002E-2</v>
      </c>
    </row>
    <row r="123" spans="1:15" x14ac:dyDescent="0.25">
      <c r="A123" s="100" t="str">
        <f>'OI(Value)'!A123</f>
        <v>JIOFIN</v>
      </c>
      <c r="B123" s="82">
        <f>VLOOKUP(A123,'Data shares'!$C$2:$CV$231,98,0)</f>
        <v>266008250</v>
      </c>
      <c r="C123" s="82">
        <f>VLOOKUP(A123,'Data shares'!$C$2:$CX$231,100,0)</f>
        <v>9794800</v>
      </c>
      <c r="D123" s="141">
        <f>VLOOKUP(A123,'Data shares'!$C$2:$CY$554,101,0)</f>
        <v>3.8199999999999998E-2</v>
      </c>
      <c r="E123" s="86">
        <f>VLOOKUP($A123,'Data shares'!$C:$FA,74)</f>
        <v>118214400</v>
      </c>
      <c r="F123" s="86">
        <f>VLOOKUP($A123,'Data shares'!$C:$FA,76)</f>
        <v>1431150</v>
      </c>
      <c r="G123" s="87">
        <f>VLOOKUP(A123,'Data shares'!$C$2:$CA$231,77,0)</f>
        <v>1.23E-2</v>
      </c>
      <c r="H123" s="86">
        <f>VLOOKUP($A123,'Data shares'!$C:$FA,90)</f>
        <v>97555550</v>
      </c>
      <c r="I123" s="86">
        <f>VLOOKUP($A123,'Data shares'!$C:$FA,92)</f>
        <v>6326200</v>
      </c>
      <c r="J123" s="87">
        <f>VLOOKUP($A123,'Data shares'!$C:$FA,93)</f>
        <v>6.93E-2</v>
      </c>
      <c r="K123" s="86">
        <f>VLOOKUP($A123,'Data shares'!$C:$FA,94)</f>
        <v>50238300</v>
      </c>
      <c r="L123" s="86">
        <f>VLOOKUP($A123,'Data shares'!$C:$FA,96)</f>
        <v>2037450</v>
      </c>
      <c r="M123" s="87">
        <f>VLOOKUP($A123,'Data shares'!$C:$FA,97)</f>
        <v>4.2299999999999997E-2</v>
      </c>
      <c r="N123" s="86">
        <f>VLOOKUP($A123,'Data shares'!$C:$FA,78)</f>
        <v>79336000</v>
      </c>
      <c r="O123" s="87">
        <f>VLOOKUP($A123,'Data shares'!$C:$FA,81)</f>
        <v>-2.8400000000000002E-2</v>
      </c>
    </row>
    <row r="124" spans="1:15" x14ac:dyDescent="0.25">
      <c r="A124" s="100" t="str">
        <f>'OI(Value)'!A124</f>
        <v>JSL</v>
      </c>
      <c r="B124" s="82">
        <f>VLOOKUP(A124,'Data shares'!$C$2:$CV$231,98,0)</f>
        <v>10374250</v>
      </c>
      <c r="C124" s="82">
        <f>VLOOKUP(A124,'Data shares'!$C$2:$CX$231,100,0)</f>
        <v>-59500</v>
      </c>
      <c r="D124" s="141">
        <f>VLOOKUP(A124,'Data shares'!$C$2:$CY$554,101,0)</f>
        <v>-5.7000000000000002E-3</v>
      </c>
      <c r="E124" s="86">
        <f>VLOOKUP($A124,'Data shares'!$C:$FA,74)</f>
        <v>7340600</v>
      </c>
      <c r="F124" s="86">
        <f>VLOOKUP($A124,'Data shares'!$C:$FA,76)</f>
        <v>27200</v>
      </c>
      <c r="G124" s="87">
        <f>VLOOKUP(A124,'Data shares'!$C$2:$CA$231,77,0)</f>
        <v>3.7000000000000002E-3</v>
      </c>
      <c r="H124" s="86">
        <f>VLOOKUP($A124,'Data shares'!$C:$FA,90)</f>
        <v>1925250</v>
      </c>
      <c r="I124" s="86">
        <f>VLOOKUP($A124,'Data shares'!$C:$FA,92)</f>
        <v>-17850</v>
      </c>
      <c r="J124" s="87">
        <f>VLOOKUP($A124,'Data shares'!$C:$FA,93)</f>
        <v>-9.1999999999999998E-3</v>
      </c>
      <c r="K124" s="86">
        <f>VLOOKUP($A124,'Data shares'!$C:$FA,94)</f>
        <v>1108400</v>
      </c>
      <c r="L124" s="86">
        <f>VLOOKUP($A124,'Data shares'!$C:$FA,96)</f>
        <v>-68850</v>
      </c>
      <c r="M124" s="87">
        <f>VLOOKUP($A124,'Data shares'!$C:$FA,97)</f>
        <v>-5.8500000000000003E-2</v>
      </c>
      <c r="N124" s="86">
        <f>VLOOKUP($A124,'Data shares'!$C:$FA,78)</f>
        <v>6302750</v>
      </c>
      <c r="O124" s="87">
        <f>VLOOKUP($A124,'Data shares'!$C:$FA,81)</f>
        <v>-6.0000000000000001E-3</v>
      </c>
    </row>
    <row r="125" spans="1:15" x14ac:dyDescent="0.25">
      <c r="A125" s="100" t="str">
        <f>'OI(Value)'!A125</f>
        <v>JSWENERGY</v>
      </c>
      <c r="B125" s="82">
        <f>VLOOKUP(A125,'Data shares'!$C$2:$CV$231,98,0)</f>
        <v>63684000</v>
      </c>
      <c r="C125" s="82">
        <f>VLOOKUP(A125,'Data shares'!$C$2:$CX$231,100,0)</f>
        <v>367000</v>
      </c>
      <c r="D125" s="141">
        <f>VLOOKUP(A125,'Data shares'!$C$2:$CY$554,101,0)</f>
        <v>5.7999999999999996E-3</v>
      </c>
      <c r="E125" s="86">
        <f>VLOOKUP($A125,'Data shares'!$C:$FA,74)</f>
        <v>46698000</v>
      </c>
      <c r="F125" s="86">
        <f>VLOOKUP($A125,'Data shares'!$C:$FA,76)</f>
        <v>243000</v>
      </c>
      <c r="G125" s="87">
        <f>VLOOKUP(A125,'Data shares'!$C$2:$CA$231,77,0)</f>
        <v>5.1999999999999998E-3</v>
      </c>
      <c r="H125" s="86">
        <f>VLOOKUP($A125,'Data shares'!$C:$FA,90)</f>
        <v>11265000</v>
      </c>
      <c r="I125" s="86">
        <f>VLOOKUP($A125,'Data shares'!$C:$FA,92)</f>
        <v>182000</v>
      </c>
      <c r="J125" s="87">
        <f>VLOOKUP($A125,'Data shares'!$C:$FA,93)</f>
        <v>1.6400000000000001E-2</v>
      </c>
      <c r="K125" s="86">
        <f>VLOOKUP($A125,'Data shares'!$C:$FA,94)</f>
        <v>5721000</v>
      </c>
      <c r="L125" s="86">
        <f>VLOOKUP($A125,'Data shares'!$C:$FA,96)</f>
        <v>-58000</v>
      </c>
      <c r="M125" s="87">
        <f>VLOOKUP($A125,'Data shares'!$C:$FA,97)</f>
        <v>-0.01</v>
      </c>
      <c r="N125" s="86">
        <f>VLOOKUP($A125,'Data shares'!$C:$FA,78)</f>
        <v>43979000</v>
      </c>
      <c r="O125" s="87">
        <f>VLOOKUP($A125,'Data shares'!$C:$FA,81)</f>
        <v>-4.7999999999999996E-3</v>
      </c>
    </row>
    <row r="126" spans="1:15" x14ac:dyDescent="0.25">
      <c r="A126" s="100" t="str">
        <f>'OI(Value)'!A126</f>
        <v>JSWSTEEL</v>
      </c>
      <c r="B126" s="82">
        <f>VLOOKUP(A126,'Data shares'!$C$2:$CV$231,98,0)</f>
        <v>54355725</v>
      </c>
      <c r="C126" s="82">
        <f>VLOOKUP(A126,'Data shares'!$C$2:$CX$231,100,0)</f>
        <v>-1711800</v>
      </c>
      <c r="D126" s="141">
        <f>VLOOKUP(A126,'Data shares'!$C$2:$CY$554,101,0)</f>
        <v>-3.0499999999999999E-2</v>
      </c>
      <c r="E126" s="86">
        <f>VLOOKUP($A126,'Data shares'!$C:$FA,74)</f>
        <v>38869200</v>
      </c>
      <c r="F126" s="86">
        <f>VLOOKUP($A126,'Data shares'!$C:$FA,76)</f>
        <v>-132975</v>
      </c>
      <c r="G126" s="87">
        <f>VLOOKUP(A126,'Data shares'!$C$2:$CA$231,77,0)</f>
        <v>-3.3999999999999998E-3</v>
      </c>
      <c r="H126" s="86">
        <f>VLOOKUP($A126,'Data shares'!$C:$FA,90)</f>
        <v>9427725</v>
      </c>
      <c r="I126" s="86">
        <f>VLOOKUP($A126,'Data shares'!$C:$FA,92)</f>
        <v>-1130625</v>
      </c>
      <c r="J126" s="87">
        <f>VLOOKUP($A126,'Data shares'!$C:$FA,93)</f>
        <v>-0.1071</v>
      </c>
      <c r="K126" s="86">
        <f>VLOOKUP($A126,'Data shares'!$C:$FA,94)</f>
        <v>6058800</v>
      </c>
      <c r="L126" s="86">
        <f>VLOOKUP($A126,'Data shares'!$C:$FA,96)</f>
        <v>-448200</v>
      </c>
      <c r="M126" s="87">
        <f>VLOOKUP($A126,'Data shares'!$C:$FA,97)</f>
        <v>-6.8900000000000003E-2</v>
      </c>
      <c r="N126" s="86">
        <f>VLOOKUP($A126,'Data shares'!$C:$FA,78)</f>
        <v>37327500</v>
      </c>
      <c r="O126" s="87">
        <f>VLOOKUP($A126,'Data shares'!$C:$FA,81)</f>
        <v>-6.4000000000000003E-3</v>
      </c>
    </row>
    <row r="127" spans="1:15" x14ac:dyDescent="0.25">
      <c r="A127" s="100" t="str">
        <f>'OI(Value)'!A127</f>
        <v>JUBLFOOD</v>
      </c>
      <c r="B127" s="82">
        <f>VLOOKUP(A127,'Data shares'!$C$2:$CV$231,98,0)</f>
        <v>34127500</v>
      </c>
      <c r="C127" s="82">
        <f>VLOOKUP(A127,'Data shares'!$C$2:$CX$231,100,0)</f>
        <v>422500</v>
      </c>
      <c r="D127" s="141">
        <f>VLOOKUP(A127,'Data shares'!$C$2:$CY$554,101,0)</f>
        <v>1.2500000000000001E-2</v>
      </c>
      <c r="E127" s="86">
        <f>VLOOKUP($A127,'Data shares'!$C:$FA,74)</f>
        <v>21952500</v>
      </c>
      <c r="F127" s="86">
        <f>VLOOKUP($A127,'Data shares'!$C:$FA,76)</f>
        <v>-31250</v>
      </c>
      <c r="G127" s="87">
        <f>VLOOKUP(A127,'Data shares'!$C$2:$CA$231,77,0)</f>
        <v>-1.4E-3</v>
      </c>
      <c r="H127" s="86">
        <f>VLOOKUP($A127,'Data shares'!$C:$FA,90)</f>
        <v>8662500</v>
      </c>
      <c r="I127" s="86">
        <f>VLOOKUP($A127,'Data shares'!$C:$FA,92)</f>
        <v>410000</v>
      </c>
      <c r="J127" s="87">
        <f>VLOOKUP($A127,'Data shares'!$C:$FA,93)</f>
        <v>4.9700000000000001E-2</v>
      </c>
      <c r="K127" s="86">
        <f>VLOOKUP($A127,'Data shares'!$C:$FA,94)</f>
        <v>3512500</v>
      </c>
      <c r="L127" s="86">
        <f>VLOOKUP($A127,'Data shares'!$C:$FA,96)</f>
        <v>43750</v>
      </c>
      <c r="M127" s="87">
        <f>VLOOKUP($A127,'Data shares'!$C:$FA,97)</f>
        <v>1.26E-2</v>
      </c>
      <c r="N127" s="86">
        <f>VLOOKUP($A127,'Data shares'!$C:$FA,78)</f>
        <v>20846250</v>
      </c>
      <c r="O127" s="87">
        <f>VLOOKUP($A127,'Data shares'!$C:$FA,81)</f>
        <v>-1.47E-2</v>
      </c>
    </row>
    <row r="128" spans="1:15" x14ac:dyDescent="0.25">
      <c r="A128" s="100" t="str">
        <f>'OI(Value)'!A128</f>
        <v>KALYANKJIL</v>
      </c>
      <c r="B128" s="82">
        <f>VLOOKUP(A128,'Data shares'!$C$2:$CV$231,98,0)</f>
        <v>32017575</v>
      </c>
      <c r="C128" s="82">
        <f>VLOOKUP(A128,'Data shares'!$C$2:$CX$231,100,0)</f>
        <v>-611000</v>
      </c>
      <c r="D128" s="141">
        <f>VLOOKUP(A128,'Data shares'!$C$2:$CY$554,101,0)</f>
        <v>-1.8700000000000001E-2</v>
      </c>
      <c r="E128" s="86">
        <f>VLOOKUP($A128,'Data shares'!$C:$FA,74)</f>
        <v>22067675</v>
      </c>
      <c r="F128" s="86">
        <f>VLOOKUP($A128,'Data shares'!$C:$FA,76)</f>
        <v>-116325</v>
      </c>
      <c r="G128" s="87">
        <f>VLOOKUP(A128,'Data shares'!$C$2:$CA$231,77,0)</f>
        <v>-5.1999999999999998E-3</v>
      </c>
      <c r="H128" s="86">
        <f>VLOOKUP($A128,'Data shares'!$C:$FA,90)</f>
        <v>5965475</v>
      </c>
      <c r="I128" s="86">
        <f>VLOOKUP($A128,'Data shares'!$C:$FA,92)</f>
        <v>-377175</v>
      </c>
      <c r="J128" s="87">
        <f>VLOOKUP($A128,'Data shares'!$C:$FA,93)</f>
        <v>-5.9499999999999997E-2</v>
      </c>
      <c r="K128" s="86">
        <f>VLOOKUP($A128,'Data shares'!$C:$FA,94)</f>
        <v>3984425</v>
      </c>
      <c r="L128" s="86">
        <f>VLOOKUP($A128,'Data shares'!$C:$FA,96)</f>
        <v>-117500</v>
      </c>
      <c r="M128" s="87">
        <f>VLOOKUP($A128,'Data shares'!$C:$FA,97)</f>
        <v>-2.86E-2</v>
      </c>
      <c r="N128" s="86">
        <f>VLOOKUP($A128,'Data shares'!$C:$FA,78)</f>
        <v>20381550</v>
      </c>
      <c r="O128" s="87">
        <f>VLOOKUP($A128,'Data shares'!$C:$FA,81)</f>
        <v>-8.2000000000000007E-3</v>
      </c>
    </row>
    <row r="129" spans="1:15" x14ac:dyDescent="0.25">
      <c r="A129" s="100" t="str">
        <f>'OI(Value)'!A129</f>
        <v>KAYNES</v>
      </c>
      <c r="B129" s="82">
        <f>VLOOKUP(A129,'Data shares'!$C$2:$CV$231,98,0)</f>
        <v>1469800</v>
      </c>
      <c r="C129" s="82">
        <f>VLOOKUP(A129,'Data shares'!$C$2:$CX$231,100,0)</f>
        <v>13600</v>
      </c>
      <c r="D129" s="141">
        <f>VLOOKUP(A129,'Data shares'!$C$2:$CY$554,101,0)</f>
        <v>9.2999999999999992E-3</v>
      </c>
      <c r="E129" s="86">
        <f>VLOOKUP($A129,'Data shares'!$C:$FA,74)</f>
        <v>624400</v>
      </c>
      <c r="F129" s="86">
        <f>VLOOKUP($A129,'Data shares'!$C:$FA,76)</f>
        <v>3500</v>
      </c>
      <c r="G129" s="87">
        <f>VLOOKUP(A129,'Data shares'!$C$2:$CA$231,77,0)</f>
        <v>5.5999999999999999E-3</v>
      </c>
      <c r="H129" s="86">
        <f>VLOOKUP($A129,'Data shares'!$C:$FA,90)</f>
        <v>596100</v>
      </c>
      <c r="I129" s="86">
        <f>VLOOKUP($A129,'Data shares'!$C:$FA,92)</f>
        <v>5800</v>
      </c>
      <c r="J129" s="87">
        <f>VLOOKUP($A129,'Data shares'!$C:$FA,93)</f>
        <v>9.7999999999999997E-3</v>
      </c>
      <c r="K129" s="86">
        <f>VLOOKUP($A129,'Data shares'!$C:$FA,94)</f>
        <v>249300</v>
      </c>
      <c r="L129" s="86">
        <f>VLOOKUP($A129,'Data shares'!$C:$FA,96)</f>
        <v>4300</v>
      </c>
      <c r="M129" s="87">
        <f>VLOOKUP($A129,'Data shares'!$C:$FA,97)</f>
        <v>1.7600000000000001E-2</v>
      </c>
      <c r="N129" s="86">
        <f>VLOOKUP($A129,'Data shares'!$C:$FA,78)</f>
        <v>566000</v>
      </c>
      <c r="O129" s="87">
        <f>VLOOKUP($A129,'Data shares'!$C:$FA,81)</f>
        <v>-1.34E-2</v>
      </c>
    </row>
    <row r="130" spans="1:15" x14ac:dyDescent="0.25">
      <c r="A130" s="100" t="str">
        <f>'OI(Value)'!A130</f>
        <v>KEI</v>
      </c>
      <c r="B130" s="82">
        <f>VLOOKUP(A130,'Data shares'!$C$2:$CV$231,98,0)</f>
        <v>2509675</v>
      </c>
      <c r="C130" s="82">
        <f>VLOOKUP(A130,'Data shares'!$C$2:$CX$231,100,0)</f>
        <v>322175</v>
      </c>
      <c r="D130" s="141">
        <f>VLOOKUP(A130,'Data shares'!$C$2:$CY$554,101,0)</f>
        <v>0.14729999999999999</v>
      </c>
      <c r="E130" s="86">
        <f>VLOOKUP($A130,'Data shares'!$C:$FA,74)</f>
        <v>1186500</v>
      </c>
      <c r="F130" s="86">
        <f>VLOOKUP($A130,'Data shares'!$C:$FA,76)</f>
        <v>-7875</v>
      </c>
      <c r="G130" s="87">
        <f>VLOOKUP(A130,'Data shares'!$C$2:$CA$231,77,0)</f>
        <v>-6.6E-3</v>
      </c>
      <c r="H130" s="86">
        <f>VLOOKUP($A130,'Data shares'!$C:$FA,90)</f>
        <v>816550</v>
      </c>
      <c r="I130" s="86">
        <f>VLOOKUP($A130,'Data shares'!$C:$FA,92)</f>
        <v>208075</v>
      </c>
      <c r="J130" s="87">
        <f>VLOOKUP($A130,'Data shares'!$C:$FA,93)</f>
        <v>0.34200000000000003</v>
      </c>
      <c r="K130" s="86">
        <f>VLOOKUP($A130,'Data shares'!$C:$FA,94)</f>
        <v>506625</v>
      </c>
      <c r="L130" s="86">
        <f>VLOOKUP($A130,'Data shares'!$C:$FA,96)</f>
        <v>121975</v>
      </c>
      <c r="M130" s="87">
        <f>VLOOKUP($A130,'Data shares'!$C:$FA,97)</f>
        <v>0.31709999999999999</v>
      </c>
      <c r="N130" s="86">
        <f>VLOOKUP($A130,'Data shares'!$C:$FA,78)</f>
        <v>1073275</v>
      </c>
      <c r="O130" s="87">
        <f>VLOOKUP($A130,'Data shares'!$C:$FA,81)</f>
        <v>-1.78E-2</v>
      </c>
    </row>
    <row r="131" spans="1:15" x14ac:dyDescent="0.25">
      <c r="A131" s="100" t="str">
        <f>'OI(Value)'!A131</f>
        <v>KFINTECH</v>
      </c>
      <c r="B131" s="82">
        <f>VLOOKUP(A131,'Data shares'!$C$2:$CV$231,98,0)</f>
        <v>2234250</v>
      </c>
      <c r="C131" s="82">
        <f>VLOOKUP(A131,'Data shares'!$C$2:$CX$231,100,0)</f>
        <v>-106650</v>
      </c>
      <c r="D131" s="141">
        <f>VLOOKUP(A131,'Data shares'!$C$2:$CY$554,101,0)</f>
        <v>-4.5600000000000002E-2</v>
      </c>
      <c r="E131" s="86">
        <f>VLOOKUP($A131,'Data shares'!$C:$FA,74)</f>
        <v>1058400</v>
      </c>
      <c r="F131" s="86">
        <f>VLOOKUP($A131,'Data shares'!$C:$FA,76)</f>
        <v>-83700</v>
      </c>
      <c r="G131" s="87">
        <f>VLOOKUP(A131,'Data shares'!$C$2:$CA$231,77,0)</f>
        <v>-7.3300000000000004E-2</v>
      </c>
      <c r="H131" s="86">
        <f>VLOOKUP($A131,'Data shares'!$C:$FA,90)</f>
        <v>877500</v>
      </c>
      <c r="I131" s="86">
        <f>VLOOKUP($A131,'Data shares'!$C:$FA,92)</f>
        <v>0</v>
      </c>
      <c r="J131" s="87">
        <f>VLOOKUP($A131,'Data shares'!$C:$FA,93)</f>
        <v>0</v>
      </c>
      <c r="K131" s="86">
        <f>VLOOKUP($A131,'Data shares'!$C:$FA,94)</f>
        <v>298350</v>
      </c>
      <c r="L131" s="86">
        <f>VLOOKUP($A131,'Data shares'!$C:$FA,96)</f>
        <v>-22950</v>
      </c>
      <c r="M131" s="87">
        <f>VLOOKUP($A131,'Data shares'!$C:$FA,97)</f>
        <v>-7.1400000000000005E-2</v>
      </c>
      <c r="N131" s="86">
        <f>VLOOKUP($A131,'Data shares'!$C:$FA,78)</f>
        <v>971100</v>
      </c>
      <c r="O131" s="87">
        <f>VLOOKUP($A131,'Data shares'!$C:$FA,81)</f>
        <v>-9.1399999999999995E-2</v>
      </c>
    </row>
    <row r="132" spans="1:15" x14ac:dyDescent="0.25">
      <c r="A132" s="100" t="str">
        <f>'OI(Value)'!A132</f>
        <v>KOTAKBANK</v>
      </c>
      <c r="B132" s="82">
        <f>VLOOKUP(A132,'Data shares'!$C$2:$CV$231,98,0)</f>
        <v>48760800</v>
      </c>
      <c r="C132" s="82">
        <f>VLOOKUP(A132,'Data shares'!$C$2:$CX$231,100,0)</f>
        <v>479600</v>
      </c>
      <c r="D132" s="141">
        <f>VLOOKUP(A132,'Data shares'!$C$2:$CY$554,101,0)</f>
        <v>9.9000000000000008E-3</v>
      </c>
      <c r="E132" s="86">
        <f>VLOOKUP($A132,'Data shares'!$C:$FA,74)</f>
        <v>33210400</v>
      </c>
      <c r="F132" s="86">
        <f>VLOOKUP($A132,'Data shares'!$C:$FA,76)</f>
        <v>424000</v>
      </c>
      <c r="G132" s="87">
        <f>VLOOKUP(A132,'Data shares'!$C$2:$CA$231,77,0)</f>
        <v>1.29E-2</v>
      </c>
      <c r="H132" s="86">
        <f>VLOOKUP($A132,'Data shares'!$C:$FA,90)</f>
        <v>8566000</v>
      </c>
      <c r="I132" s="86">
        <f>VLOOKUP($A132,'Data shares'!$C:$FA,92)</f>
        <v>76000</v>
      </c>
      <c r="J132" s="87">
        <f>VLOOKUP($A132,'Data shares'!$C:$FA,93)</f>
        <v>8.9999999999999993E-3</v>
      </c>
      <c r="K132" s="86">
        <f>VLOOKUP($A132,'Data shares'!$C:$FA,94)</f>
        <v>6984400</v>
      </c>
      <c r="L132" s="86">
        <f>VLOOKUP($A132,'Data shares'!$C:$FA,96)</f>
        <v>-20400</v>
      </c>
      <c r="M132" s="87">
        <f>VLOOKUP($A132,'Data shares'!$C:$FA,97)</f>
        <v>-2.8999999999999998E-3</v>
      </c>
      <c r="N132" s="86">
        <f>VLOOKUP($A132,'Data shares'!$C:$FA,78)</f>
        <v>26638800</v>
      </c>
      <c r="O132" s="87">
        <f>VLOOKUP($A132,'Data shares'!$C:$FA,81)</f>
        <v>5.5999999999999999E-3</v>
      </c>
    </row>
    <row r="133" spans="1:15" x14ac:dyDescent="0.25">
      <c r="A133" s="100" t="str">
        <f>'OI(Value)'!A133</f>
        <v>KPITTECH</v>
      </c>
      <c r="B133" s="82">
        <f>VLOOKUP(A133,'Data shares'!$C$2:$CV$231,98,0)</f>
        <v>10659200</v>
      </c>
      <c r="C133" s="82">
        <f>VLOOKUP(A133,'Data shares'!$C$2:$CX$231,100,0)</f>
        <v>209200</v>
      </c>
      <c r="D133" s="141">
        <f>VLOOKUP(A133,'Data shares'!$C$2:$CY$554,101,0)</f>
        <v>0.02</v>
      </c>
      <c r="E133" s="86">
        <f>VLOOKUP($A133,'Data shares'!$C:$FA,74)</f>
        <v>4958000</v>
      </c>
      <c r="F133" s="86">
        <f>VLOOKUP($A133,'Data shares'!$C:$FA,76)</f>
        <v>112400</v>
      </c>
      <c r="G133" s="87">
        <f>VLOOKUP(A133,'Data shares'!$C$2:$CA$231,77,0)</f>
        <v>2.3199999999999998E-2</v>
      </c>
      <c r="H133" s="86">
        <f>VLOOKUP($A133,'Data shares'!$C:$FA,90)</f>
        <v>3423200</v>
      </c>
      <c r="I133" s="86">
        <f>VLOOKUP($A133,'Data shares'!$C:$FA,92)</f>
        <v>14400</v>
      </c>
      <c r="J133" s="87">
        <f>VLOOKUP($A133,'Data shares'!$C:$FA,93)</f>
        <v>4.1999999999999997E-3</v>
      </c>
      <c r="K133" s="86">
        <f>VLOOKUP($A133,'Data shares'!$C:$FA,94)</f>
        <v>2278000</v>
      </c>
      <c r="L133" s="86">
        <f>VLOOKUP($A133,'Data shares'!$C:$FA,96)</f>
        <v>82400</v>
      </c>
      <c r="M133" s="87">
        <f>VLOOKUP($A133,'Data shares'!$C:$FA,97)</f>
        <v>3.7499999999999999E-2</v>
      </c>
      <c r="N133" s="86">
        <f>VLOOKUP($A133,'Data shares'!$C:$FA,78)</f>
        <v>4479600</v>
      </c>
      <c r="O133" s="87">
        <f>VLOOKUP($A133,'Data shares'!$C:$FA,81)</f>
        <v>1.5299999999999999E-2</v>
      </c>
    </row>
    <row r="134" spans="1:15" x14ac:dyDescent="0.25">
      <c r="A134" s="100" t="str">
        <f>'OI(Value)'!A134</f>
        <v>LAURUSLABS</v>
      </c>
      <c r="B134" s="82">
        <f>VLOOKUP(A134,'Data shares'!$C$2:$CV$231,98,0)</f>
        <v>57468500</v>
      </c>
      <c r="C134" s="82">
        <f>VLOOKUP(A134,'Data shares'!$C$2:$CX$231,100,0)</f>
        <v>-277100</v>
      </c>
      <c r="D134" s="141">
        <f>VLOOKUP(A134,'Data shares'!$C$2:$CY$554,101,0)</f>
        <v>-4.7999999999999996E-3</v>
      </c>
      <c r="E134" s="86">
        <f>VLOOKUP($A134,'Data shares'!$C:$FA,74)</f>
        <v>21637600</v>
      </c>
      <c r="F134" s="86">
        <f>VLOOKUP($A134,'Data shares'!$C:$FA,76)</f>
        <v>-255000</v>
      </c>
      <c r="G134" s="87">
        <f>VLOOKUP(A134,'Data shares'!$C$2:$CA$231,77,0)</f>
        <v>-1.1599999999999999E-2</v>
      </c>
      <c r="H134" s="86">
        <f>VLOOKUP($A134,'Data shares'!$C:$FA,90)</f>
        <v>16609000</v>
      </c>
      <c r="I134" s="86">
        <f>VLOOKUP($A134,'Data shares'!$C:$FA,92)</f>
        <v>32300</v>
      </c>
      <c r="J134" s="87">
        <f>VLOOKUP($A134,'Data shares'!$C:$FA,93)</f>
        <v>1.9E-3</v>
      </c>
      <c r="K134" s="86">
        <f>VLOOKUP($A134,'Data shares'!$C:$FA,94)</f>
        <v>19221900</v>
      </c>
      <c r="L134" s="86">
        <f>VLOOKUP($A134,'Data shares'!$C:$FA,96)</f>
        <v>-54400</v>
      </c>
      <c r="M134" s="87">
        <f>VLOOKUP($A134,'Data shares'!$C:$FA,97)</f>
        <v>-2.8E-3</v>
      </c>
      <c r="N134" s="86">
        <f>VLOOKUP($A134,'Data shares'!$C:$FA,78)</f>
        <v>20002200</v>
      </c>
      <c r="O134" s="87">
        <f>VLOOKUP($A134,'Data shares'!$C:$FA,81)</f>
        <v>-1.43E-2</v>
      </c>
    </row>
    <row r="135" spans="1:15" x14ac:dyDescent="0.25">
      <c r="A135" s="100" t="str">
        <f>'OI(Value)'!A135</f>
        <v>LICHSGFIN</v>
      </c>
      <c r="B135" s="82">
        <f>VLOOKUP(A135,'Data shares'!$C$2:$CV$231,98,0)</f>
        <v>43808000</v>
      </c>
      <c r="C135" s="82">
        <f>VLOOKUP(A135,'Data shares'!$C$2:$CX$231,100,0)</f>
        <v>672000</v>
      </c>
      <c r="D135" s="141">
        <f>VLOOKUP(A135,'Data shares'!$C$2:$CY$554,101,0)</f>
        <v>1.5599999999999999E-2</v>
      </c>
      <c r="E135" s="86">
        <f>VLOOKUP($A135,'Data shares'!$C:$FA,74)</f>
        <v>28322000</v>
      </c>
      <c r="F135" s="86">
        <f>VLOOKUP($A135,'Data shares'!$C:$FA,76)</f>
        <v>550000</v>
      </c>
      <c r="G135" s="87">
        <f>VLOOKUP(A135,'Data shares'!$C$2:$CA$231,77,0)</f>
        <v>1.9800000000000002E-2</v>
      </c>
      <c r="H135" s="86">
        <f>VLOOKUP($A135,'Data shares'!$C:$FA,90)</f>
        <v>8366000</v>
      </c>
      <c r="I135" s="86">
        <f>VLOOKUP($A135,'Data shares'!$C:$FA,92)</f>
        <v>189000</v>
      </c>
      <c r="J135" s="87">
        <f>VLOOKUP($A135,'Data shares'!$C:$FA,93)</f>
        <v>2.3099999999999999E-2</v>
      </c>
      <c r="K135" s="86">
        <f>VLOOKUP($A135,'Data shares'!$C:$FA,94)</f>
        <v>7120000</v>
      </c>
      <c r="L135" s="86">
        <f>VLOOKUP($A135,'Data shares'!$C:$FA,96)</f>
        <v>-67000</v>
      </c>
      <c r="M135" s="87">
        <f>VLOOKUP($A135,'Data shares'!$C:$FA,97)</f>
        <v>-9.2999999999999992E-3</v>
      </c>
      <c r="N135" s="86">
        <f>VLOOKUP($A135,'Data shares'!$C:$FA,78)</f>
        <v>19101000</v>
      </c>
      <c r="O135" s="87">
        <f>VLOOKUP($A135,'Data shares'!$C:$FA,81)</f>
        <v>-3.3399999999999999E-2</v>
      </c>
    </row>
    <row r="136" spans="1:15" x14ac:dyDescent="0.25">
      <c r="A136" s="100" t="str">
        <f>'OI(Value)'!A136</f>
        <v>LICI</v>
      </c>
      <c r="B136" s="82">
        <f>VLOOKUP(A136,'Data shares'!$C$2:$CV$231,98,0)</f>
        <v>16354800</v>
      </c>
      <c r="C136" s="82">
        <f>VLOOKUP(A136,'Data shares'!$C$2:$CX$231,100,0)</f>
        <v>125300</v>
      </c>
      <c r="D136" s="141">
        <f>VLOOKUP(A136,'Data shares'!$C$2:$CY$554,101,0)</f>
        <v>7.7000000000000002E-3</v>
      </c>
      <c r="E136" s="86">
        <f>VLOOKUP($A136,'Data shares'!$C:$FA,74)</f>
        <v>8439200</v>
      </c>
      <c r="F136" s="86">
        <f>VLOOKUP($A136,'Data shares'!$C:$FA,76)</f>
        <v>70000</v>
      </c>
      <c r="G136" s="87">
        <f>VLOOKUP(A136,'Data shares'!$C$2:$CA$231,77,0)</f>
        <v>8.3999999999999995E-3</v>
      </c>
      <c r="H136" s="86">
        <f>VLOOKUP($A136,'Data shares'!$C:$FA,90)</f>
        <v>5427800</v>
      </c>
      <c r="I136" s="86">
        <f>VLOOKUP($A136,'Data shares'!$C:$FA,92)</f>
        <v>-9800</v>
      </c>
      <c r="J136" s="87">
        <f>VLOOKUP($A136,'Data shares'!$C:$FA,93)</f>
        <v>-1.8E-3</v>
      </c>
      <c r="K136" s="86">
        <f>VLOOKUP($A136,'Data shares'!$C:$FA,94)</f>
        <v>2487800</v>
      </c>
      <c r="L136" s="86">
        <f>VLOOKUP($A136,'Data shares'!$C:$FA,96)</f>
        <v>65100</v>
      </c>
      <c r="M136" s="87">
        <f>VLOOKUP($A136,'Data shares'!$C:$FA,97)</f>
        <v>2.69E-2</v>
      </c>
      <c r="N136" s="86">
        <f>VLOOKUP($A136,'Data shares'!$C:$FA,78)</f>
        <v>7594300</v>
      </c>
      <c r="O136" s="87">
        <f>VLOOKUP($A136,'Data shares'!$C:$FA,81)</f>
        <v>-3.7000000000000002E-3</v>
      </c>
    </row>
    <row r="137" spans="1:15" x14ac:dyDescent="0.25">
      <c r="A137" s="100" t="str">
        <f>'OI(Value)'!A137</f>
        <v>LODHA</v>
      </c>
      <c r="B137" s="82">
        <f>VLOOKUP(A137,'Data shares'!$C$2:$CV$231,98,0)</f>
        <v>8023500</v>
      </c>
      <c r="C137" s="82">
        <f>VLOOKUP(A137,'Data shares'!$C$2:$CX$231,100,0)</f>
        <v>90000</v>
      </c>
      <c r="D137" s="141">
        <f>VLOOKUP(A137,'Data shares'!$C$2:$CY$554,101,0)</f>
        <v>1.1299999999999999E-2</v>
      </c>
      <c r="E137" s="86">
        <f>VLOOKUP($A137,'Data shares'!$C:$FA,74)</f>
        <v>5482800</v>
      </c>
      <c r="F137" s="86">
        <f>VLOOKUP($A137,'Data shares'!$C:$FA,76)</f>
        <v>1350</v>
      </c>
      <c r="G137" s="87">
        <f>VLOOKUP(A137,'Data shares'!$C$2:$CA$231,77,0)</f>
        <v>2.0000000000000001E-4</v>
      </c>
      <c r="H137" s="86">
        <f>VLOOKUP($A137,'Data shares'!$C:$FA,90)</f>
        <v>1523700</v>
      </c>
      <c r="I137" s="86">
        <f>VLOOKUP($A137,'Data shares'!$C:$FA,92)</f>
        <v>102600</v>
      </c>
      <c r="J137" s="87">
        <f>VLOOKUP($A137,'Data shares'!$C:$FA,93)</f>
        <v>7.22E-2</v>
      </c>
      <c r="K137" s="86">
        <f>VLOOKUP($A137,'Data shares'!$C:$FA,94)</f>
        <v>1017000</v>
      </c>
      <c r="L137" s="86">
        <f>VLOOKUP($A137,'Data shares'!$C:$FA,96)</f>
        <v>-13950</v>
      </c>
      <c r="M137" s="87">
        <f>VLOOKUP($A137,'Data shares'!$C:$FA,97)</f>
        <v>-1.35E-2</v>
      </c>
      <c r="N137" s="86">
        <f>VLOOKUP($A137,'Data shares'!$C:$FA,78)</f>
        <v>5347800</v>
      </c>
      <c r="O137" s="87">
        <f>VLOOKUP($A137,'Data shares'!$C:$FA,81)</f>
        <v>-1.6999999999999999E-3</v>
      </c>
    </row>
    <row r="138" spans="1:15" x14ac:dyDescent="0.25">
      <c r="A138" s="100" t="str">
        <f>'OI(Value)'!A138</f>
        <v>LT</v>
      </c>
      <c r="B138" s="82">
        <f>VLOOKUP(A138,'Data shares'!$C$2:$CV$231,98,0)</f>
        <v>30682225</v>
      </c>
      <c r="C138" s="82">
        <f>VLOOKUP(A138,'Data shares'!$C$2:$CX$231,100,0)</f>
        <v>596925</v>
      </c>
      <c r="D138" s="141">
        <f>VLOOKUP(A138,'Data shares'!$C$2:$CY$554,101,0)</f>
        <v>1.9800000000000002E-2</v>
      </c>
      <c r="E138" s="86">
        <f>VLOOKUP($A138,'Data shares'!$C:$FA,74)</f>
        <v>17688650</v>
      </c>
      <c r="F138" s="86">
        <f>VLOOKUP($A138,'Data shares'!$C:$FA,76)</f>
        <v>351925</v>
      </c>
      <c r="G138" s="87">
        <f>VLOOKUP(A138,'Data shares'!$C$2:$CA$231,77,0)</f>
        <v>2.0299999999999999E-2</v>
      </c>
      <c r="H138" s="86">
        <f>VLOOKUP($A138,'Data shares'!$C:$FA,90)</f>
        <v>9349375</v>
      </c>
      <c r="I138" s="86">
        <f>VLOOKUP($A138,'Data shares'!$C:$FA,92)</f>
        <v>137025</v>
      </c>
      <c r="J138" s="87">
        <f>VLOOKUP($A138,'Data shares'!$C:$FA,93)</f>
        <v>1.49E-2</v>
      </c>
      <c r="K138" s="86">
        <f>VLOOKUP($A138,'Data shares'!$C:$FA,94)</f>
        <v>3644200</v>
      </c>
      <c r="L138" s="86">
        <f>VLOOKUP($A138,'Data shares'!$C:$FA,96)</f>
        <v>107975</v>
      </c>
      <c r="M138" s="87">
        <f>VLOOKUP($A138,'Data shares'!$C:$FA,97)</f>
        <v>3.0499999999999999E-2</v>
      </c>
      <c r="N138" s="86">
        <f>VLOOKUP($A138,'Data shares'!$C:$FA,78)</f>
        <v>14950775</v>
      </c>
      <c r="O138" s="87">
        <f>VLOOKUP($A138,'Data shares'!$C:$FA,81)</f>
        <v>-8.5000000000000006E-3</v>
      </c>
    </row>
    <row r="139" spans="1:15" x14ac:dyDescent="0.25">
      <c r="A139" s="100" t="str">
        <f>'OI(Value)'!A139</f>
        <v>LTF</v>
      </c>
      <c r="B139" s="82">
        <f>VLOOKUP(A139,'Data shares'!$C$2:$CV$231,98,0)</f>
        <v>132012732</v>
      </c>
      <c r="C139" s="82">
        <f>VLOOKUP(A139,'Data shares'!$C$2:$CX$231,100,0)</f>
        <v>-3266184</v>
      </c>
      <c r="D139" s="141">
        <f>VLOOKUP(A139,'Data shares'!$C$2:$CY$554,101,0)</f>
        <v>-2.41E-2</v>
      </c>
      <c r="E139" s="86">
        <f>VLOOKUP($A139,'Data shares'!$C:$FA,74)</f>
        <v>64997954</v>
      </c>
      <c r="F139" s="86">
        <f>VLOOKUP($A139,'Data shares'!$C:$FA,76)</f>
        <v>3150172</v>
      </c>
      <c r="G139" s="87">
        <f>VLOOKUP(A139,'Data shares'!$C$2:$CA$231,77,0)</f>
        <v>5.0900000000000001E-2</v>
      </c>
      <c r="H139" s="86">
        <f>VLOOKUP($A139,'Data shares'!$C:$FA,90)</f>
        <v>39698414</v>
      </c>
      <c r="I139" s="86">
        <f>VLOOKUP($A139,'Data shares'!$C:$FA,92)</f>
        <v>-1137810</v>
      </c>
      <c r="J139" s="87">
        <f>VLOOKUP($A139,'Data shares'!$C:$FA,93)</f>
        <v>-2.7900000000000001E-2</v>
      </c>
      <c r="K139" s="86">
        <f>VLOOKUP($A139,'Data shares'!$C:$FA,94)</f>
        <v>27316364</v>
      </c>
      <c r="L139" s="86">
        <f>VLOOKUP($A139,'Data shares'!$C:$FA,96)</f>
        <v>-5278546</v>
      </c>
      <c r="M139" s="87">
        <f>VLOOKUP($A139,'Data shares'!$C:$FA,97)</f>
        <v>-0.16189999999999999</v>
      </c>
      <c r="N139" s="86">
        <f>VLOOKUP($A139,'Data shares'!$C:$FA,78)</f>
        <v>51812744</v>
      </c>
      <c r="O139" s="87">
        <f>VLOOKUP($A139,'Data shares'!$C:$FA,81)</f>
        <v>8.6999999999999994E-3</v>
      </c>
    </row>
    <row r="140" spans="1:15" x14ac:dyDescent="0.25">
      <c r="A140" s="100" t="str">
        <f>'OI(Value)'!A140</f>
        <v>LTIM</v>
      </c>
      <c r="B140" s="82">
        <f>VLOOKUP(A140,'Data shares'!$C$2:$CV$231,98,0)</f>
        <v>4785750</v>
      </c>
      <c r="C140" s="82">
        <f>VLOOKUP(A140,'Data shares'!$C$2:$CX$231,100,0)</f>
        <v>-346950</v>
      </c>
      <c r="D140" s="141">
        <f>VLOOKUP(A140,'Data shares'!$C$2:$CY$554,101,0)</f>
        <v>-6.7599999999999993E-2</v>
      </c>
      <c r="E140" s="86">
        <f>VLOOKUP($A140,'Data shares'!$C:$FA,74)</f>
        <v>2833800</v>
      </c>
      <c r="F140" s="86">
        <f>VLOOKUP($A140,'Data shares'!$C:$FA,76)</f>
        <v>-79950</v>
      </c>
      <c r="G140" s="87">
        <f>VLOOKUP(A140,'Data shares'!$C$2:$CA$231,77,0)</f>
        <v>-2.7400000000000001E-2</v>
      </c>
      <c r="H140" s="86">
        <f>VLOOKUP($A140,'Data shares'!$C:$FA,90)</f>
        <v>1208850</v>
      </c>
      <c r="I140" s="86">
        <f>VLOOKUP($A140,'Data shares'!$C:$FA,92)</f>
        <v>-180750</v>
      </c>
      <c r="J140" s="87">
        <f>VLOOKUP($A140,'Data shares'!$C:$FA,93)</f>
        <v>-0.13009999999999999</v>
      </c>
      <c r="K140" s="86">
        <f>VLOOKUP($A140,'Data shares'!$C:$FA,94)</f>
        <v>743100</v>
      </c>
      <c r="L140" s="86">
        <f>VLOOKUP($A140,'Data shares'!$C:$FA,96)</f>
        <v>-86250</v>
      </c>
      <c r="M140" s="87">
        <f>VLOOKUP($A140,'Data shares'!$C:$FA,97)</f>
        <v>-0.104</v>
      </c>
      <c r="N140" s="86">
        <f>VLOOKUP($A140,'Data shares'!$C:$FA,78)</f>
        <v>2530650</v>
      </c>
      <c r="O140" s="87">
        <f>VLOOKUP($A140,'Data shares'!$C:$FA,81)</f>
        <v>-3.7400000000000003E-2</v>
      </c>
    </row>
    <row r="141" spans="1:15" x14ac:dyDescent="0.25">
      <c r="A141" s="100" t="str">
        <f>'OI(Value)'!A141</f>
        <v>LUPIN</v>
      </c>
      <c r="B141" s="82">
        <f>VLOOKUP(A141,'Data shares'!$C$2:$CV$231,98,0)</f>
        <v>18690225</v>
      </c>
      <c r="C141" s="82">
        <f>VLOOKUP(A141,'Data shares'!$C$2:$CX$231,100,0)</f>
        <v>461975</v>
      </c>
      <c r="D141" s="141">
        <f>VLOOKUP(A141,'Data shares'!$C$2:$CY$554,101,0)</f>
        <v>2.53E-2</v>
      </c>
      <c r="E141" s="86">
        <f>VLOOKUP($A141,'Data shares'!$C:$FA,74)</f>
        <v>12145225</v>
      </c>
      <c r="F141" s="86">
        <f>VLOOKUP($A141,'Data shares'!$C:$FA,76)</f>
        <v>156825</v>
      </c>
      <c r="G141" s="87">
        <f>VLOOKUP(A141,'Data shares'!$C$2:$CA$231,77,0)</f>
        <v>1.3100000000000001E-2</v>
      </c>
      <c r="H141" s="86">
        <f>VLOOKUP($A141,'Data shares'!$C:$FA,90)</f>
        <v>3983525</v>
      </c>
      <c r="I141" s="86">
        <f>VLOOKUP($A141,'Data shares'!$C:$FA,92)</f>
        <v>122825</v>
      </c>
      <c r="J141" s="87">
        <f>VLOOKUP($A141,'Data shares'!$C:$FA,93)</f>
        <v>3.1800000000000002E-2</v>
      </c>
      <c r="K141" s="86">
        <f>VLOOKUP($A141,'Data shares'!$C:$FA,94)</f>
        <v>2561475</v>
      </c>
      <c r="L141" s="86">
        <f>VLOOKUP($A141,'Data shares'!$C:$FA,96)</f>
        <v>182325</v>
      </c>
      <c r="M141" s="87">
        <f>VLOOKUP($A141,'Data shares'!$C:$FA,97)</f>
        <v>7.6600000000000001E-2</v>
      </c>
      <c r="N141" s="86">
        <f>VLOOKUP($A141,'Data shares'!$C:$FA,78)</f>
        <v>11251450</v>
      </c>
      <c r="O141" s="87">
        <f>VLOOKUP($A141,'Data shares'!$C:$FA,81)</f>
        <v>-2.0999999999999999E-3</v>
      </c>
    </row>
    <row r="142" spans="1:15" x14ac:dyDescent="0.25">
      <c r="A142" s="100" t="str">
        <f>'OI(Value)'!A142</f>
        <v>M&amp;M</v>
      </c>
      <c r="B142" s="82">
        <f>VLOOKUP(A142,'Data shares'!$C$2:$CV$231,98,0)</f>
        <v>33237800</v>
      </c>
      <c r="C142" s="82">
        <f>VLOOKUP(A142,'Data shares'!$C$2:$CX$231,100,0)</f>
        <v>-11400</v>
      </c>
      <c r="D142" s="141">
        <f>VLOOKUP(A142,'Data shares'!$C$2:$CY$554,101,0)</f>
        <v>-2.9999999999999997E-4</v>
      </c>
      <c r="E142" s="86">
        <f>VLOOKUP($A142,'Data shares'!$C:$FA,74)</f>
        <v>23689400</v>
      </c>
      <c r="F142" s="86">
        <f>VLOOKUP($A142,'Data shares'!$C:$FA,76)</f>
        <v>138200</v>
      </c>
      <c r="G142" s="87">
        <f>VLOOKUP(A142,'Data shares'!$C$2:$CA$231,77,0)</f>
        <v>5.8999999999999999E-3</v>
      </c>
      <c r="H142" s="86">
        <f>VLOOKUP($A142,'Data shares'!$C:$FA,90)</f>
        <v>5962400</v>
      </c>
      <c r="I142" s="86">
        <f>VLOOKUP($A142,'Data shares'!$C:$FA,92)</f>
        <v>-103400</v>
      </c>
      <c r="J142" s="87">
        <f>VLOOKUP($A142,'Data shares'!$C:$FA,93)</f>
        <v>-1.7000000000000001E-2</v>
      </c>
      <c r="K142" s="86">
        <f>VLOOKUP($A142,'Data shares'!$C:$FA,94)</f>
        <v>3586000</v>
      </c>
      <c r="L142" s="86">
        <f>VLOOKUP($A142,'Data shares'!$C:$FA,96)</f>
        <v>-46200</v>
      </c>
      <c r="M142" s="87">
        <f>VLOOKUP($A142,'Data shares'!$C:$FA,97)</f>
        <v>-1.2699999999999999E-2</v>
      </c>
      <c r="N142" s="86">
        <f>VLOOKUP($A142,'Data shares'!$C:$FA,78)</f>
        <v>21491000</v>
      </c>
      <c r="O142" s="87">
        <f>VLOOKUP($A142,'Data shares'!$C:$FA,81)</f>
        <v>-3.3E-3</v>
      </c>
    </row>
    <row r="143" spans="1:15" x14ac:dyDescent="0.25">
      <c r="A143" s="100" t="str">
        <f>'OI(Value)'!A143</f>
        <v>M&amp;MFIN</v>
      </c>
      <c r="B143" s="82">
        <f>VLOOKUP(A143,'Data shares'!$C$2:$CV$231,98,0)</f>
        <v>39843224</v>
      </c>
      <c r="C143" s="82">
        <f>VLOOKUP(A143,'Data shares'!$C$2:$CX$231,100,0)</f>
        <v>2861952</v>
      </c>
      <c r="D143" s="141">
        <f>VLOOKUP(A143,'Data shares'!$C$2:$CY$554,101,0)</f>
        <v>7.7399999999999997E-2</v>
      </c>
      <c r="E143" s="86">
        <f>VLOOKUP($A143,'Data shares'!$C:$FA,74)</f>
        <v>21390624</v>
      </c>
      <c r="F143" s="86">
        <f>VLOOKUP($A143,'Data shares'!$C:$FA,76)</f>
        <v>-501664</v>
      </c>
      <c r="G143" s="87">
        <f>VLOOKUP(A143,'Data shares'!$C$2:$CA$231,77,0)</f>
        <v>-2.29E-2</v>
      </c>
      <c r="H143" s="86">
        <f>VLOOKUP($A143,'Data shares'!$C:$FA,90)</f>
        <v>11893960</v>
      </c>
      <c r="I143" s="86">
        <f>VLOOKUP($A143,'Data shares'!$C:$FA,92)</f>
        <v>2843448</v>
      </c>
      <c r="J143" s="87">
        <f>VLOOKUP($A143,'Data shares'!$C:$FA,93)</f>
        <v>0.31419999999999998</v>
      </c>
      <c r="K143" s="86">
        <f>VLOOKUP($A143,'Data shares'!$C:$FA,94)</f>
        <v>6558640</v>
      </c>
      <c r="L143" s="86">
        <f>VLOOKUP($A143,'Data shares'!$C:$FA,96)</f>
        <v>520168</v>
      </c>
      <c r="M143" s="87">
        <f>VLOOKUP($A143,'Data shares'!$C:$FA,97)</f>
        <v>8.6099999999999996E-2</v>
      </c>
      <c r="N143" s="86">
        <f>VLOOKUP($A143,'Data shares'!$C:$FA,78)</f>
        <v>21390624</v>
      </c>
      <c r="O143" s="87">
        <f>VLOOKUP($A143,'Data shares'!$C:$FA,81)</f>
        <v>-2.29E-2</v>
      </c>
    </row>
    <row r="144" spans="1:15" x14ac:dyDescent="0.25">
      <c r="A144" s="100" t="str">
        <f>'OI(Value)'!A144</f>
        <v>MANAPPURAM</v>
      </c>
      <c r="B144" s="82">
        <f>VLOOKUP(A144,'Data shares'!$C$2:$CV$231,98,0)</f>
        <v>50034000</v>
      </c>
      <c r="C144" s="82">
        <f>VLOOKUP(A144,'Data shares'!$C$2:$CX$231,100,0)</f>
        <v>-1953000</v>
      </c>
      <c r="D144" s="141">
        <f>VLOOKUP(A144,'Data shares'!$C$2:$CY$554,101,0)</f>
        <v>-3.7600000000000001E-2</v>
      </c>
      <c r="E144" s="86">
        <f>VLOOKUP($A144,'Data shares'!$C:$FA,74)</f>
        <v>23538000</v>
      </c>
      <c r="F144" s="86">
        <f>VLOOKUP($A144,'Data shares'!$C:$FA,76)</f>
        <v>-930000</v>
      </c>
      <c r="G144" s="87">
        <f>VLOOKUP(A144,'Data shares'!$C$2:$CA$231,77,0)</f>
        <v>-3.7999999999999999E-2</v>
      </c>
      <c r="H144" s="86">
        <f>VLOOKUP($A144,'Data shares'!$C:$FA,90)</f>
        <v>16050000</v>
      </c>
      <c r="I144" s="86">
        <f>VLOOKUP($A144,'Data shares'!$C:$FA,92)</f>
        <v>-810000</v>
      </c>
      <c r="J144" s="87">
        <f>VLOOKUP($A144,'Data shares'!$C:$FA,93)</f>
        <v>-4.8000000000000001E-2</v>
      </c>
      <c r="K144" s="86">
        <f>VLOOKUP($A144,'Data shares'!$C:$FA,94)</f>
        <v>10446000</v>
      </c>
      <c r="L144" s="86">
        <f>VLOOKUP($A144,'Data shares'!$C:$FA,96)</f>
        <v>-213000</v>
      </c>
      <c r="M144" s="87">
        <f>VLOOKUP($A144,'Data shares'!$C:$FA,97)</f>
        <v>-0.02</v>
      </c>
      <c r="N144" s="86">
        <f>VLOOKUP($A144,'Data shares'!$C:$FA,78)</f>
        <v>21777000</v>
      </c>
      <c r="O144" s="87">
        <f>VLOOKUP($A144,'Data shares'!$C:$FA,81)</f>
        <v>-4.4400000000000002E-2</v>
      </c>
    </row>
    <row r="145" spans="1:15" x14ac:dyDescent="0.25">
      <c r="A145" s="100" t="str">
        <f>'OI(Value)'!A145</f>
        <v>MANKIND</v>
      </c>
      <c r="B145" s="82">
        <f>VLOOKUP(A145,'Data shares'!$C$2:$CV$231,98,0)</f>
        <v>2873700</v>
      </c>
      <c r="C145" s="82">
        <f>VLOOKUP(A145,'Data shares'!$C$2:$CX$231,100,0)</f>
        <v>-204075</v>
      </c>
      <c r="D145" s="141">
        <f>VLOOKUP(A145,'Data shares'!$C$2:$CY$554,101,0)</f>
        <v>-6.6299999999999998E-2</v>
      </c>
      <c r="E145" s="86">
        <f>VLOOKUP($A145,'Data shares'!$C:$FA,74)</f>
        <v>1337400</v>
      </c>
      <c r="F145" s="86">
        <f>VLOOKUP($A145,'Data shares'!$C:$FA,76)</f>
        <v>-43875</v>
      </c>
      <c r="G145" s="87">
        <f>VLOOKUP(A145,'Data shares'!$C$2:$CA$231,77,0)</f>
        <v>-3.1800000000000002E-2</v>
      </c>
      <c r="H145" s="86">
        <f>VLOOKUP($A145,'Data shares'!$C:$FA,90)</f>
        <v>991800</v>
      </c>
      <c r="I145" s="86">
        <f>VLOOKUP($A145,'Data shares'!$C:$FA,92)</f>
        <v>-110475</v>
      </c>
      <c r="J145" s="87">
        <f>VLOOKUP($A145,'Data shares'!$C:$FA,93)</f>
        <v>-0.1002</v>
      </c>
      <c r="K145" s="86">
        <f>VLOOKUP($A145,'Data shares'!$C:$FA,94)</f>
        <v>544500</v>
      </c>
      <c r="L145" s="86">
        <f>VLOOKUP($A145,'Data shares'!$C:$FA,96)</f>
        <v>-49725</v>
      </c>
      <c r="M145" s="87">
        <f>VLOOKUP($A145,'Data shares'!$C:$FA,97)</f>
        <v>-8.3699999999999997E-2</v>
      </c>
      <c r="N145" s="86">
        <f>VLOOKUP($A145,'Data shares'!$C:$FA,78)</f>
        <v>1256175</v>
      </c>
      <c r="O145" s="87">
        <f>VLOOKUP($A145,'Data shares'!$C:$FA,81)</f>
        <v>-3.6700000000000003E-2</v>
      </c>
    </row>
    <row r="146" spans="1:15" x14ac:dyDescent="0.25">
      <c r="A146" s="100" t="str">
        <f>'OI(Value)'!A146</f>
        <v>MARICO</v>
      </c>
      <c r="B146" s="82">
        <f>VLOOKUP(A146,'Data shares'!$C$2:$CV$231,98,0)</f>
        <v>31831200</v>
      </c>
      <c r="C146" s="82">
        <f>VLOOKUP(A146,'Data shares'!$C$2:$CX$231,100,0)</f>
        <v>-441600</v>
      </c>
      <c r="D146" s="141">
        <f>VLOOKUP(A146,'Data shares'!$C$2:$CY$554,101,0)</f>
        <v>-1.37E-2</v>
      </c>
      <c r="E146" s="86">
        <f>VLOOKUP($A146,'Data shares'!$C:$FA,74)</f>
        <v>20026800</v>
      </c>
      <c r="F146" s="86">
        <f>VLOOKUP($A146,'Data shares'!$C:$FA,76)</f>
        <v>-302400</v>
      </c>
      <c r="G146" s="87">
        <f>VLOOKUP(A146,'Data shares'!$C$2:$CA$231,77,0)</f>
        <v>-1.49E-2</v>
      </c>
      <c r="H146" s="86">
        <f>VLOOKUP($A146,'Data shares'!$C:$FA,90)</f>
        <v>7623600</v>
      </c>
      <c r="I146" s="86">
        <f>VLOOKUP($A146,'Data shares'!$C:$FA,92)</f>
        <v>-88800</v>
      </c>
      <c r="J146" s="87">
        <f>VLOOKUP($A146,'Data shares'!$C:$FA,93)</f>
        <v>-1.15E-2</v>
      </c>
      <c r="K146" s="86">
        <f>VLOOKUP($A146,'Data shares'!$C:$FA,94)</f>
        <v>4180800</v>
      </c>
      <c r="L146" s="86">
        <f>VLOOKUP($A146,'Data shares'!$C:$FA,96)</f>
        <v>-50400</v>
      </c>
      <c r="M146" s="87">
        <f>VLOOKUP($A146,'Data shares'!$C:$FA,97)</f>
        <v>-1.1900000000000001E-2</v>
      </c>
      <c r="N146" s="86">
        <f>VLOOKUP($A146,'Data shares'!$C:$FA,78)</f>
        <v>19153200</v>
      </c>
      <c r="O146" s="87">
        <f>VLOOKUP($A146,'Data shares'!$C:$FA,81)</f>
        <v>-1.7399999999999999E-2</v>
      </c>
    </row>
    <row r="147" spans="1:15" x14ac:dyDescent="0.25">
      <c r="A147" s="100" t="str">
        <f>'OI(Value)'!A147</f>
        <v>MARUTI</v>
      </c>
      <c r="B147" s="82">
        <f>VLOOKUP(A147,'Data shares'!$C$2:$CV$231,98,0)</f>
        <v>7233600</v>
      </c>
      <c r="C147" s="82">
        <f>VLOOKUP(A147,'Data shares'!$C$2:$CX$231,100,0)</f>
        <v>-25700</v>
      </c>
      <c r="D147" s="141">
        <f>VLOOKUP(A147,'Data shares'!$C$2:$CY$554,101,0)</f>
        <v>-3.5000000000000001E-3</v>
      </c>
      <c r="E147" s="86">
        <f>VLOOKUP($A147,'Data shares'!$C:$FA,74)</f>
        <v>3037950</v>
      </c>
      <c r="F147" s="86">
        <f>VLOOKUP($A147,'Data shares'!$C:$FA,76)</f>
        <v>-24550</v>
      </c>
      <c r="G147" s="87">
        <f>VLOOKUP(A147,'Data shares'!$C$2:$CA$231,77,0)</f>
        <v>-8.0000000000000002E-3</v>
      </c>
      <c r="H147" s="86">
        <f>VLOOKUP($A147,'Data shares'!$C:$FA,90)</f>
        <v>3197300</v>
      </c>
      <c r="I147" s="86">
        <f>VLOOKUP($A147,'Data shares'!$C:$FA,92)</f>
        <v>-35750</v>
      </c>
      <c r="J147" s="87">
        <f>VLOOKUP($A147,'Data shares'!$C:$FA,93)</f>
        <v>-1.11E-2</v>
      </c>
      <c r="K147" s="86">
        <f>VLOOKUP($A147,'Data shares'!$C:$FA,94)</f>
        <v>998350</v>
      </c>
      <c r="L147" s="86">
        <f>VLOOKUP($A147,'Data shares'!$C:$FA,96)</f>
        <v>34600</v>
      </c>
      <c r="M147" s="87">
        <f>VLOOKUP($A147,'Data shares'!$C:$FA,97)</f>
        <v>3.5900000000000001E-2</v>
      </c>
      <c r="N147" s="86">
        <f>VLOOKUP($A147,'Data shares'!$C:$FA,78)</f>
        <v>2830450</v>
      </c>
      <c r="O147" s="87">
        <f>VLOOKUP($A147,'Data shares'!$C:$FA,81)</f>
        <v>-1.03E-2</v>
      </c>
    </row>
    <row r="148" spans="1:15" x14ac:dyDescent="0.25">
      <c r="A148" s="100" t="str">
        <f>'OI(Value)'!A148</f>
        <v>MAXHEALTH</v>
      </c>
      <c r="B148" s="82">
        <f>VLOOKUP(A148,'Data shares'!$C$2:$CV$231,98,0)</f>
        <v>16380000</v>
      </c>
      <c r="C148" s="82">
        <f>VLOOKUP(A148,'Data shares'!$C$2:$CX$231,100,0)</f>
        <v>-145950</v>
      </c>
      <c r="D148" s="141">
        <f>VLOOKUP(A148,'Data shares'!$C$2:$CY$554,101,0)</f>
        <v>-8.8000000000000005E-3</v>
      </c>
      <c r="E148" s="86">
        <f>VLOOKUP($A148,'Data shares'!$C:$FA,74)</f>
        <v>11779950</v>
      </c>
      <c r="F148" s="86">
        <f>VLOOKUP($A148,'Data shares'!$C:$FA,76)</f>
        <v>47250</v>
      </c>
      <c r="G148" s="87">
        <f>VLOOKUP(A148,'Data shares'!$C$2:$CA$231,77,0)</f>
        <v>4.0000000000000001E-3</v>
      </c>
      <c r="H148" s="86">
        <f>VLOOKUP($A148,'Data shares'!$C:$FA,90)</f>
        <v>3353700</v>
      </c>
      <c r="I148" s="86">
        <f>VLOOKUP($A148,'Data shares'!$C:$FA,92)</f>
        <v>-170625</v>
      </c>
      <c r="J148" s="87">
        <f>VLOOKUP($A148,'Data shares'!$C:$FA,93)</f>
        <v>-4.8399999999999999E-2</v>
      </c>
      <c r="K148" s="86">
        <f>VLOOKUP($A148,'Data shares'!$C:$FA,94)</f>
        <v>1246350</v>
      </c>
      <c r="L148" s="86">
        <f>VLOOKUP($A148,'Data shares'!$C:$FA,96)</f>
        <v>-22575</v>
      </c>
      <c r="M148" s="87">
        <f>VLOOKUP($A148,'Data shares'!$C:$FA,97)</f>
        <v>-1.78E-2</v>
      </c>
      <c r="N148" s="86">
        <f>VLOOKUP($A148,'Data shares'!$C:$FA,78)</f>
        <v>11306400</v>
      </c>
      <c r="O148" s="87">
        <f>VLOOKUP($A148,'Data shares'!$C:$FA,81)</f>
        <v>4.1000000000000003E-3</v>
      </c>
    </row>
    <row r="149" spans="1:15" x14ac:dyDescent="0.25">
      <c r="A149" s="100" t="str">
        <f>'OI(Value)'!A149</f>
        <v>MAZDOCK</v>
      </c>
      <c r="B149" s="82">
        <f>VLOOKUP(A149,'Data shares'!$C$2:$CV$231,98,0)</f>
        <v>7911400</v>
      </c>
      <c r="C149" s="82">
        <f>VLOOKUP(A149,'Data shares'!$C$2:$CX$231,100,0)</f>
        <v>389900</v>
      </c>
      <c r="D149" s="141">
        <f>VLOOKUP(A149,'Data shares'!$C$2:$CY$554,101,0)</f>
        <v>5.1799999999999999E-2</v>
      </c>
      <c r="E149" s="86">
        <f>VLOOKUP($A149,'Data shares'!$C:$FA,74)</f>
        <v>3672900</v>
      </c>
      <c r="F149" s="86">
        <f>VLOOKUP($A149,'Data shares'!$C:$FA,76)</f>
        <v>85225</v>
      </c>
      <c r="G149" s="87">
        <f>VLOOKUP(A149,'Data shares'!$C$2:$CA$231,77,0)</f>
        <v>2.3800000000000002E-2</v>
      </c>
      <c r="H149" s="86">
        <f>VLOOKUP($A149,'Data shares'!$C:$FA,90)</f>
        <v>2989175</v>
      </c>
      <c r="I149" s="86">
        <f>VLOOKUP($A149,'Data shares'!$C:$FA,92)</f>
        <v>274050</v>
      </c>
      <c r="J149" s="87">
        <f>VLOOKUP($A149,'Data shares'!$C:$FA,93)</f>
        <v>0.1009</v>
      </c>
      <c r="K149" s="86">
        <f>VLOOKUP($A149,'Data shares'!$C:$FA,94)</f>
        <v>1249325</v>
      </c>
      <c r="L149" s="86">
        <f>VLOOKUP($A149,'Data shares'!$C:$FA,96)</f>
        <v>30625</v>
      </c>
      <c r="M149" s="87">
        <f>VLOOKUP($A149,'Data shares'!$C:$FA,97)</f>
        <v>2.5100000000000001E-2</v>
      </c>
      <c r="N149" s="86">
        <f>VLOOKUP($A149,'Data shares'!$C:$FA,78)</f>
        <v>3209150</v>
      </c>
      <c r="O149" s="87">
        <f>VLOOKUP($A149,'Data shares'!$C:$FA,81)</f>
        <v>-7.0000000000000001E-3</v>
      </c>
    </row>
    <row r="150" spans="1:15" x14ac:dyDescent="0.25">
      <c r="A150" s="100" t="str">
        <f>'OI(Value)'!A150</f>
        <v>MCX</v>
      </c>
      <c r="B150" s="82">
        <f>VLOOKUP(A150,'Data shares'!$C$2:$CV$231,98,0)</f>
        <v>8129875</v>
      </c>
      <c r="C150" s="82">
        <f>VLOOKUP(A150,'Data shares'!$C$2:$CX$231,100,0)</f>
        <v>399250</v>
      </c>
      <c r="D150" s="141">
        <f>VLOOKUP(A150,'Data shares'!$C$2:$CY$554,101,0)</f>
        <v>5.16E-2</v>
      </c>
      <c r="E150" s="86">
        <f>VLOOKUP($A150,'Data shares'!$C:$FA,74)</f>
        <v>2748000</v>
      </c>
      <c r="F150" s="86">
        <f>VLOOKUP($A150,'Data shares'!$C:$FA,76)</f>
        <v>84625</v>
      </c>
      <c r="G150" s="87">
        <f>VLOOKUP(A150,'Data shares'!$C$2:$CA$231,77,0)</f>
        <v>3.1800000000000002E-2</v>
      </c>
      <c r="H150" s="86">
        <f>VLOOKUP($A150,'Data shares'!$C:$FA,90)</f>
        <v>3495750</v>
      </c>
      <c r="I150" s="86">
        <f>VLOOKUP($A150,'Data shares'!$C:$FA,92)</f>
        <v>284875</v>
      </c>
      <c r="J150" s="87">
        <f>VLOOKUP($A150,'Data shares'!$C:$FA,93)</f>
        <v>8.8700000000000001E-2</v>
      </c>
      <c r="K150" s="86">
        <f>VLOOKUP($A150,'Data shares'!$C:$FA,94)</f>
        <v>1886125</v>
      </c>
      <c r="L150" s="86">
        <f>VLOOKUP($A150,'Data shares'!$C:$FA,96)</f>
        <v>29750</v>
      </c>
      <c r="M150" s="87">
        <f>VLOOKUP($A150,'Data shares'!$C:$FA,97)</f>
        <v>1.6E-2</v>
      </c>
      <c r="N150" s="86">
        <f>VLOOKUP($A150,'Data shares'!$C:$FA,78)</f>
        <v>2434375</v>
      </c>
      <c r="O150" s="87">
        <f>VLOOKUP($A150,'Data shares'!$C:$FA,81)</f>
        <v>4.3E-3</v>
      </c>
    </row>
    <row r="151" spans="1:15" x14ac:dyDescent="0.25">
      <c r="A151" s="100" t="str">
        <f>'OI(Value)'!A151</f>
        <v>MFSL</v>
      </c>
      <c r="B151" s="82">
        <f>VLOOKUP(A151,'Data shares'!$C$2:$CV$231,98,0)</f>
        <v>9157600</v>
      </c>
      <c r="C151" s="82">
        <f>VLOOKUP(A151,'Data shares'!$C$2:$CX$231,100,0)</f>
        <v>139200</v>
      </c>
      <c r="D151" s="141">
        <f>VLOOKUP(A151,'Data shares'!$C$2:$CY$554,101,0)</f>
        <v>1.54E-2</v>
      </c>
      <c r="E151" s="86">
        <f>VLOOKUP($A151,'Data shares'!$C:$FA,74)</f>
        <v>6045600</v>
      </c>
      <c r="F151" s="86">
        <f>VLOOKUP($A151,'Data shares'!$C:$FA,76)</f>
        <v>208000</v>
      </c>
      <c r="G151" s="87">
        <f>VLOOKUP(A151,'Data shares'!$C$2:$CA$231,77,0)</f>
        <v>3.56E-2</v>
      </c>
      <c r="H151" s="86">
        <f>VLOOKUP($A151,'Data shares'!$C:$FA,90)</f>
        <v>1706400</v>
      </c>
      <c r="I151" s="86">
        <f>VLOOKUP($A151,'Data shares'!$C:$FA,92)</f>
        <v>-49600</v>
      </c>
      <c r="J151" s="87">
        <f>VLOOKUP($A151,'Data shares'!$C:$FA,93)</f>
        <v>-2.8199999999999999E-2</v>
      </c>
      <c r="K151" s="86">
        <f>VLOOKUP($A151,'Data shares'!$C:$FA,94)</f>
        <v>1405600</v>
      </c>
      <c r="L151" s="86">
        <f>VLOOKUP($A151,'Data shares'!$C:$FA,96)</f>
        <v>-19200</v>
      </c>
      <c r="M151" s="87">
        <f>VLOOKUP($A151,'Data shares'!$C:$FA,97)</f>
        <v>-1.35E-2</v>
      </c>
      <c r="N151" s="86">
        <f>VLOOKUP($A151,'Data shares'!$C:$FA,78)</f>
        <v>5702400</v>
      </c>
      <c r="O151" s="87">
        <f>VLOOKUP($A151,'Data shares'!$C:$FA,81)</f>
        <v>6.6E-3</v>
      </c>
    </row>
    <row r="152" spans="1:15" x14ac:dyDescent="0.25">
      <c r="A152" s="100" t="str">
        <f>'OI(Value)'!A152</f>
        <v>MGL</v>
      </c>
      <c r="B152" s="82">
        <f>VLOOKUP(A152,'Data shares'!$C$2:$CV$231,98,0)</f>
        <v>7166400</v>
      </c>
      <c r="C152" s="82">
        <f>VLOOKUP(A152,'Data shares'!$C$2:$CX$231,100,0)</f>
        <v>2136400</v>
      </c>
      <c r="D152" s="141">
        <f>VLOOKUP(A152,'Data shares'!$C$2:$CY$554,101,0)</f>
        <v>0.42470000000000002</v>
      </c>
      <c r="E152" s="86">
        <f>VLOOKUP($A152,'Data shares'!$C:$FA,74)</f>
        <v>1902400</v>
      </c>
      <c r="F152" s="86">
        <f>VLOOKUP($A152,'Data shares'!$C:$FA,76)</f>
        <v>43600</v>
      </c>
      <c r="G152" s="87">
        <f>VLOOKUP(A152,'Data shares'!$C$2:$CA$231,77,0)</f>
        <v>2.35E-2</v>
      </c>
      <c r="H152" s="86">
        <f>VLOOKUP($A152,'Data shares'!$C:$FA,90)</f>
        <v>3577600</v>
      </c>
      <c r="I152" s="86">
        <f>VLOOKUP($A152,'Data shares'!$C:$FA,92)</f>
        <v>1773200</v>
      </c>
      <c r="J152" s="87">
        <f>VLOOKUP($A152,'Data shares'!$C:$FA,93)</f>
        <v>0.98270000000000002</v>
      </c>
      <c r="K152" s="86">
        <f>VLOOKUP($A152,'Data shares'!$C:$FA,94)</f>
        <v>1686400</v>
      </c>
      <c r="L152" s="86">
        <f>VLOOKUP($A152,'Data shares'!$C:$FA,96)</f>
        <v>319600</v>
      </c>
      <c r="M152" s="87">
        <f>VLOOKUP($A152,'Data shares'!$C:$FA,97)</f>
        <v>0.23380000000000001</v>
      </c>
      <c r="N152" s="86">
        <f>VLOOKUP($A152,'Data shares'!$C:$FA,78)</f>
        <v>1902400</v>
      </c>
      <c r="O152" s="87">
        <f>VLOOKUP($A152,'Data shares'!$C:$FA,81)</f>
        <v>2.35E-2</v>
      </c>
    </row>
    <row r="153" spans="1:15" x14ac:dyDescent="0.25">
      <c r="A153" s="100" t="str">
        <f>'OI(Value)'!A153</f>
        <v>MIDCPNIFTY</v>
      </c>
      <c r="B153" s="82">
        <f>VLOOKUP(A153,'Data shares'!$C$2:$CV$231,98,0)</f>
        <v>23615480</v>
      </c>
      <c r="C153" s="82">
        <f>VLOOKUP(A153,'Data shares'!$C$2:$CX$231,100,0)</f>
        <v>2105040</v>
      </c>
      <c r="D153" s="141">
        <f>VLOOKUP(A153,'Data shares'!$C$2:$CY$554,101,0)</f>
        <v>9.7900000000000001E-2</v>
      </c>
      <c r="E153" s="86">
        <f>VLOOKUP($A153,'Data shares'!$C:$FA,74)</f>
        <v>2296700</v>
      </c>
      <c r="F153" s="86">
        <f>VLOOKUP($A153,'Data shares'!$C:$FA,76)</f>
        <v>-39620</v>
      </c>
      <c r="G153" s="87">
        <f>VLOOKUP(A153,'Data shares'!$C$2:$CA$231,77,0)</f>
        <v>-1.7000000000000001E-2</v>
      </c>
      <c r="H153" s="86">
        <f>VLOOKUP($A153,'Data shares'!$C:$FA,90)</f>
        <v>11876900</v>
      </c>
      <c r="I153" s="86">
        <f>VLOOKUP($A153,'Data shares'!$C:$FA,92)</f>
        <v>1719200</v>
      </c>
      <c r="J153" s="87">
        <f>VLOOKUP($A153,'Data shares'!$C:$FA,93)</f>
        <v>0.16930000000000001</v>
      </c>
      <c r="K153" s="86">
        <f>VLOOKUP($A153,'Data shares'!$C:$FA,94)</f>
        <v>9441880</v>
      </c>
      <c r="L153" s="86">
        <f>VLOOKUP($A153,'Data shares'!$C:$FA,96)</f>
        <v>425460</v>
      </c>
      <c r="M153" s="87">
        <f>VLOOKUP($A153,'Data shares'!$C:$FA,97)</f>
        <v>4.7199999999999999E-2</v>
      </c>
      <c r="N153" s="86">
        <f>VLOOKUP($A153,'Data shares'!$C:$FA,78)</f>
        <v>2145360</v>
      </c>
      <c r="O153" s="87">
        <f>VLOOKUP($A153,'Data shares'!$C:$FA,81)</f>
        <v>-2.3300000000000001E-2</v>
      </c>
    </row>
    <row r="154" spans="1:15" x14ac:dyDescent="0.25">
      <c r="A154" s="100" t="str">
        <f>'OI(Value)'!A154</f>
        <v>MOTHERSON</v>
      </c>
      <c r="B154" s="82">
        <f>VLOOKUP(A154,'Data shares'!$C$2:$CV$231,98,0)</f>
        <v>220096200</v>
      </c>
      <c r="C154" s="82">
        <f>VLOOKUP(A154,'Data shares'!$C$2:$CX$231,100,0)</f>
        <v>7257000</v>
      </c>
      <c r="D154" s="141">
        <f>VLOOKUP(A154,'Data shares'!$C$2:$CY$554,101,0)</f>
        <v>3.4099999999999998E-2</v>
      </c>
      <c r="E154" s="86">
        <f>VLOOKUP($A154,'Data shares'!$C:$FA,74)</f>
        <v>148620900</v>
      </c>
      <c r="F154" s="86">
        <f>VLOOKUP($A154,'Data shares'!$C:$FA,76)</f>
        <v>2466150</v>
      </c>
      <c r="G154" s="87">
        <f>VLOOKUP(A154,'Data shares'!$C$2:$CA$231,77,0)</f>
        <v>1.6899999999999998E-2</v>
      </c>
      <c r="H154" s="86">
        <f>VLOOKUP($A154,'Data shares'!$C:$FA,90)</f>
        <v>46819950</v>
      </c>
      <c r="I154" s="86">
        <f>VLOOKUP($A154,'Data shares'!$C:$FA,92)</f>
        <v>3942150</v>
      </c>
      <c r="J154" s="87">
        <f>VLOOKUP($A154,'Data shares'!$C:$FA,93)</f>
        <v>9.1899999999999996E-2</v>
      </c>
      <c r="K154" s="86">
        <f>VLOOKUP($A154,'Data shares'!$C:$FA,94)</f>
        <v>24655350</v>
      </c>
      <c r="L154" s="86">
        <f>VLOOKUP($A154,'Data shares'!$C:$FA,96)</f>
        <v>848700</v>
      </c>
      <c r="M154" s="87">
        <f>VLOOKUP($A154,'Data shares'!$C:$FA,97)</f>
        <v>3.56E-2</v>
      </c>
      <c r="N154" s="86">
        <f>VLOOKUP($A154,'Data shares'!$C:$FA,78)</f>
        <v>137575500</v>
      </c>
      <c r="O154" s="87">
        <f>VLOOKUP($A154,'Data shares'!$C:$FA,81)</f>
        <v>4.0000000000000002E-4</v>
      </c>
    </row>
    <row r="155" spans="1:15" x14ac:dyDescent="0.25">
      <c r="A155" s="100" t="str">
        <f>'OI(Value)'!A155</f>
        <v>MPHASIS</v>
      </c>
      <c r="B155" s="82">
        <f>VLOOKUP(A155,'Data shares'!$C$2:$CV$231,98,0)</f>
        <v>6457000</v>
      </c>
      <c r="C155" s="82">
        <f>VLOOKUP(A155,'Data shares'!$C$2:$CX$231,100,0)</f>
        <v>-240075</v>
      </c>
      <c r="D155" s="141">
        <f>VLOOKUP(A155,'Data shares'!$C$2:$CY$554,101,0)</f>
        <v>-3.5799999999999998E-2</v>
      </c>
      <c r="E155" s="86">
        <f>VLOOKUP($A155,'Data shares'!$C:$FA,74)</f>
        <v>4518250</v>
      </c>
      <c r="F155" s="86">
        <f>VLOOKUP($A155,'Data shares'!$C:$FA,76)</f>
        <v>-199100</v>
      </c>
      <c r="G155" s="87">
        <f>VLOOKUP(A155,'Data shares'!$C$2:$CA$231,77,0)</f>
        <v>-4.2200000000000001E-2</v>
      </c>
      <c r="H155" s="86">
        <f>VLOOKUP($A155,'Data shares'!$C:$FA,90)</f>
        <v>986700</v>
      </c>
      <c r="I155" s="86">
        <f>VLOOKUP($A155,'Data shares'!$C:$FA,92)</f>
        <v>-27775</v>
      </c>
      <c r="J155" s="87">
        <f>VLOOKUP($A155,'Data shares'!$C:$FA,93)</f>
        <v>-2.7400000000000001E-2</v>
      </c>
      <c r="K155" s="86">
        <f>VLOOKUP($A155,'Data shares'!$C:$FA,94)</f>
        <v>952050</v>
      </c>
      <c r="L155" s="86">
        <f>VLOOKUP($A155,'Data shares'!$C:$FA,96)</f>
        <v>-13200</v>
      </c>
      <c r="M155" s="87">
        <f>VLOOKUP($A155,'Data shares'!$C:$FA,97)</f>
        <v>-1.37E-2</v>
      </c>
      <c r="N155" s="86">
        <f>VLOOKUP($A155,'Data shares'!$C:$FA,78)</f>
        <v>4425025</v>
      </c>
      <c r="O155" s="87">
        <f>VLOOKUP($A155,'Data shares'!$C:$FA,81)</f>
        <v>-4.4299999999999999E-2</v>
      </c>
    </row>
    <row r="156" spans="1:15" x14ac:dyDescent="0.25">
      <c r="A156" s="100" t="str">
        <f>'OI(Value)'!A156</f>
        <v>MUTHOOTFIN</v>
      </c>
      <c r="B156" s="82">
        <f>VLOOKUP(A156,'Data shares'!$C$2:$CV$231,98,0)</f>
        <v>8700175</v>
      </c>
      <c r="C156" s="82">
        <f>VLOOKUP(A156,'Data shares'!$C$2:$CX$231,100,0)</f>
        <v>33000</v>
      </c>
      <c r="D156" s="141">
        <f>VLOOKUP(A156,'Data shares'!$C$2:$CY$554,101,0)</f>
        <v>3.8E-3</v>
      </c>
      <c r="E156" s="86">
        <f>VLOOKUP($A156,'Data shares'!$C:$FA,74)</f>
        <v>4754750</v>
      </c>
      <c r="F156" s="86">
        <f>VLOOKUP($A156,'Data shares'!$C:$FA,76)</f>
        <v>148500</v>
      </c>
      <c r="G156" s="87">
        <f>VLOOKUP(A156,'Data shares'!$C$2:$CA$231,77,0)</f>
        <v>3.2199999999999999E-2</v>
      </c>
      <c r="H156" s="86">
        <f>VLOOKUP($A156,'Data shares'!$C:$FA,90)</f>
        <v>2820400</v>
      </c>
      <c r="I156" s="86">
        <f>VLOOKUP($A156,'Data shares'!$C:$FA,92)</f>
        <v>-87725</v>
      </c>
      <c r="J156" s="87">
        <f>VLOOKUP($A156,'Data shares'!$C:$FA,93)</f>
        <v>-3.0200000000000001E-2</v>
      </c>
      <c r="K156" s="86">
        <f>VLOOKUP($A156,'Data shares'!$C:$FA,94)</f>
        <v>1125025</v>
      </c>
      <c r="L156" s="86">
        <f>VLOOKUP($A156,'Data shares'!$C:$FA,96)</f>
        <v>-27775</v>
      </c>
      <c r="M156" s="87">
        <f>VLOOKUP($A156,'Data shares'!$C:$FA,97)</f>
        <v>-2.41E-2</v>
      </c>
      <c r="N156" s="86">
        <f>VLOOKUP($A156,'Data shares'!$C:$FA,78)</f>
        <v>4326300</v>
      </c>
      <c r="O156" s="87">
        <f>VLOOKUP($A156,'Data shares'!$C:$FA,81)</f>
        <v>2.2100000000000002E-2</v>
      </c>
    </row>
    <row r="157" spans="1:15" x14ac:dyDescent="0.25">
      <c r="A157" s="100" t="str">
        <f>'OI(Value)'!A157</f>
        <v>NATIONALUM</v>
      </c>
      <c r="B157" s="82">
        <f>VLOOKUP(A157,'Data shares'!$C$2:$CV$231,98,0)</f>
        <v>115496250</v>
      </c>
      <c r="C157" s="82">
        <f>VLOOKUP(A157,'Data shares'!$C$2:$CX$231,100,0)</f>
        <v>11250</v>
      </c>
      <c r="D157" s="141">
        <f>VLOOKUP(A157,'Data shares'!$C$2:$CY$554,101,0)</f>
        <v>1E-4</v>
      </c>
      <c r="E157" s="86">
        <f>VLOOKUP($A157,'Data shares'!$C:$FA,74)</f>
        <v>70515000</v>
      </c>
      <c r="F157" s="86">
        <f>VLOOKUP($A157,'Data shares'!$C:$FA,76)</f>
        <v>952500</v>
      </c>
      <c r="G157" s="87">
        <f>VLOOKUP(A157,'Data shares'!$C$2:$CA$231,77,0)</f>
        <v>1.37E-2</v>
      </c>
      <c r="H157" s="86">
        <f>VLOOKUP($A157,'Data shares'!$C:$FA,90)</f>
        <v>26336250</v>
      </c>
      <c r="I157" s="86">
        <f>VLOOKUP($A157,'Data shares'!$C:$FA,92)</f>
        <v>-1222500</v>
      </c>
      <c r="J157" s="87">
        <f>VLOOKUP($A157,'Data shares'!$C:$FA,93)</f>
        <v>-4.4400000000000002E-2</v>
      </c>
      <c r="K157" s="86">
        <f>VLOOKUP($A157,'Data shares'!$C:$FA,94)</f>
        <v>18645000</v>
      </c>
      <c r="L157" s="86">
        <f>VLOOKUP($A157,'Data shares'!$C:$FA,96)</f>
        <v>281250</v>
      </c>
      <c r="M157" s="87">
        <f>VLOOKUP($A157,'Data shares'!$C:$FA,97)</f>
        <v>1.5299999999999999E-2</v>
      </c>
      <c r="N157" s="86">
        <f>VLOOKUP($A157,'Data shares'!$C:$FA,78)</f>
        <v>63378750</v>
      </c>
      <c r="O157" s="87">
        <f>VLOOKUP($A157,'Data shares'!$C:$FA,81)</f>
        <v>-2.3999999999999998E-3</v>
      </c>
    </row>
    <row r="158" spans="1:15" x14ac:dyDescent="0.25">
      <c r="A158" s="100" t="str">
        <f>'OI(Value)'!A158</f>
        <v>NAUKRI</v>
      </c>
      <c r="B158" s="82">
        <f>VLOOKUP(A158,'Data shares'!$C$2:$CV$231,98,0)</f>
        <v>16617750</v>
      </c>
      <c r="C158" s="82">
        <f>VLOOKUP(A158,'Data shares'!$C$2:$CX$231,100,0)</f>
        <v>-202875</v>
      </c>
      <c r="D158" s="141">
        <f>VLOOKUP(A158,'Data shares'!$C$2:$CY$554,101,0)</f>
        <v>-1.21E-2</v>
      </c>
      <c r="E158" s="86">
        <f>VLOOKUP($A158,'Data shares'!$C:$FA,74)</f>
        <v>12187875</v>
      </c>
      <c r="F158" s="86">
        <f>VLOOKUP($A158,'Data shares'!$C:$FA,76)</f>
        <v>19125</v>
      </c>
      <c r="G158" s="87">
        <f>VLOOKUP(A158,'Data shares'!$C$2:$CA$231,77,0)</f>
        <v>1.6000000000000001E-3</v>
      </c>
      <c r="H158" s="86">
        <f>VLOOKUP($A158,'Data shares'!$C:$FA,90)</f>
        <v>2940750</v>
      </c>
      <c r="I158" s="86">
        <f>VLOOKUP($A158,'Data shares'!$C:$FA,92)</f>
        <v>-253875</v>
      </c>
      <c r="J158" s="87">
        <f>VLOOKUP($A158,'Data shares'!$C:$FA,93)</f>
        <v>-7.9500000000000001E-2</v>
      </c>
      <c r="K158" s="86">
        <f>VLOOKUP($A158,'Data shares'!$C:$FA,94)</f>
        <v>1489125</v>
      </c>
      <c r="L158" s="86">
        <f>VLOOKUP($A158,'Data shares'!$C:$FA,96)</f>
        <v>31875</v>
      </c>
      <c r="M158" s="87">
        <f>VLOOKUP($A158,'Data shares'!$C:$FA,97)</f>
        <v>2.1899999999999999E-2</v>
      </c>
      <c r="N158" s="86">
        <f>VLOOKUP($A158,'Data shares'!$C:$FA,78)</f>
        <v>11755875</v>
      </c>
      <c r="O158" s="87">
        <f>VLOOKUP($A158,'Data shares'!$C:$FA,81)</f>
        <v>-1.34E-2</v>
      </c>
    </row>
    <row r="159" spans="1:15" x14ac:dyDescent="0.25">
      <c r="A159" s="100" t="str">
        <f>'OI(Value)'!A159</f>
        <v>NBCC</v>
      </c>
      <c r="B159" s="82">
        <f>VLOOKUP(A159,'Data shares'!$C$2:$CV$231,98,0)</f>
        <v>104728000</v>
      </c>
      <c r="C159" s="82">
        <f>VLOOKUP(A159,'Data shares'!$C$2:$CX$231,100,0)</f>
        <v>-994500</v>
      </c>
      <c r="D159" s="141">
        <f>VLOOKUP(A159,'Data shares'!$C$2:$CY$554,101,0)</f>
        <v>-9.4000000000000004E-3</v>
      </c>
      <c r="E159" s="86">
        <f>VLOOKUP($A159,'Data shares'!$C:$FA,74)</f>
        <v>59689500</v>
      </c>
      <c r="F159" s="86">
        <f>VLOOKUP($A159,'Data shares'!$C:$FA,76)</f>
        <v>-981500</v>
      </c>
      <c r="G159" s="87">
        <f>VLOOKUP(A159,'Data shares'!$C$2:$CA$231,77,0)</f>
        <v>-1.6199999999999999E-2</v>
      </c>
      <c r="H159" s="86">
        <f>VLOOKUP($A159,'Data shares'!$C:$FA,90)</f>
        <v>30199000</v>
      </c>
      <c r="I159" s="86">
        <f>VLOOKUP($A159,'Data shares'!$C:$FA,92)</f>
        <v>208000</v>
      </c>
      <c r="J159" s="87">
        <f>VLOOKUP($A159,'Data shares'!$C:$FA,93)</f>
        <v>6.8999999999999999E-3</v>
      </c>
      <c r="K159" s="86">
        <f>VLOOKUP($A159,'Data shares'!$C:$FA,94)</f>
        <v>14839500</v>
      </c>
      <c r="L159" s="86">
        <f>VLOOKUP($A159,'Data shares'!$C:$FA,96)</f>
        <v>-221000</v>
      </c>
      <c r="M159" s="87">
        <f>VLOOKUP($A159,'Data shares'!$C:$FA,97)</f>
        <v>-1.47E-2</v>
      </c>
      <c r="N159" s="86">
        <f>VLOOKUP($A159,'Data shares'!$C:$FA,78)</f>
        <v>53573000</v>
      </c>
      <c r="O159" s="87">
        <f>VLOOKUP($A159,'Data shares'!$C:$FA,81)</f>
        <v>-2.6499999999999999E-2</v>
      </c>
    </row>
    <row r="160" spans="1:15" x14ac:dyDescent="0.25">
      <c r="A160" s="100" t="str">
        <f>'OI(Value)'!A160</f>
        <v>NCC</v>
      </c>
      <c r="B160" s="82">
        <f>VLOOKUP(A160,'Data shares'!$C$2:$CV$231,98,0)</f>
        <v>32356800</v>
      </c>
      <c r="C160" s="82">
        <f>VLOOKUP(A160,'Data shares'!$C$2:$CX$231,100,0)</f>
        <v>1007100</v>
      </c>
      <c r="D160" s="141">
        <f>VLOOKUP(A160,'Data shares'!$C$2:$CY$554,101,0)</f>
        <v>3.2099999999999997E-2</v>
      </c>
      <c r="E160" s="86">
        <f>VLOOKUP($A160,'Data shares'!$C:$FA,74)</f>
        <v>16337700</v>
      </c>
      <c r="F160" s="86">
        <f>VLOOKUP($A160,'Data shares'!$C:$FA,76)</f>
        <v>81000</v>
      </c>
      <c r="G160" s="87">
        <f>VLOOKUP(A160,'Data shares'!$C$2:$CA$231,77,0)</f>
        <v>5.0000000000000001E-3</v>
      </c>
      <c r="H160" s="86">
        <f>VLOOKUP($A160,'Data shares'!$C:$FA,90)</f>
        <v>11286000</v>
      </c>
      <c r="I160" s="86">
        <f>VLOOKUP($A160,'Data shares'!$C:$FA,92)</f>
        <v>753300</v>
      </c>
      <c r="J160" s="87">
        <f>VLOOKUP($A160,'Data shares'!$C:$FA,93)</f>
        <v>7.1499999999999994E-2</v>
      </c>
      <c r="K160" s="86">
        <f>VLOOKUP($A160,'Data shares'!$C:$FA,94)</f>
        <v>4733100</v>
      </c>
      <c r="L160" s="86">
        <f>VLOOKUP($A160,'Data shares'!$C:$FA,96)</f>
        <v>172800</v>
      </c>
      <c r="M160" s="87">
        <f>VLOOKUP($A160,'Data shares'!$C:$FA,97)</f>
        <v>3.7900000000000003E-2</v>
      </c>
      <c r="N160" s="86">
        <f>VLOOKUP($A160,'Data shares'!$C:$FA,78)</f>
        <v>13761900</v>
      </c>
      <c r="O160" s="87">
        <f>VLOOKUP($A160,'Data shares'!$C:$FA,81)</f>
        <v>-4.4999999999999997E-3</v>
      </c>
    </row>
    <row r="161" spans="1:15" x14ac:dyDescent="0.25">
      <c r="A161" s="100" t="str">
        <f>'OI(Value)'!A161</f>
        <v>NESTLEIND</v>
      </c>
      <c r="B161" s="82">
        <f>VLOOKUP(A161,'Data shares'!$C$2:$CV$231,98,0)</f>
        <v>14418500</v>
      </c>
      <c r="C161" s="82">
        <f>VLOOKUP(A161,'Data shares'!$C$2:$CX$231,100,0)</f>
        <v>226000</v>
      </c>
      <c r="D161" s="141">
        <f>VLOOKUP(A161,'Data shares'!$C$2:$CY$554,101,0)</f>
        <v>1.5900000000000001E-2</v>
      </c>
      <c r="E161" s="86">
        <f>VLOOKUP($A161,'Data shares'!$C:$FA,74)</f>
        <v>9888000</v>
      </c>
      <c r="F161" s="86">
        <f>VLOOKUP($A161,'Data shares'!$C:$FA,76)</f>
        <v>28250</v>
      </c>
      <c r="G161" s="87">
        <f>VLOOKUP(A161,'Data shares'!$C$2:$CA$231,77,0)</f>
        <v>2.8999999999999998E-3</v>
      </c>
      <c r="H161" s="86">
        <f>VLOOKUP($A161,'Data shares'!$C:$FA,90)</f>
        <v>2265250</v>
      </c>
      <c r="I161" s="86">
        <f>VLOOKUP($A161,'Data shares'!$C:$FA,92)</f>
        <v>70500</v>
      </c>
      <c r="J161" s="87">
        <f>VLOOKUP($A161,'Data shares'!$C:$FA,93)</f>
        <v>3.2099999999999997E-2</v>
      </c>
      <c r="K161" s="86">
        <f>VLOOKUP($A161,'Data shares'!$C:$FA,94)</f>
        <v>2265250</v>
      </c>
      <c r="L161" s="86">
        <f>VLOOKUP($A161,'Data shares'!$C:$FA,96)</f>
        <v>127250</v>
      </c>
      <c r="M161" s="87">
        <f>VLOOKUP($A161,'Data shares'!$C:$FA,97)</f>
        <v>5.9499999999999997E-2</v>
      </c>
      <c r="N161" s="86">
        <f>VLOOKUP($A161,'Data shares'!$C:$FA,78)</f>
        <v>9449250</v>
      </c>
      <c r="O161" s="87">
        <f>VLOOKUP($A161,'Data shares'!$C:$FA,81)</f>
        <v>-1.5E-3</v>
      </c>
    </row>
    <row r="162" spans="1:15" x14ac:dyDescent="0.25">
      <c r="A162" s="100" t="str">
        <f>'OI(Value)'!A162</f>
        <v>NHPC</v>
      </c>
      <c r="B162" s="82">
        <f>VLOOKUP(A162,'Data shares'!$C$2:$CV$231,98,0)</f>
        <v>105350400</v>
      </c>
      <c r="C162" s="82">
        <f>VLOOKUP(A162,'Data shares'!$C$2:$CX$231,100,0)</f>
        <v>-140800</v>
      </c>
      <c r="D162" s="141">
        <f>VLOOKUP(A162,'Data shares'!$C$2:$CY$554,101,0)</f>
        <v>-1.2999999999999999E-3</v>
      </c>
      <c r="E162" s="86">
        <f>VLOOKUP($A162,'Data shares'!$C:$FA,74)</f>
        <v>69977600</v>
      </c>
      <c r="F162" s="86">
        <f>VLOOKUP($A162,'Data shares'!$C:$FA,76)</f>
        <v>-224000</v>
      </c>
      <c r="G162" s="87">
        <f>VLOOKUP(A162,'Data shares'!$C$2:$CA$231,77,0)</f>
        <v>-3.2000000000000002E-3</v>
      </c>
      <c r="H162" s="86">
        <f>VLOOKUP($A162,'Data shares'!$C:$FA,90)</f>
        <v>23545600</v>
      </c>
      <c r="I162" s="86">
        <f>VLOOKUP($A162,'Data shares'!$C:$FA,92)</f>
        <v>320000</v>
      </c>
      <c r="J162" s="87">
        <f>VLOOKUP($A162,'Data shares'!$C:$FA,93)</f>
        <v>1.38E-2</v>
      </c>
      <c r="K162" s="86">
        <f>VLOOKUP($A162,'Data shares'!$C:$FA,94)</f>
        <v>11827200</v>
      </c>
      <c r="L162" s="86">
        <f>VLOOKUP($A162,'Data shares'!$C:$FA,96)</f>
        <v>-236800</v>
      </c>
      <c r="M162" s="87">
        <f>VLOOKUP($A162,'Data shares'!$C:$FA,97)</f>
        <v>-1.9599999999999999E-2</v>
      </c>
      <c r="N162" s="86">
        <f>VLOOKUP($A162,'Data shares'!$C:$FA,78)</f>
        <v>64928000</v>
      </c>
      <c r="O162" s="87">
        <f>VLOOKUP($A162,'Data shares'!$C:$FA,81)</f>
        <v>-1.38E-2</v>
      </c>
    </row>
    <row r="163" spans="1:15" x14ac:dyDescent="0.25">
      <c r="A163" s="100" t="str">
        <f>'OI(Value)'!A163</f>
        <v>NIFTY</v>
      </c>
      <c r="B163" s="82">
        <f>VLOOKUP(A163,'Data shares'!$C$2:$CV$231,98,0)</f>
        <v>505095000</v>
      </c>
      <c r="C163" s="82">
        <f>VLOOKUP(A163,'Data shares'!$C$2:$CX$231,100,0)</f>
        <v>53293725</v>
      </c>
      <c r="D163" s="141">
        <f>VLOOKUP(A163,'Data shares'!$C$2:$CY$554,101,0)</f>
        <v>0.11799999999999999</v>
      </c>
      <c r="E163" s="86">
        <f>VLOOKUP($A163,'Data shares'!$C:$FA,74)</f>
        <v>19057125</v>
      </c>
      <c r="F163" s="86">
        <f>VLOOKUP($A163,'Data shares'!$C:$FA,76)</f>
        <v>85275</v>
      </c>
      <c r="G163" s="87">
        <f>VLOOKUP(A163,'Data shares'!$C$2:$CA$231,77,0)</f>
        <v>4.4999999999999997E-3</v>
      </c>
      <c r="H163" s="86">
        <f>VLOOKUP($A163,'Data shares'!$C:$FA,90)</f>
        <v>264543025</v>
      </c>
      <c r="I163" s="86">
        <f>VLOOKUP($A163,'Data shares'!$C:$FA,92)</f>
        <v>43152800</v>
      </c>
      <c r="J163" s="87">
        <f>VLOOKUP($A163,'Data shares'!$C:$FA,93)</f>
        <v>0.19489999999999999</v>
      </c>
      <c r="K163" s="86">
        <f>VLOOKUP($A163,'Data shares'!$C:$FA,94)</f>
        <v>221494850</v>
      </c>
      <c r="L163" s="86">
        <f>VLOOKUP($A163,'Data shares'!$C:$FA,96)</f>
        <v>10055650</v>
      </c>
      <c r="M163" s="87">
        <f>VLOOKUP($A163,'Data shares'!$C:$FA,97)</f>
        <v>4.7600000000000003E-2</v>
      </c>
      <c r="N163" s="86">
        <f>VLOOKUP($A163,'Data shares'!$C:$FA,78)</f>
        <v>13220850</v>
      </c>
      <c r="O163" s="87">
        <f>VLOOKUP($A163,'Data shares'!$C:$FA,81)</f>
        <v>-4.7999999999999996E-3</v>
      </c>
    </row>
    <row r="164" spans="1:15" x14ac:dyDescent="0.25">
      <c r="A164" s="100" t="str">
        <f>'OI(Value)'!A164</f>
        <v>NIFTYNXT50</v>
      </c>
      <c r="B164" s="82">
        <f>VLOOKUP(A164,'Data shares'!$C$2:$CV$231,98,0)</f>
        <v>35125</v>
      </c>
      <c r="C164" s="82">
        <f>VLOOKUP(A164,'Data shares'!$C$2:$CX$231,100,0)</f>
        <v>-2400</v>
      </c>
      <c r="D164" s="141">
        <f>VLOOKUP(A164,'Data shares'!$C$2:$CY$554,101,0)</f>
        <v>-6.4000000000000001E-2</v>
      </c>
      <c r="E164" s="86">
        <f>VLOOKUP($A164,'Data shares'!$C:$FA,74)</f>
        <v>21675</v>
      </c>
      <c r="F164" s="86">
        <f>VLOOKUP($A164,'Data shares'!$C:$FA,76)</f>
        <v>-1550</v>
      </c>
      <c r="G164" s="87">
        <f>VLOOKUP(A164,'Data shares'!$C$2:$CA$231,77,0)</f>
        <v>-6.6699999999999995E-2</v>
      </c>
      <c r="H164" s="86">
        <f>VLOOKUP($A164,'Data shares'!$C:$FA,90)</f>
        <v>9950</v>
      </c>
      <c r="I164" s="86">
        <f>VLOOKUP($A164,'Data shares'!$C:$FA,92)</f>
        <v>-800</v>
      </c>
      <c r="J164" s="87">
        <f>VLOOKUP($A164,'Data shares'!$C:$FA,93)</f>
        <v>-7.4399999999999994E-2</v>
      </c>
      <c r="K164" s="86">
        <f>VLOOKUP($A164,'Data shares'!$C:$FA,94)</f>
        <v>3500</v>
      </c>
      <c r="L164" s="86">
        <f>VLOOKUP($A164,'Data shares'!$C:$FA,96)</f>
        <v>-50</v>
      </c>
      <c r="M164" s="87">
        <f>VLOOKUP($A164,'Data shares'!$C:$FA,97)</f>
        <v>-1.41E-2</v>
      </c>
      <c r="N164" s="86">
        <f>VLOOKUP($A164,'Data shares'!$C:$FA,78)</f>
        <v>17900</v>
      </c>
      <c r="O164" s="87">
        <f>VLOOKUP($A164,'Data shares'!$C:$FA,81)</f>
        <v>-9.2499999999999999E-2</v>
      </c>
    </row>
    <row r="165" spans="1:15" x14ac:dyDescent="0.25">
      <c r="A165" s="100" t="str">
        <f>'OI(Value)'!A165</f>
        <v>NMDC</v>
      </c>
      <c r="B165" s="82">
        <f>VLOOKUP(A165,'Data shares'!$C$2:$CV$231,98,0)</f>
        <v>514377000</v>
      </c>
      <c r="C165" s="82">
        <f>VLOOKUP(A165,'Data shares'!$C$2:$CX$231,100,0)</f>
        <v>4104000</v>
      </c>
      <c r="D165" s="141">
        <f>VLOOKUP(A165,'Data shares'!$C$2:$CY$554,101,0)</f>
        <v>8.0000000000000002E-3</v>
      </c>
      <c r="E165" s="86">
        <f>VLOOKUP($A165,'Data shares'!$C:$FA,74)</f>
        <v>275872500</v>
      </c>
      <c r="F165" s="86">
        <f>VLOOKUP($A165,'Data shares'!$C:$FA,76)</f>
        <v>4846500</v>
      </c>
      <c r="G165" s="87">
        <f>VLOOKUP(A165,'Data shares'!$C$2:$CA$231,77,0)</f>
        <v>1.7899999999999999E-2</v>
      </c>
      <c r="H165" s="86">
        <f>VLOOKUP($A165,'Data shares'!$C:$FA,90)</f>
        <v>136863000</v>
      </c>
      <c r="I165" s="86">
        <f>VLOOKUP($A165,'Data shares'!$C:$FA,92)</f>
        <v>-256500</v>
      </c>
      <c r="J165" s="87">
        <f>VLOOKUP($A165,'Data shares'!$C:$FA,93)</f>
        <v>-1.9E-3</v>
      </c>
      <c r="K165" s="86">
        <f>VLOOKUP($A165,'Data shares'!$C:$FA,94)</f>
        <v>101641500</v>
      </c>
      <c r="L165" s="86">
        <f>VLOOKUP($A165,'Data shares'!$C:$FA,96)</f>
        <v>-486000</v>
      </c>
      <c r="M165" s="87">
        <f>VLOOKUP($A165,'Data shares'!$C:$FA,97)</f>
        <v>-4.7999999999999996E-3</v>
      </c>
      <c r="N165" s="86">
        <f>VLOOKUP($A165,'Data shares'!$C:$FA,78)</f>
        <v>236101500</v>
      </c>
      <c r="O165" s="87">
        <f>VLOOKUP($A165,'Data shares'!$C:$FA,81)</f>
        <v>-8.5000000000000006E-3</v>
      </c>
    </row>
    <row r="166" spans="1:15" x14ac:dyDescent="0.25">
      <c r="A166" s="100" t="str">
        <f>'OI(Value)'!A166</f>
        <v>NTPC</v>
      </c>
      <c r="B166" s="82">
        <f>VLOOKUP(A166,'Data shares'!$C$2:$CV$231,98,0)</f>
        <v>223299000</v>
      </c>
      <c r="C166" s="82">
        <f>VLOOKUP(A166,'Data shares'!$C$2:$CX$231,100,0)</f>
        <v>1260000</v>
      </c>
      <c r="D166" s="141">
        <f>VLOOKUP(A166,'Data shares'!$C$2:$CY$554,101,0)</f>
        <v>5.7000000000000002E-3</v>
      </c>
      <c r="E166" s="86">
        <f>VLOOKUP($A166,'Data shares'!$C:$FA,74)</f>
        <v>115924500</v>
      </c>
      <c r="F166" s="86">
        <f>VLOOKUP($A166,'Data shares'!$C:$FA,76)</f>
        <v>-598500</v>
      </c>
      <c r="G166" s="87">
        <f>VLOOKUP(A166,'Data shares'!$C$2:$CA$231,77,0)</f>
        <v>-5.1000000000000004E-3</v>
      </c>
      <c r="H166" s="86">
        <f>VLOOKUP($A166,'Data shares'!$C:$FA,90)</f>
        <v>80997000</v>
      </c>
      <c r="I166" s="86">
        <f>VLOOKUP($A166,'Data shares'!$C:$FA,92)</f>
        <v>946500</v>
      </c>
      <c r="J166" s="87">
        <f>VLOOKUP($A166,'Data shares'!$C:$FA,93)</f>
        <v>1.18E-2</v>
      </c>
      <c r="K166" s="86">
        <f>VLOOKUP($A166,'Data shares'!$C:$FA,94)</f>
        <v>26377500</v>
      </c>
      <c r="L166" s="86">
        <f>VLOOKUP($A166,'Data shares'!$C:$FA,96)</f>
        <v>912000</v>
      </c>
      <c r="M166" s="87">
        <f>VLOOKUP($A166,'Data shares'!$C:$FA,97)</f>
        <v>3.5799999999999998E-2</v>
      </c>
      <c r="N166" s="86">
        <f>VLOOKUP($A166,'Data shares'!$C:$FA,78)</f>
        <v>85917000</v>
      </c>
      <c r="O166" s="87">
        <f>VLOOKUP($A166,'Data shares'!$C:$FA,81)</f>
        <v>-1.04E-2</v>
      </c>
    </row>
    <row r="167" spans="1:15" x14ac:dyDescent="0.25">
      <c r="A167" s="100" t="str">
        <f>'OI(Value)'!A167</f>
        <v>NYKAA</v>
      </c>
      <c r="B167" s="82">
        <f>VLOOKUP(A167,'Data shares'!$C$2:$CV$231,98,0)</f>
        <v>84781250</v>
      </c>
      <c r="C167" s="82">
        <f>VLOOKUP(A167,'Data shares'!$C$2:$CX$231,100,0)</f>
        <v>12071875</v>
      </c>
      <c r="D167" s="141">
        <f>VLOOKUP(A167,'Data shares'!$C$2:$CY$554,101,0)</f>
        <v>0.16600000000000001</v>
      </c>
      <c r="E167" s="86">
        <f>VLOOKUP($A167,'Data shares'!$C:$FA,74)</f>
        <v>51956250</v>
      </c>
      <c r="F167" s="86">
        <f>VLOOKUP($A167,'Data shares'!$C:$FA,76)</f>
        <v>2525000</v>
      </c>
      <c r="G167" s="87">
        <f>VLOOKUP(A167,'Data shares'!$C$2:$CA$231,77,0)</f>
        <v>5.11E-2</v>
      </c>
      <c r="H167" s="86">
        <f>VLOOKUP($A167,'Data shares'!$C:$FA,90)</f>
        <v>21359375</v>
      </c>
      <c r="I167" s="86">
        <f>VLOOKUP($A167,'Data shares'!$C:$FA,92)</f>
        <v>8237500</v>
      </c>
      <c r="J167" s="87">
        <f>VLOOKUP($A167,'Data shares'!$C:$FA,93)</f>
        <v>0.62780000000000002</v>
      </c>
      <c r="K167" s="86">
        <f>VLOOKUP($A167,'Data shares'!$C:$FA,94)</f>
        <v>11465625</v>
      </c>
      <c r="L167" s="86">
        <f>VLOOKUP($A167,'Data shares'!$C:$FA,96)</f>
        <v>1309375</v>
      </c>
      <c r="M167" s="87">
        <f>VLOOKUP($A167,'Data shares'!$C:$FA,97)</f>
        <v>0.12889999999999999</v>
      </c>
      <c r="N167" s="86">
        <f>VLOOKUP($A167,'Data shares'!$C:$FA,78)</f>
        <v>49121875</v>
      </c>
      <c r="O167" s="87">
        <f>VLOOKUP($A167,'Data shares'!$C:$FA,81)</f>
        <v>4.5100000000000001E-2</v>
      </c>
    </row>
    <row r="168" spans="1:15" x14ac:dyDescent="0.25">
      <c r="A168" s="100" t="str">
        <f>'OI(Value)'!A168</f>
        <v>OBEROIRLTY</v>
      </c>
      <c r="B168" s="82">
        <f>VLOOKUP(A168,'Data shares'!$C$2:$CV$231,98,0)</f>
        <v>9174550</v>
      </c>
      <c r="C168" s="82">
        <f>VLOOKUP(A168,'Data shares'!$C$2:$CX$231,100,0)</f>
        <v>162400</v>
      </c>
      <c r="D168" s="141">
        <f>VLOOKUP(A168,'Data shares'!$C$2:$CY$554,101,0)</f>
        <v>1.7999999999999999E-2</v>
      </c>
      <c r="E168" s="86">
        <f>VLOOKUP($A168,'Data shares'!$C:$FA,74)</f>
        <v>5047000</v>
      </c>
      <c r="F168" s="86">
        <f>VLOOKUP($A168,'Data shares'!$C:$FA,76)</f>
        <v>161700</v>
      </c>
      <c r="G168" s="87">
        <f>VLOOKUP(A168,'Data shares'!$C$2:$CA$231,77,0)</f>
        <v>3.3099999999999997E-2</v>
      </c>
      <c r="H168" s="86">
        <f>VLOOKUP($A168,'Data shares'!$C:$FA,90)</f>
        <v>2571100</v>
      </c>
      <c r="I168" s="86">
        <f>VLOOKUP($A168,'Data shares'!$C:$FA,92)</f>
        <v>37450</v>
      </c>
      <c r="J168" s="87">
        <f>VLOOKUP($A168,'Data shares'!$C:$FA,93)</f>
        <v>1.4800000000000001E-2</v>
      </c>
      <c r="K168" s="86">
        <f>VLOOKUP($A168,'Data shares'!$C:$FA,94)</f>
        <v>1556450</v>
      </c>
      <c r="L168" s="86">
        <f>VLOOKUP($A168,'Data shares'!$C:$FA,96)</f>
        <v>-36750</v>
      </c>
      <c r="M168" s="87">
        <f>VLOOKUP($A168,'Data shares'!$C:$FA,97)</f>
        <v>-2.3099999999999999E-2</v>
      </c>
      <c r="N168" s="86">
        <f>VLOOKUP($A168,'Data shares'!$C:$FA,78)</f>
        <v>4696650</v>
      </c>
      <c r="O168" s="87">
        <f>VLOOKUP($A168,'Data shares'!$C:$FA,81)</f>
        <v>1.4500000000000001E-2</v>
      </c>
    </row>
    <row r="169" spans="1:15" x14ac:dyDescent="0.25">
      <c r="A169" s="100" t="str">
        <f>'OI(Value)'!A169</f>
        <v>OFSS</v>
      </c>
      <c r="B169" s="82">
        <f>VLOOKUP(A169,'Data shares'!$C$2:$CV$231,98,0)</f>
        <v>2205000</v>
      </c>
      <c r="C169" s="82">
        <f>VLOOKUP(A169,'Data shares'!$C$2:$CX$231,100,0)</f>
        <v>86850</v>
      </c>
      <c r="D169" s="141">
        <f>VLOOKUP(A169,'Data shares'!$C$2:$CY$554,101,0)</f>
        <v>4.1000000000000002E-2</v>
      </c>
      <c r="E169" s="86">
        <f>VLOOKUP($A169,'Data shares'!$C:$FA,74)</f>
        <v>1154850</v>
      </c>
      <c r="F169" s="86">
        <f>VLOOKUP($A169,'Data shares'!$C:$FA,76)</f>
        <v>50925</v>
      </c>
      <c r="G169" s="87">
        <f>VLOOKUP(A169,'Data shares'!$C$2:$CA$231,77,0)</f>
        <v>4.6100000000000002E-2</v>
      </c>
      <c r="H169" s="86">
        <f>VLOOKUP($A169,'Data shares'!$C:$FA,90)</f>
        <v>691950</v>
      </c>
      <c r="I169" s="86">
        <f>VLOOKUP($A169,'Data shares'!$C:$FA,92)</f>
        <v>38850</v>
      </c>
      <c r="J169" s="87">
        <f>VLOOKUP($A169,'Data shares'!$C:$FA,93)</f>
        <v>5.9499999999999997E-2</v>
      </c>
      <c r="K169" s="86">
        <f>VLOOKUP($A169,'Data shares'!$C:$FA,94)</f>
        <v>358200</v>
      </c>
      <c r="L169" s="86">
        <f>VLOOKUP($A169,'Data shares'!$C:$FA,96)</f>
        <v>-2925</v>
      </c>
      <c r="M169" s="87">
        <f>VLOOKUP($A169,'Data shares'!$C:$FA,97)</f>
        <v>-8.0999999999999996E-3</v>
      </c>
      <c r="N169" s="86">
        <f>VLOOKUP($A169,'Data shares'!$C:$FA,78)</f>
        <v>1071900</v>
      </c>
      <c r="O169" s="87">
        <f>VLOOKUP($A169,'Data shares'!$C:$FA,81)</f>
        <v>3.2300000000000002E-2</v>
      </c>
    </row>
    <row r="170" spans="1:15" x14ac:dyDescent="0.25">
      <c r="A170" s="100" t="str">
        <f>'OI(Value)'!A170</f>
        <v>OIL</v>
      </c>
      <c r="B170" s="82">
        <f>VLOOKUP(A170,'Data shares'!$C$2:$CV$231,98,0)</f>
        <v>28036400</v>
      </c>
      <c r="C170" s="82">
        <f>VLOOKUP(A170,'Data shares'!$C$2:$CX$231,100,0)</f>
        <v>116200</v>
      </c>
      <c r="D170" s="141">
        <f>VLOOKUP(A170,'Data shares'!$C$2:$CY$554,101,0)</f>
        <v>4.1999999999999997E-3</v>
      </c>
      <c r="E170" s="86">
        <f>VLOOKUP($A170,'Data shares'!$C:$FA,74)</f>
        <v>15544200</v>
      </c>
      <c r="F170" s="86">
        <f>VLOOKUP($A170,'Data shares'!$C:$FA,76)</f>
        <v>86800</v>
      </c>
      <c r="G170" s="87">
        <f>VLOOKUP(A170,'Data shares'!$C$2:$CA$231,77,0)</f>
        <v>5.5999999999999999E-3</v>
      </c>
      <c r="H170" s="86">
        <f>VLOOKUP($A170,'Data shares'!$C:$FA,90)</f>
        <v>7908600</v>
      </c>
      <c r="I170" s="86">
        <f>VLOOKUP($A170,'Data shares'!$C:$FA,92)</f>
        <v>176400</v>
      </c>
      <c r="J170" s="87">
        <f>VLOOKUP($A170,'Data shares'!$C:$FA,93)</f>
        <v>2.2800000000000001E-2</v>
      </c>
      <c r="K170" s="86">
        <f>VLOOKUP($A170,'Data shares'!$C:$FA,94)</f>
        <v>4583600</v>
      </c>
      <c r="L170" s="86">
        <f>VLOOKUP($A170,'Data shares'!$C:$FA,96)</f>
        <v>-147000</v>
      </c>
      <c r="M170" s="87">
        <f>VLOOKUP($A170,'Data shares'!$C:$FA,97)</f>
        <v>-3.1099999999999999E-2</v>
      </c>
      <c r="N170" s="86">
        <f>VLOOKUP($A170,'Data shares'!$C:$FA,78)</f>
        <v>13974800</v>
      </c>
      <c r="O170" s="87">
        <f>VLOOKUP($A170,'Data shares'!$C:$FA,81)</f>
        <v>3.5000000000000001E-3</v>
      </c>
    </row>
    <row r="171" spans="1:15" x14ac:dyDescent="0.25">
      <c r="A171" s="100" t="str">
        <f>'OI(Value)'!A171</f>
        <v>ONGC</v>
      </c>
      <c r="B171" s="82">
        <f>VLOOKUP(A171,'Data shares'!$C$2:$CV$231,98,0)</f>
        <v>201183750</v>
      </c>
      <c r="C171" s="82">
        <f>VLOOKUP(A171,'Data shares'!$C$2:$CX$231,100,0)</f>
        <v>-1413000</v>
      </c>
      <c r="D171" s="141">
        <f>VLOOKUP(A171,'Data shares'!$C$2:$CY$554,101,0)</f>
        <v>-7.0000000000000001E-3</v>
      </c>
      <c r="E171" s="86">
        <f>VLOOKUP($A171,'Data shares'!$C:$FA,74)</f>
        <v>99443250</v>
      </c>
      <c r="F171" s="86">
        <f>VLOOKUP($A171,'Data shares'!$C:$FA,76)</f>
        <v>-477000</v>
      </c>
      <c r="G171" s="87">
        <f>VLOOKUP(A171,'Data shares'!$C$2:$CA$231,77,0)</f>
        <v>-4.7999999999999996E-3</v>
      </c>
      <c r="H171" s="86">
        <f>VLOOKUP($A171,'Data shares'!$C:$FA,90)</f>
        <v>79186500</v>
      </c>
      <c r="I171" s="86">
        <f>VLOOKUP($A171,'Data shares'!$C:$FA,92)</f>
        <v>-1761750</v>
      </c>
      <c r="J171" s="87">
        <f>VLOOKUP($A171,'Data shares'!$C:$FA,93)</f>
        <v>-2.18E-2</v>
      </c>
      <c r="K171" s="86">
        <f>VLOOKUP($A171,'Data shares'!$C:$FA,94)</f>
        <v>22554000</v>
      </c>
      <c r="L171" s="86">
        <f>VLOOKUP($A171,'Data shares'!$C:$FA,96)</f>
        <v>825750</v>
      </c>
      <c r="M171" s="87">
        <f>VLOOKUP($A171,'Data shares'!$C:$FA,97)</f>
        <v>3.7999999999999999E-2</v>
      </c>
      <c r="N171" s="86">
        <f>VLOOKUP($A171,'Data shares'!$C:$FA,78)</f>
        <v>75631500</v>
      </c>
      <c r="O171" s="87">
        <f>VLOOKUP($A171,'Data shares'!$C:$FA,81)</f>
        <v>-3.1899999999999998E-2</v>
      </c>
    </row>
    <row r="172" spans="1:15" x14ac:dyDescent="0.25">
      <c r="A172" s="100" t="str">
        <f>'OI(Value)'!A172</f>
        <v>PAGEIND</v>
      </c>
      <c r="B172" s="82">
        <f>VLOOKUP(A172,'Data shares'!$C$2:$CV$231,98,0)</f>
        <v>404460</v>
      </c>
      <c r="C172" s="82">
        <f>VLOOKUP(A172,'Data shares'!$C$2:$CX$231,100,0)</f>
        <v>-10095</v>
      </c>
      <c r="D172" s="141">
        <f>VLOOKUP(A172,'Data shares'!$C$2:$CY$554,101,0)</f>
        <v>-2.4400000000000002E-2</v>
      </c>
      <c r="E172" s="86">
        <f>VLOOKUP($A172,'Data shares'!$C:$FA,74)</f>
        <v>284355</v>
      </c>
      <c r="F172" s="86">
        <f>VLOOKUP($A172,'Data shares'!$C:$FA,76)</f>
        <v>-135</v>
      </c>
      <c r="G172" s="87">
        <f>VLOOKUP(A172,'Data shares'!$C$2:$CA$231,77,0)</f>
        <v>-5.0000000000000001E-4</v>
      </c>
      <c r="H172" s="86">
        <f>VLOOKUP($A172,'Data shares'!$C:$FA,90)</f>
        <v>95100</v>
      </c>
      <c r="I172" s="86">
        <f>VLOOKUP($A172,'Data shares'!$C:$FA,92)</f>
        <v>-8505</v>
      </c>
      <c r="J172" s="87">
        <f>VLOOKUP($A172,'Data shares'!$C:$FA,93)</f>
        <v>-8.2100000000000006E-2</v>
      </c>
      <c r="K172" s="86">
        <f>VLOOKUP($A172,'Data shares'!$C:$FA,94)</f>
        <v>25005</v>
      </c>
      <c r="L172" s="86">
        <f>VLOOKUP($A172,'Data shares'!$C:$FA,96)</f>
        <v>-1455</v>
      </c>
      <c r="M172" s="87">
        <f>VLOOKUP($A172,'Data shares'!$C:$FA,97)</f>
        <v>-5.5E-2</v>
      </c>
      <c r="N172" s="86">
        <f>VLOOKUP($A172,'Data shares'!$C:$FA,78)</f>
        <v>255510</v>
      </c>
      <c r="O172" s="87">
        <f>VLOOKUP($A172,'Data shares'!$C:$FA,81)</f>
        <v>-1.1299999999999999E-2</v>
      </c>
    </row>
    <row r="173" spans="1:15" x14ac:dyDescent="0.25">
      <c r="A173" s="100" t="str">
        <f>'OI(Value)'!A173</f>
        <v>PATANJALI</v>
      </c>
      <c r="B173" s="82">
        <f>VLOOKUP(A173,'Data shares'!$C$2:$CV$231,98,0)</f>
        <v>17460600</v>
      </c>
      <c r="C173" s="82">
        <f>VLOOKUP(A173,'Data shares'!$C$2:$CX$231,100,0)</f>
        <v>-607200</v>
      </c>
      <c r="D173" s="141">
        <f>VLOOKUP(A173,'Data shares'!$C$2:$CY$554,101,0)</f>
        <v>-3.3599999999999998E-2</v>
      </c>
      <c r="E173" s="86">
        <f>VLOOKUP($A173,'Data shares'!$C:$FA,74)</f>
        <v>9770100</v>
      </c>
      <c r="F173" s="86">
        <f>VLOOKUP($A173,'Data shares'!$C:$FA,76)</f>
        <v>-225000</v>
      </c>
      <c r="G173" s="87">
        <f>VLOOKUP(A173,'Data shares'!$C$2:$CA$231,77,0)</f>
        <v>-2.2499999999999999E-2</v>
      </c>
      <c r="H173" s="86">
        <f>VLOOKUP($A173,'Data shares'!$C:$FA,90)</f>
        <v>5046900</v>
      </c>
      <c r="I173" s="86">
        <f>VLOOKUP($A173,'Data shares'!$C:$FA,92)</f>
        <v>-243300</v>
      </c>
      <c r="J173" s="87">
        <f>VLOOKUP($A173,'Data shares'!$C:$FA,93)</f>
        <v>-4.5999999999999999E-2</v>
      </c>
      <c r="K173" s="86">
        <f>VLOOKUP($A173,'Data shares'!$C:$FA,94)</f>
        <v>2643600</v>
      </c>
      <c r="L173" s="86">
        <f>VLOOKUP($A173,'Data shares'!$C:$FA,96)</f>
        <v>-138900</v>
      </c>
      <c r="M173" s="87">
        <f>VLOOKUP($A173,'Data shares'!$C:$FA,97)</f>
        <v>-4.99E-2</v>
      </c>
      <c r="N173" s="86">
        <f>VLOOKUP($A173,'Data shares'!$C:$FA,78)</f>
        <v>8477700</v>
      </c>
      <c r="O173" s="87">
        <f>VLOOKUP($A173,'Data shares'!$C:$FA,81)</f>
        <v>-2.6499999999999999E-2</v>
      </c>
    </row>
    <row r="174" spans="1:15" x14ac:dyDescent="0.25">
      <c r="A174" s="100" t="str">
        <f>'OI(Value)'!A174</f>
        <v>PAYTM</v>
      </c>
      <c r="B174" s="82">
        <f>VLOOKUP(A174,'Data shares'!$C$2:$CV$231,98,0)</f>
        <v>47102525</v>
      </c>
      <c r="C174" s="82">
        <f>VLOOKUP(A174,'Data shares'!$C$2:$CX$231,100,0)</f>
        <v>4629125</v>
      </c>
      <c r="D174" s="141">
        <f>VLOOKUP(A174,'Data shares'!$C$2:$CY$554,101,0)</f>
        <v>0.109</v>
      </c>
      <c r="E174" s="86">
        <f>VLOOKUP($A174,'Data shares'!$C:$FA,74)</f>
        <v>25674425</v>
      </c>
      <c r="F174" s="86">
        <f>VLOOKUP($A174,'Data shares'!$C:$FA,76)</f>
        <v>-1641400</v>
      </c>
      <c r="G174" s="87">
        <f>VLOOKUP(A174,'Data shares'!$C$2:$CA$231,77,0)</f>
        <v>-6.0100000000000001E-2</v>
      </c>
      <c r="H174" s="86">
        <f>VLOOKUP($A174,'Data shares'!$C:$FA,90)</f>
        <v>12513500</v>
      </c>
      <c r="I174" s="86">
        <f>VLOOKUP($A174,'Data shares'!$C:$FA,92)</f>
        <v>4297800</v>
      </c>
      <c r="J174" s="87">
        <f>VLOOKUP($A174,'Data shares'!$C:$FA,93)</f>
        <v>0.52310000000000001</v>
      </c>
      <c r="K174" s="86">
        <f>VLOOKUP($A174,'Data shares'!$C:$FA,94)</f>
        <v>8914600</v>
      </c>
      <c r="L174" s="86">
        <f>VLOOKUP($A174,'Data shares'!$C:$FA,96)</f>
        <v>1972725</v>
      </c>
      <c r="M174" s="87">
        <f>VLOOKUP($A174,'Data shares'!$C:$FA,97)</f>
        <v>0.28420000000000001</v>
      </c>
      <c r="N174" s="86">
        <f>VLOOKUP($A174,'Data shares'!$C:$FA,78)</f>
        <v>24555750</v>
      </c>
      <c r="O174" s="87">
        <f>VLOOKUP($A174,'Data shares'!$C:$FA,81)</f>
        <v>-7.0000000000000007E-2</v>
      </c>
    </row>
    <row r="175" spans="1:15" x14ac:dyDescent="0.25">
      <c r="A175" s="100" t="str">
        <f>'OI(Value)'!A175</f>
        <v>PEL</v>
      </c>
      <c r="B175" s="82">
        <f>VLOOKUP(A175,'Data shares'!$C$2:$CV$231,98,0)</f>
        <v>12776250</v>
      </c>
      <c r="C175" s="82">
        <f>VLOOKUP(A175,'Data shares'!$C$2:$CX$231,100,0)</f>
        <v>-431250</v>
      </c>
      <c r="D175" s="141">
        <f>VLOOKUP(A175,'Data shares'!$C$2:$CY$554,101,0)</f>
        <v>-3.27E-2</v>
      </c>
      <c r="E175" s="86">
        <f>VLOOKUP($A175,'Data shares'!$C:$FA,74)</f>
        <v>5636250</v>
      </c>
      <c r="F175" s="86">
        <f>VLOOKUP($A175,'Data shares'!$C:$FA,76)</f>
        <v>-87000</v>
      </c>
      <c r="G175" s="87">
        <f>VLOOKUP(A175,'Data shares'!$C$2:$CA$231,77,0)</f>
        <v>-1.52E-2</v>
      </c>
      <c r="H175" s="86">
        <f>VLOOKUP($A175,'Data shares'!$C:$FA,90)</f>
        <v>4173750</v>
      </c>
      <c r="I175" s="86">
        <f>VLOOKUP($A175,'Data shares'!$C:$FA,92)</f>
        <v>-50250</v>
      </c>
      <c r="J175" s="87">
        <f>VLOOKUP($A175,'Data shares'!$C:$FA,93)</f>
        <v>-1.1900000000000001E-2</v>
      </c>
      <c r="K175" s="86">
        <f>VLOOKUP($A175,'Data shares'!$C:$FA,94)</f>
        <v>2966250</v>
      </c>
      <c r="L175" s="86">
        <f>VLOOKUP($A175,'Data shares'!$C:$FA,96)</f>
        <v>-294000</v>
      </c>
      <c r="M175" s="87">
        <f>VLOOKUP($A175,'Data shares'!$C:$FA,97)</f>
        <v>-9.0200000000000002E-2</v>
      </c>
      <c r="N175" s="86">
        <f>VLOOKUP($A175,'Data shares'!$C:$FA,78)</f>
        <v>5636250</v>
      </c>
      <c r="O175" s="87">
        <f>VLOOKUP($A175,'Data shares'!$C:$FA,81)</f>
        <v>-1.52E-2</v>
      </c>
    </row>
    <row r="176" spans="1:15" x14ac:dyDescent="0.25">
      <c r="A176" s="100" t="str">
        <f>'OI(Value)'!A176</f>
        <v>PERSISTENT</v>
      </c>
      <c r="B176" s="82">
        <f>VLOOKUP(A176,'Data shares'!$C$2:$CV$231,98,0)</f>
        <v>5072700</v>
      </c>
      <c r="C176" s="82">
        <f>VLOOKUP(A176,'Data shares'!$C$2:$CX$231,100,0)</f>
        <v>11400</v>
      </c>
      <c r="D176" s="141">
        <f>VLOOKUP(A176,'Data shares'!$C$2:$CY$554,101,0)</f>
        <v>2.3E-3</v>
      </c>
      <c r="E176" s="86">
        <f>VLOOKUP($A176,'Data shares'!$C:$FA,74)</f>
        <v>3028500</v>
      </c>
      <c r="F176" s="86">
        <f>VLOOKUP($A176,'Data shares'!$C:$FA,76)</f>
        <v>-11800</v>
      </c>
      <c r="G176" s="87">
        <f>VLOOKUP(A176,'Data shares'!$C$2:$CA$231,77,0)</f>
        <v>-3.8999999999999998E-3</v>
      </c>
      <c r="H176" s="86">
        <f>VLOOKUP($A176,'Data shares'!$C:$FA,90)</f>
        <v>1282900</v>
      </c>
      <c r="I176" s="86">
        <f>VLOOKUP($A176,'Data shares'!$C:$FA,92)</f>
        <v>26000</v>
      </c>
      <c r="J176" s="87">
        <f>VLOOKUP($A176,'Data shares'!$C:$FA,93)</f>
        <v>2.07E-2</v>
      </c>
      <c r="K176" s="86">
        <f>VLOOKUP($A176,'Data shares'!$C:$FA,94)</f>
        <v>761300</v>
      </c>
      <c r="L176" s="86">
        <f>VLOOKUP($A176,'Data shares'!$C:$FA,96)</f>
        <v>-2800</v>
      </c>
      <c r="M176" s="87">
        <f>VLOOKUP($A176,'Data shares'!$C:$FA,97)</f>
        <v>-3.7000000000000002E-3</v>
      </c>
      <c r="N176" s="86">
        <f>VLOOKUP($A176,'Data shares'!$C:$FA,78)</f>
        <v>2812000</v>
      </c>
      <c r="O176" s="87">
        <f>VLOOKUP($A176,'Data shares'!$C:$FA,81)</f>
        <v>-1.66E-2</v>
      </c>
    </row>
    <row r="177" spans="1:15" x14ac:dyDescent="0.25">
      <c r="A177" s="100" t="str">
        <f>'OI(Value)'!A177</f>
        <v>PETRONET</v>
      </c>
      <c r="B177" s="82">
        <f>VLOOKUP(A177,'Data shares'!$C$2:$CV$231,98,0)</f>
        <v>63939600</v>
      </c>
      <c r="C177" s="82">
        <f>VLOOKUP(A177,'Data shares'!$C$2:$CX$231,100,0)</f>
        <v>-468000</v>
      </c>
      <c r="D177" s="141">
        <f>VLOOKUP(A177,'Data shares'!$C$2:$CY$554,101,0)</f>
        <v>-7.3000000000000001E-3</v>
      </c>
      <c r="E177" s="86">
        <f>VLOOKUP($A177,'Data shares'!$C:$FA,74)</f>
        <v>39434400</v>
      </c>
      <c r="F177" s="86">
        <f>VLOOKUP($A177,'Data shares'!$C:$FA,76)</f>
        <v>-97200</v>
      </c>
      <c r="G177" s="87">
        <f>VLOOKUP(A177,'Data shares'!$C$2:$CA$231,77,0)</f>
        <v>-2.5000000000000001E-3</v>
      </c>
      <c r="H177" s="86">
        <f>VLOOKUP($A177,'Data shares'!$C:$FA,90)</f>
        <v>14824800</v>
      </c>
      <c r="I177" s="86">
        <f>VLOOKUP($A177,'Data shares'!$C:$FA,92)</f>
        <v>-451800</v>
      </c>
      <c r="J177" s="87">
        <f>VLOOKUP($A177,'Data shares'!$C:$FA,93)</f>
        <v>-2.9600000000000001E-2</v>
      </c>
      <c r="K177" s="86">
        <f>VLOOKUP($A177,'Data shares'!$C:$FA,94)</f>
        <v>9680400</v>
      </c>
      <c r="L177" s="86">
        <f>VLOOKUP($A177,'Data shares'!$C:$FA,96)</f>
        <v>81000</v>
      </c>
      <c r="M177" s="87">
        <f>VLOOKUP($A177,'Data shares'!$C:$FA,97)</f>
        <v>8.3999999999999995E-3</v>
      </c>
      <c r="N177" s="86">
        <f>VLOOKUP($A177,'Data shares'!$C:$FA,78)</f>
        <v>34975800</v>
      </c>
      <c r="O177" s="87">
        <f>VLOOKUP($A177,'Data shares'!$C:$FA,81)</f>
        <v>-1.35E-2</v>
      </c>
    </row>
    <row r="178" spans="1:15" x14ac:dyDescent="0.25">
      <c r="A178" s="100" t="str">
        <f>'OI(Value)'!A178</f>
        <v>PFC</v>
      </c>
      <c r="B178" s="82">
        <f>VLOOKUP(A178,'Data shares'!$C$2:$CV$231,98,0)</f>
        <v>96619900</v>
      </c>
      <c r="C178" s="82">
        <f>VLOOKUP(A178,'Data shares'!$C$2:$CX$231,100,0)</f>
        <v>-733200</v>
      </c>
      <c r="D178" s="141">
        <f>VLOOKUP(A178,'Data shares'!$C$2:$CY$554,101,0)</f>
        <v>-7.4999999999999997E-3</v>
      </c>
      <c r="E178" s="86">
        <f>VLOOKUP($A178,'Data shares'!$C:$FA,74)</f>
        <v>55075800</v>
      </c>
      <c r="F178" s="86">
        <f>VLOOKUP($A178,'Data shares'!$C:$FA,76)</f>
        <v>270400</v>
      </c>
      <c r="G178" s="87">
        <f>VLOOKUP(A178,'Data shares'!$C$2:$CA$231,77,0)</f>
        <v>4.8999999999999998E-3</v>
      </c>
      <c r="H178" s="86">
        <f>VLOOKUP($A178,'Data shares'!$C:$FA,90)</f>
        <v>24930100</v>
      </c>
      <c r="I178" s="86">
        <f>VLOOKUP($A178,'Data shares'!$C:$FA,92)</f>
        <v>-396500</v>
      </c>
      <c r="J178" s="87">
        <f>VLOOKUP($A178,'Data shares'!$C:$FA,93)</f>
        <v>-1.5699999999999999E-2</v>
      </c>
      <c r="K178" s="86">
        <f>VLOOKUP($A178,'Data shares'!$C:$FA,94)</f>
        <v>16614000</v>
      </c>
      <c r="L178" s="86">
        <f>VLOOKUP($A178,'Data shares'!$C:$FA,96)</f>
        <v>-607100</v>
      </c>
      <c r="M178" s="87">
        <f>VLOOKUP($A178,'Data shares'!$C:$FA,97)</f>
        <v>-3.5299999999999998E-2</v>
      </c>
      <c r="N178" s="86">
        <f>VLOOKUP($A178,'Data shares'!$C:$FA,78)</f>
        <v>48701900</v>
      </c>
      <c r="O178" s="87">
        <f>VLOOKUP($A178,'Data shares'!$C:$FA,81)</f>
        <v>-1.6400000000000001E-2</v>
      </c>
    </row>
    <row r="179" spans="1:15" x14ac:dyDescent="0.25">
      <c r="A179" s="100" t="str">
        <f>'OI(Value)'!A179</f>
        <v>PGEL</v>
      </c>
      <c r="B179" s="82">
        <f>VLOOKUP(A179,'Data shares'!$C$2:$CV$231,98,0)</f>
        <v>9192400</v>
      </c>
      <c r="C179" s="82">
        <f>VLOOKUP(A179,'Data shares'!$C$2:$CX$231,100,0)</f>
        <v>186200</v>
      </c>
      <c r="D179" s="141">
        <f>VLOOKUP(A179,'Data shares'!$C$2:$CY$554,101,0)</f>
        <v>2.07E-2</v>
      </c>
      <c r="E179" s="86">
        <f>VLOOKUP($A179,'Data shares'!$C:$FA,74)</f>
        <v>6298600</v>
      </c>
      <c r="F179" s="86">
        <f>VLOOKUP($A179,'Data shares'!$C:$FA,76)</f>
        <v>233800</v>
      </c>
      <c r="G179" s="87">
        <f>VLOOKUP(A179,'Data shares'!$C$2:$CA$231,77,0)</f>
        <v>3.8600000000000002E-2</v>
      </c>
      <c r="H179" s="86">
        <f>VLOOKUP($A179,'Data shares'!$C:$FA,90)</f>
        <v>1948800</v>
      </c>
      <c r="I179" s="86">
        <f>VLOOKUP($A179,'Data shares'!$C:$FA,92)</f>
        <v>56000</v>
      </c>
      <c r="J179" s="87">
        <f>VLOOKUP($A179,'Data shares'!$C:$FA,93)</f>
        <v>2.9600000000000001E-2</v>
      </c>
      <c r="K179" s="86">
        <f>VLOOKUP($A179,'Data shares'!$C:$FA,94)</f>
        <v>945000</v>
      </c>
      <c r="L179" s="86">
        <f>VLOOKUP($A179,'Data shares'!$C:$FA,96)</f>
        <v>-103600</v>
      </c>
      <c r="M179" s="87">
        <f>VLOOKUP($A179,'Data shares'!$C:$FA,97)</f>
        <v>-9.8799999999999999E-2</v>
      </c>
      <c r="N179" s="86">
        <f>VLOOKUP($A179,'Data shares'!$C:$FA,78)</f>
        <v>5601400</v>
      </c>
      <c r="O179" s="87">
        <f>VLOOKUP($A179,'Data shares'!$C:$FA,81)</f>
        <v>2.3699999999999999E-2</v>
      </c>
    </row>
    <row r="180" spans="1:15" x14ac:dyDescent="0.25">
      <c r="A180" s="100" t="str">
        <f>'OI(Value)'!A180</f>
        <v>PHOENIXLTD</v>
      </c>
      <c r="B180" s="82">
        <f>VLOOKUP(A180,'Data shares'!$C$2:$CV$231,98,0)</f>
        <v>6623400</v>
      </c>
      <c r="C180" s="82">
        <f>VLOOKUP(A180,'Data shares'!$C$2:$CX$231,100,0)</f>
        <v>8750</v>
      </c>
      <c r="D180" s="141">
        <f>VLOOKUP(A180,'Data shares'!$C$2:$CY$554,101,0)</f>
        <v>1.2999999999999999E-3</v>
      </c>
      <c r="E180" s="86">
        <f>VLOOKUP($A180,'Data shares'!$C:$FA,74)</f>
        <v>4566450</v>
      </c>
      <c r="F180" s="86">
        <f>VLOOKUP($A180,'Data shares'!$C:$FA,76)</f>
        <v>69300</v>
      </c>
      <c r="G180" s="87">
        <f>VLOOKUP(A180,'Data shares'!$C$2:$CA$231,77,0)</f>
        <v>1.54E-2</v>
      </c>
      <c r="H180" s="86">
        <f>VLOOKUP($A180,'Data shares'!$C:$FA,90)</f>
        <v>1279950</v>
      </c>
      <c r="I180" s="86">
        <f>VLOOKUP($A180,'Data shares'!$C:$FA,92)</f>
        <v>-52500</v>
      </c>
      <c r="J180" s="87">
        <f>VLOOKUP($A180,'Data shares'!$C:$FA,93)</f>
        <v>-3.9399999999999998E-2</v>
      </c>
      <c r="K180" s="86">
        <f>VLOOKUP($A180,'Data shares'!$C:$FA,94)</f>
        <v>777000</v>
      </c>
      <c r="L180" s="86">
        <f>VLOOKUP($A180,'Data shares'!$C:$FA,96)</f>
        <v>-8050</v>
      </c>
      <c r="M180" s="87">
        <f>VLOOKUP($A180,'Data shares'!$C:$FA,97)</f>
        <v>-1.03E-2</v>
      </c>
      <c r="N180" s="86">
        <f>VLOOKUP($A180,'Data shares'!$C:$FA,78)</f>
        <v>4372200</v>
      </c>
      <c r="O180" s="87">
        <f>VLOOKUP($A180,'Data shares'!$C:$FA,81)</f>
        <v>1.24E-2</v>
      </c>
    </row>
    <row r="181" spans="1:15" x14ac:dyDescent="0.25">
      <c r="A181" s="100" t="str">
        <f>'OI(Value)'!A181</f>
        <v>PIDILITIND</v>
      </c>
      <c r="B181" s="82">
        <f>VLOOKUP(A181,'Data shares'!$C$2:$CV$231,98,0)</f>
        <v>5149500</v>
      </c>
      <c r="C181" s="82">
        <f>VLOOKUP(A181,'Data shares'!$C$2:$CX$231,100,0)</f>
        <v>222000</v>
      </c>
      <c r="D181" s="141">
        <f>VLOOKUP(A181,'Data shares'!$C$2:$CY$554,101,0)</f>
        <v>4.5100000000000001E-2</v>
      </c>
      <c r="E181" s="86">
        <f>VLOOKUP($A181,'Data shares'!$C:$FA,74)</f>
        <v>3441000</v>
      </c>
      <c r="F181" s="86">
        <f>VLOOKUP($A181,'Data shares'!$C:$FA,76)</f>
        <v>63500</v>
      </c>
      <c r="G181" s="87">
        <f>VLOOKUP(A181,'Data shares'!$C$2:$CA$231,77,0)</f>
        <v>1.8800000000000001E-2</v>
      </c>
      <c r="H181" s="86">
        <f>VLOOKUP($A181,'Data shares'!$C:$FA,90)</f>
        <v>1153000</v>
      </c>
      <c r="I181" s="86">
        <f>VLOOKUP($A181,'Data shares'!$C:$FA,92)</f>
        <v>139500</v>
      </c>
      <c r="J181" s="87">
        <f>VLOOKUP($A181,'Data shares'!$C:$FA,93)</f>
        <v>0.1376</v>
      </c>
      <c r="K181" s="86">
        <f>VLOOKUP($A181,'Data shares'!$C:$FA,94)</f>
        <v>555500</v>
      </c>
      <c r="L181" s="86">
        <f>VLOOKUP($A181,'Data shares'!$C:$FA,96)</f>
        <v>19000</v>
      </c>
      <c r="M181" s="87">
        <f>VLOOKUP($A181,'Data shares'!$C:$FA,97)</f>
        <v>3.5400000000000001E-2</v>
      </c>
      <c r="N181" s="86">
        <f>VLOOKUP($A181,'Data shares'!$C:$FA,78)</f>
        <v>3293250</v>
      </c>
      <c r="O181" s="87">
        <f>VLOOKUP($A181,'Data shares'!$C:$FA,81)</f>
        <v>7.9000000000000008E-3</v>
      </c>
    </row>
    <row r="182" spans="1:15" x14ac:dyDescent="0.25">
      <c r="A182" s="100" t="str">
        <f>'OI(Value)'!A182</f>
        <v>PIIND</v>
      </c>
      <c r="B182" s="82">
        <f>VLOOKUP(A182,'Data shares'!$C$2:$CV$231,98,0)</f>
        <v>2344125</v>
      </c>
      <c r="C182" s="82">
        <f>VLOOKUP(A182,'Data shares'!$C$2:$CX$231,100,0)</f>
        <v>40950</v>
      </c>
      <c r="D182" s="141">
        <f>VLOOKUP(A182,'Data shares'!$C$2:$CY$554,101,0)</f>
        <v>1.78E-2</v>
      </c>
      <c r="E182" s="86">
        <f>VLOOKUP($A182,'Data shares'!$C:$FA,74)</f>
        <v>1501675</v>
      </c>
      <c r="F182" s="86">
        <f>VLOOKUP($A182,'Data shares'!$C:$FA,76)</f>
        <v>17675</v>
      </c>
      <c r="G182" s="87">
        <f>VLOOKUP(A182,'Data shares'!$C$2:$CA$231,77,0)</f>
        <v>1.1900000000000001E-2</v>
      </c>
      <c r="H182" s="86">
        <f>VLOOKUP($A182,'Data shares'!$C:$FA,90)</f>
        <v>550725</v>
      </c>
      <c r="I182" s="86">
        <f>VLOOKUP($A182,'Data shares'!$C:$FA,92)</f>
        <v>23450</v>
      </c>
      <c r="J182" s="87">
        <f>VLOOKUP($A182,'Data shares'!$C:$FA,93)</f>
        <v>4.4499999999999998E-2</v>
      </c>
      <c r="K182" s="86">
        <f>VLOOKUP($A182,'Data shares'!$C:$FA,94)</f>
        <v>291725</v>
      </c>
      <c r="L182" s="86">
        <f>VLOOKUP($A182,'Data shares'!$C:$FA,96)</f>
        <v>-175</v>
      </c>
      <c r="M182" s="87">
        <f>VLOOKUP($A182,'Data shares'!$C:$FA,97)</f>
        <v>-5.9999999999999995E-4</v>
      </c>
      <c r="N182" s="86">
        <f>VLOOKUP($A182,'Data shares'!$C:$FA,78)</f>
        <v>1452150</v>
      </c>
      <c r="O182" s="87">
        <f>VLOOKUP($A182,'Data shares'!$C:$FA,81)</f>
        <v>2.8999999999999998E-3</v>
      </c>
    </row>
    <row r="183" spans="1:15" x14ac:dyDescent="0.25">
      <c r="A183" s="100" t="str">
        <f>'OI(Value)'!A183</f>
        <v>PNB</v>
      </c>
      <c r="B183" s="82">
        <f>VLOOKUP(A183,'Data shares'!$C$2:$CV$231,98,0)</f>
        <v>470584000</v>
      </c>
      <c r="C183" s="82">
        <f>VLOOKUP(A183,'Data shares'!$C$2:$CX$231,100,0)</f>
        <v>27608000</v>
      </c>
      <c r="D183" s="141">
        <f>VLOOKUP(A183,'Data shares'!$C$2:$CY$554,101,0)</f>
        <v>6.2300000000000001E-2</v>
      </c>
      <c r="E183" s="86">
        <f>VLOOKUP($A183,'Data shares'!$C:$FA,74)</f>
        <v>238192000</v>
      </c>
      <c r="F183" s="86">
        <f>VLOOKUP($A183,'Data shares'!$C:$FA,76)</f>
        <v>7424000</v>
      </c>
      <c r="G183" s="87">
        <f>VLOOKUP(A183,'Data shares'!$C$2:$CA$231,77,0)</f>
        <v>3.2199999999999999E-2</v>
      </c>
      <c r="H183" s="86">
        <f>VLOOKUP($A183,'Data shares'!$C:$FA,90)</f>
        <v>133936000</v>
      </c>
      <c r="I183" s="86">
        <f>VLOOKUP($A183,'Data shares'!$C:$FA,92)</f>
        <v>15632000</v>
      </c>
      <c r="J183" s="87">
        <f>VLOOKUP($A183,'Data shares'!$C:$FA,93)</f>
        <v>0.1321</v>
      </c>
      <c r="K183" s="86">
        <f>VLOOKUP($A183,'Data shares'!$C:$FA,94)</f>
        <v>98456000</v>
      </c>
      <c r="L183" s="86">
        <f>VLOOKUP($A183,'Data shares'!$C:$FA,96)</f>
        <v>4552000</v>
      </c>
      <c r="M183" s="87">
        <f>VLOOKUP($A183,'Data shares'!$C:$FA,97)</f>
        <v>4.8500000000000001E-2</v>
      </c>
      <c r="N183" s="86">
        <f>VLOOKUP($A183,'Data shares'!$C:$FA,78)</f>
        <v>193784000</v>
      </c>
      <c r="O183" s="87">
        <f>VLOOKUP($A183,'Data shares'!$C:$FA,81)</f>
        <v>-1.6199999999999999E-2</v>
      </c>
    </row>
    <row r="184" spans="1:15" x14ac:dyDescent="0.25">
      <c r="A184" s="100" t="str">
        <f>'OI(Value)'!A184</f>
        <v>PNBHOUSING</v>
      </c>
      <c r="B184" s="82">
        <f>VLOOKUP(A184,'Data shares'!$C$2:$CV$231,98,0)</f>
        <v>15185950</v>
      </c>
      <c r="C184" s="82">
        <f>VLOOKUP(A184,'Data shares'!$C$2:$CX$231,100,0)</f>
        <v>495300</v>
      </c>
      <c r="D184" s="141">
        <f>VLOOKUP(A184,'Data shares'!$C$2:$CY$554,101,0)</f>
        <v>3.3700000000000001E-2</v>
      </c>
      <c r="E184" s="86">
        <f>VLOOKUP($A184,'Data shares'!$C:$FA,74)</f>
        <v>9972300</v>
      </c>
      <c r="F184" s="86">
        <f>VLOOKUP($A184,'Data shares'!$C:$FA,76)</f>
        <v>-300950</v>
      </c>
      <c r="G184" s="87">
        <f>VLOOKUP(A184,'Data shares'!$C$2:$CA$231,77,0)</f>
        <v>-2.93E-2</v>
      </c>
      <c r="H184" s="86">
        <f>VLOOKUP($A184,'Data shares'!$C:$FA,90)</f>
        <v>3379350</v>
      </c>
      <c r="I184" s="86">
        <f>VLOOKUP($A184,'Data shares'!$C:$FA,92)</f>
        <v>780000</v>
      </c>
      <c r="J184" s="87">
        <f>VLOOKUP($A184,'Data shares'!$C:$FA,93)</f>
        <v>0.30009999999999998</v>
      </c>
      <c r="K184" s="86">
        <f>VLOOKUP($A184,'Data shares'!$C:$FA,94)</f>
        <v>1834300</v>
      </c>
      <c r="L184" s="86">
        <f>VLOOKUP($A184,'Data shares'!$C:$FA,96)</f>
        <v>16250</v>
      </c>
      <c r="M184" s="87">
        <f>VLOOKUP($A184,'Data shares'!$C:$FA,97)</f>
        <v>8.8999999999999999E-3</v>
      </c>
      <c r="N184" s="86">
        <f>VLOOKUP($A184,'Data shares'!$C:$FA,78)</f>
        <v>9399650</v>
      </c>
      <c r="O184" s="87">
        <f>VLOOKUP($A184,'Data shares'!$C:$FA,81)</f>
        <v>-5.5300000000000002E-2</v>
      </c>
    </row>
    <row r="185" spans="1:15" x14ac:dyDescent="0.25">
      <c r="A185" s="100" t="str">
        <f>'OI(Value)'!A185</f>
        <v>POLICYBZR</v>
      </c>
      <c r="B185" s="82">
        <f>VLOOKUP(A185,'Data shares'!$C$2:$CV$231,98,0)</f>
        <v>10680250</v>
      </c>
      <c r="C185" s="82">
        <f>VLOOKUP(A185,'Data shares'!$C$2:$CX$231,100,0)</f>
        <v>-63000</v>
      </c>
      <c r="D185" s="141">
        <f>VLOOKUP(A185,'Data shares'!$C$2:$CY$554,101,0)</f>
        <v>-5.8999999999999999E-3</v>
      </c>
      <c r="E185" s="86">
        <f>VLOOKUP($A185,'Data shares'!$C:$FA,74)</f>
        <v>7836500</v>
      </c>
      <c r="F185" s="86">
        <f>VLOOKUP($A185,'Data shares'!$C:$FA,76)</f>
        <v>38850</v>
      </c>
      <c r="G185" s="87">
        <f>VLOOKUP(A185,'Data shares'!$C$2:$CA$231,77,0)</f>
        <v>5.0000000000000001E-3</v>
      </c>
      <c r="H185" s="86">
        <f>VLOOKUP($A185,'Data shares'!$C:$FA,90)</f>
        <v>1712900</v>
      </c>
      <c r="I185" s="86">
        <f>VLOOKUP($A185,'Data shares'!$C:$FA,92)</f>
        <v>-65450</v>
      </c>
      <c r="J185" s="87">
        <f>VLOOKUP($A185,'Data shares'!$C:$FA,93)</f>
        <v>-3.6799999999999999E-2</v>
      </c>
      <c r="K185" s="86">
        <f>VLOOKUP($A185,'Data shares'!$C:$FA,94)</f>
        <v>1130850</v>
      </c>
      <c r="L185" s="86">
        <f>VLOOKUP($A185,'Data shares'!$C:$FA,96)</f>
        <v>-36400</v>
      </c>
      <c r="M185" s="87">
        <f>VLOOKUP($A185,'Data shares'!$C:$FA,97)</f>
        <v>-3.1199999999999999E-2</v>
      </c>
      <c r="N185" s="86">
        <f>VLOOKUP($A185,'Data shares'!$C:$FA,78)</f>
        <v>7611100</v>
      </c>
      <c r="O185" s="87">
        <f>VLOOKUP($A185,'Data shares'!$C:$FA,81)</f>
        <v>0</v>
      </c>
    </row>
    <row r="186" spans="1:15" x14ac:dyDescent="0.25">
      <c r="A186" s="100" t="str">
        <f>'OI(Value)'!A186</f>
        <v>POLYCAB</v>
      </c>
      <c r="B186" s="82">
        <f>VLOOKUP(A186,'Data shares'!$C$2:$CV$231,98,0)</f>
        <v>5465125</v>
      </c>
      <c r="C186" s="82">
        <f>VLOOKUP(A186,'Data shares'!$C$2:$CX$231,100,0)</f>
        <v>-271250</v>
      </c>
      <c r="D186" s="141">
        <f>VLOOKUP(A186,'Data shares'!$C$2:$CY$554,101,0)</f>
        <v>-4.7300000000000002E-2</v>
      </c>
      <c r="E186" s="86">
        <f>VLOOKUP($A186,'Data shares'!$C:$FA,74)</f>
        <v>2384750</v>
      </c>
      <c r="F186" s="86">
        <f>VLOOKUP($A186,'Data shares'!$C:$FA,76)</f>
        <v>-36875</v>
      </c>
      <c r="G186" s="87">
        <f>VLOOKUP(A186,'Data shares'!$C$2:$CA$231,77,0)</f>
        <v>-1.52E-2</v>
      </c>
      <c r="H186" s="86">
        <f>VLOOKUP($A186,'Data shares'!$C:$FA,90)</f>
        <v>1942000</v>
      </c>
      <c r="I186" s="86">
        <f>VLOOKUP($A186,'Data shares'!$C:$FA,92)</f>
        <v>-111000</v>
      </c>
      <c r="J186" s="87">
        <f>VLOOKUP($A186,'Data shares'!$C:$FA,93)</f>
        <v>-5.4100000000000002E-2</v>
      </c>
      <c r="K186" s="86">
        <f>VLOOKUP($A186,'Data shares'!$C:$FA,94)</f>
        <v>1138375</v>
      </c>
      <c r="L186" s="86">
        <f>VLOOKUP($A186,'Data shares'!$C:$FA,96)</f>
        <v>-123375</v>
      </c>
      <c r="M186" s="87">
        <f>VLOOKUP($A186,'Data shares'!$C:$FA,97)</f>
        <v>-9.7799999999999998E-2</v>
      </c>
      <c r="N186" s="86">
        <f>VLOOKUP($A186,'Data shares'!$C:$FA,78)</f>
        <v>2116375</v>
      </c>
      <c r="O186" s="87">
        <f>VLOOKUP($A186,'Data shares'!$C:$FA,81)</f>
        <v>-2.41E-2</v>
      </c>
    </row>
    <row r="187" spans="1:15" x14ac:dyDescent="0.25">
      <c r="A187" s="100" t="str">
        <f>'OI(Value)'!A187</f>
        <v>POONAWALLA</v>
      </c>
      <c r="B187" s="82">
        <f>VLOOKUP(A187,'Data shares'!$C$2:$CV$231,98,0)</f>
        <v>23847600</v>
      </c>
      <c r="C187" s="82">
        <f>VLOOKUP(A187,'Data shares'!$C$2:$CX$231,100,0)</f>
        <v>-232900</v>
      </c>
      <c r="D187" s="141">
        <f>VLOOKUP(A187,'Data shares'!$C$2:$CY$554,101,0)</f>
        <v>-9.7000000000000003E-3</v>
      </c>
      <c r="E187" s="86">
        <f>VLOOKUP($A187,'Data shares'!$C:$FA,74)</f>
        <v>14524800</v>
      </c>
      <c r="F187" s="86">
        <f>VLOOKUP($A187,'Data shares'!$C:$FA,76)</f>
        <v>-136000</v>
      </c>
      <c r="G187" s="87">
        <f>VLOOKUP(A187,'Data shares'!$C$2:$CA$231,77,0)</f>
        <v>-9.2999999999999992E-3</v>
      </c>
      <c r="H187" s="86">
        <f>VLOOKUP($A187,'Data shares'!$C:$FA,90)</f>
        <v>5861600</v>
      </c>
      <c r="I187" s="86">
        <f>VLOOKUP($A187,'Data shares'!$C:$FA,92)</f>
        <v>-147900</v>
      </c>
      <c r="J187" s="87">
        <f>VLOOKUP($A187,'Data shares'!$C:$FA,93)</f>
        <v>-2.46E-2</v>
      </c>
      <c r="K187" s="86">
        <f>VLOOKUP($A187,'Data shares'!$C:$FA,94)</f>
        <v>3461200</v>
      </c>
      <c r="L187" s="86">
        <f>VLOOKUP($A187,'Data shares'!$C:$FA,96)</f>
        <v>51000</v>
      </c>
      <c r="M187" s="87">
        <f>VLOOKUP($A187,'Data shares'!$C:$FA,97)</f>
        <v>1.4999999999999999E-2</v>
      </c>
      <c r="N187" s="86">
        <f>VLOOKUP($A187,'Data shares'!$C:$FA,78)</f>
        <v>13390900</v>
      </c>
      <c r="O187" s="87">
        <f>VLOOKUP($A187,'Data shares'!$C:$FA,81)</f>
        <v>-1.9800000000000002E-2</v>
      </c>
    </row>
    <row r="188" spans="1:15" x14ac:dyDescent="0.25">
      <c r="A188" s="100" t="str">
        <f>'OI(Value)'!A188</f>
        <v>POWERGRID</v>
      </c>
      <c r="B188" s="82">
        <f>VLOOKUP(A188,'Data shares'!$C$2:$CV$231,98,0)</f>
        <v>122181400</v>
      </c>
      <c r="C188" s="82">
        <f>VLOOKUP(A188,'Data shares'!$C$2:$CX$231,100,0)</f>
        <v>-3178700</v>
      </c>
      <c r="D188" s="141">
        <f>VLOOKUP(A188,'Data shares'!$C$2:$CY$554,101,0)</f>
        <v>-2.5399999999999999E-2</v>
      </c>
      <c r="E188" s="86">
        <f>VLOOKUP($A188,'Data shares'!$C:$FA,74)</f>
        <v>80197100</v>
      </c>
      <c r="F188" s="86">
        <f>VLOOKUP($A188,'Data shares'!$C:$FA,76)</f>
        <v>-1835400</v>
      </c>
      <c r="G188" s="87">
        <f>VLOOKUP(A188,'Data shares'!$C$2:$CA$231,77,0)</f>
        <v>-2.24E-2</v>
      </c>
      <c r="H188" s="86">
        <f>VLOOKUP($A188,'Data shares'!$C:$FA,90)</f>
        <v>26776700</v>
      </c>
      <c r="I188" s="86">
        <f>VLOOKUP($A188,'Data shares'!$C:$FA,92)</f>
        <v>-1472500</v>
      </c>
      <c r="J188" s="87">
        <f>VLOOKUP($A188,'Data shares'!$C:$FA,93)</f>
        <v>-5.21E-2</v>
      </c>
      <c r="K188" s="86">
        <f>VLOOKUP($A188,'Data shares'!$C:$FA,94)</f>
        <v>15207600</v>
      </c>
      <c r="L188" s="86">
        <f>VLOOKUP($A188,'Data shares'!$C:$FA,96)</f>
        <v>129200</v>
      </c>
      <c r="M188" s="87">
        <f>VLOOKUP($A188,'Data shares'!$C:$FA,97)</f>
        <v>8.6E-3</v>
      </c>
      <c r="N188" s="86">
        <f>VLOOKUP($A188,'Data shares'!$C:$FA,78)</f>
        <v>50813600</v>
      </c>
      <c r="O188" s="87">
        <f>VLOOKUP($A188,'Data shares'!$C:$FA,81)</f>
        <v>-3.5499999999999997E-2</v>
      </c>
    </row>
    <row r="189" spans="1:15" x14ac:dyDescent="0.25">
      <c r="A189" s="100" t="str">
        <f>'OI(Value)'!A189</f>
        <v>ZYDUSLIFE</v>
      </c>
      <c r="B189" s="82">
        <f>VLOOKUP(A189,'Data shares'!$C$2:$CV$231,98,0)</f>
        <v>16453800</v>
      </c>
      <c r="C189" s="82">
        <f>VLOOKUP(A189,'Data shares'!$C$2:$CX$231,100,0)</f>
        <v>40500</v>
      </c>
      <c r="D189" s="141">
        <f>VLOOKUP(A189,'Data shares'!$C$2:$CY$554,101,0)</f>
        <v>2.5000000000000001E-3</v>
      </c>
      <c r="E189" s="86">
        <f>VLOOKUP($A189,'Data shares'!$C:$FA,74)</f>
        <v>10287000</v>
      </c>
      <c r="F189" s="86">
        <f>VLOOKUP($A189,'Data shares'!$C:$FA,76)</f>
        <v>77400</v>
      </c>
      <c r="G189" s="87">
        <f>VLOOKUP(A189,'Data shares'!$C$2:$CA$231,77,0)</f>
        <v>7.6E-3</v>
      </c>
      <c r="H189" s="86">
        <f>VLOOKUP($A189,'Data shares'!$C:$FA,90)</f>
        <v>3537900</v>
      </c>
      <c r="I189" s="86">
        <f>VLOOKUP($A189,'Data shares'!$C:$FA,92)</f>
        <v>-52200</v>
      </c>
      <c r="J189" s="87">
        <f>VLOOKUP($A189,'Data shares'!$C:$FA,93)</f>
        <v>-1.4500000000000001E-2</v>
      </c>
      <c r="K189" s="86">
        <f>VLOOKUP($A189,'Data shares'!$C:$FA,94)</f>
        <v>2628900</v>
      </c>
      <c r="L189" s="86">
        <f>VLOOKUP($A189,'Data shares'!$C:$FA,96)</f>
        <v>15300</v>
      </c>
      <c r="M189" s="87">
        <f>VLOOKUP($A189,'Data shares'!$C:$FA,97)</f>
        <v>5.8999999999999999E-3</v>
      </c>
      <c r="N189" s="86">
        <f>VLOOKUP($A189,'Data shares'!$C:$FA,78)</f>
        <v>8715600</v>
      </c>
      <c r="O189" s="87">
        <f>VLOOKUP($A189,'Data shares'!$C:$FA,81)</f>
        <v>-7.0000000000000001E-3</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19497383926</v>
      </c>
      <c r="C216" s="119">
        <f>SUM(C7:C215)</f>
        <v>489476058</v>
      </c>
      <c r="D216" s="120">
        <f>C216*100/(B216-C216)</f>
        <v>2.5751180056172189</v>
      </c>
      <c r="E216" s="119">
        <f>SUM(E7:E215)</f>
        <v>11660619488</v>
      </c>
      <c r="F216" s="119">
        <f>SUM(F7:F215)</f>
        <v>108020558</v>
      </c>
      <c r="G216" s="120">
        <f>F216*100/(E216-F216)</f>
        <v>0.93503252951584981</v>
      </c>
      <c r="H216" s="119">
        <f>SUM(H7:H215)</f>
        <v>4860803889</v>
      </c>
      <c r="I216" s="119">
        <f>SUM(I7:I215)</f>
        <v>233591043</v>
      </c>
      <c r="J216" s="120">
        <f>I216*100/(H216-I216)</f>
        <v>5.0482018176866035</v>
      </c>
      <c r="K216" s="119">
        <f>SUM(K7:K215)</f>
        <v>2975960549</v>
      </c>
      <c r="L216" s="119">
        <f>SUM(L7:L215)</f>
        <v>147864457</v>
      </c>
      <c r="M216" s="120">
        <f>L216*100/(K216-L216)</f>
        <v>5.2284099333920366</v>
      </c>
      <c r="N216" s="119">
        <f>SUM(N7:N215)</f>
        <v>9623933158</v>
      </c>
      <c r="O216" s="120">
        <f>(N216-FII!V3)/N216*100</f>
        <v>-23.575020698413706</v>
      </c>
    </row>
    <row r="217" spans="1:15" s="89" customFormat="1" ht="16.5" customHeight="1" x14ac:dyDescent="0.25">
      <c r="A217" s="118" t="s">
        <v>409</v>
      </c>
      <c r="B217" s="121">
        <f>B216/10000000</f>
        <v>1949.7383926</v>
      </c>
      <c r="C217" s="121">
        <f>C216/10000000</f>
        <v>48.947605799999998</v>
      </c>
      <c r="D217" s="120">
        <f>D216</f>
        <v>2.5751180056172189</v>
      </c>
      <c r="E217" s="121">
        <f>E216/10000000</f>
        <v>1166.0619488</v>
      </c>
      <c r="F217" s="121">
        <f>F216/10000000</f>
        <v>10.8020558</v>
      </c>
      <c r="G217" s="120">
        <f>G216</f>
        <v>0.93503252951584981</v>
      </c>
      <c r="H217" s="121">
        <f>H216/10000000</f>
        <v>486.0803889</v>
      </c>
      <c r="I217" s="121">
        <f>I216/10000000</f>
        <v>23.359104299999998</v>
      </c>
      <c r="J217" s="120">
        <f>J216</f>
        <v>5.0482018176866035</v>
      </c>
      <c r="K217" s="121">
        <f>K216/10000000</f>
        <v>297.59605490000001</v>
      </c>
      <c r="L217" s="121">
        <f>L216/10000000</f>
        <v>14.7864457</v>
      </c>
      <c r="M217" s="120">
        <f>M216</f>
        <v>5.2284099333920366</v>
      </c>
      <c r="N217" s="121">
        <f>N216/10000000</f>
        <v>962.39331579999998</v>
      </c>
      <c r="O217" s="120">
        <f>O216</f>
        <v>-23.575020698413706</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1166.0619488</v>
      </c>
      <c r="C227" s="37">
        <f>F217</f>
        <v>10.8020558</v>
      </c>
      <c r="D227" s="39">
        <f>C227/B227</f>
        <v>9.26370662477791E-3</v>
      </c>
    </row>
    <row r="228" spans="1:4" x14ac:dyDescent="0.25">
      <c r="A228" s="36" t="s">
        <v>404</v>
      </c>
      <c r="B228" s="37">
        <f>H217</f>
        <v>486.0803889</v>
      </c>
      <c r="C228" s="37">
        <f>I217</f>
        <v>23.359104299999998</v>
      </c>
      <c r="D228" s="39">
        <f>C228/B228</f>
        <v>4.8056051701369097E-2</v>
      </c>
    </row>
    <row r="229" spans="1:4" x14ac:dyDescent="0.25">
      <c r="A229" s="36" t="s">
        <v>405</v>
      </c>
      <c r="B229" s="37">
        <f>K217</f>
        <v>297.59605490000001</v>
      </c>
      <c r="C229" s="37">
        <f>L217</f>
        <v>14.7864457</v>
      </c>
      <c r="D229" s="39">
        <f>C229/B229</f>
        <v>4.9686296093436548E-2</v>
      </c>
    </row>
    <row r="230" spans="1:4" x14ac:dyDescent="0.25">
      <c r="A230" s="36" t="s">
        <v>406</v>
      </c>
      <c r="B230" s="40">
        <f>SUM(B227:B229)</f>
        <v>1949.7383926000002</v>
      </c>
      <c r="C230" s="40">
        <f>SUM(C227:C229)</f>
        <v>48.947605799999998</v>
      </c>
      <c r="D230" s="41">
        <f>C230/B230</f>
        <v>2.5104704295599248E-2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45860</v>
      </c>
      <c r="C6" s="76" t="s">
        <v>333</v>
      </c>
      <c r="D6" s="76" t="s">
        <v>328</v>
      </c>
      <c r="E6" s="3">
        <f>B6</f>
        <v>45860</v>
      </c>
      <c r="F6" s="76" t="s">
        <v>333</v>
      </c>
      <c r="G6" s="76" t="s">
        <v>328</v>
      </c>
      <c r="H6" s="3">
        <f>E6</f>
        <v>45860</v>
      </c>
      <c r="I6" s="76" t="s">
        <v>333</v>
      </c>
      <c r="J6" s="76" t="s">
        <v>328</v>
      </c>
      <c r="K6" s="3">
        <f>E6</f>
        <v>45860</v>
      </c>
      <c r="L6" s="76" t="s">
        <v>333</v>
      </c>
      <c r="M6" s="76" t="s">
        <v>328</v>
      </c>
      <c r="N6" s="76" t="s">
        <v>339</v>
      </c>
      <c r="O6" s="76" t="s">
        <v>328</v>
      </c>
    </row>
    <row r="7" spans="1:15" x14ac:dyDescent="0.25">
      <c r="A7" s="97" t="str">
        <f>'Data Vlaue (Cr)'!C2</f>
        <v>360ONE</v>
      </c>
      <c r="B7" s="142">
        <f>VLOOKUP(A7,'Data Vlaue (Cr)'!C2:CW231,99,0)</f>
        <v>911</v>
      </c>
      <c r="C7" s="90">
        <f>VLOOKUP(A7,'Data Vlaue (Cr)'!C2:CY231,101,0)</f>
        <v>524</v>
      </c>
      <c r="D7" s="139">
        <f>VLOOKUP(A7,'Data Vlaue (Cr)'!C2:CZ231,102,0)</f>
        <v>1.3567</v>
      </c>
      <c r="E7" s="91">
        <f>VLOOKUP($A7,'Data Vlaue (Cr)'!$C:$FB,75)</f>
        <v>418</v>
      </c>
      <c r="F7" s="91">
        <f>VLOOKUP($A7,'Data Vlaue (Cr)'!$C:$FB,77)</f>
        <v>210</v>
      </c>
      <c r="G7" s="92">
        <f>VLOOKUP(A7,'Data Vlaue (Cr)'!C2:CB231,78,0)</f>
        <v>1.0126999999999999</v>
      </c>
      <c r="H7" s="91">
        <f>VLOOKUP($A7,'Data Vlaue (Cr)'!$C:$FB,91)</f>
        <v>309</v>
      </c>
      <c r="I7" s="91">
        <f>VLOOKUP($A7,'Data Vlaue (Cr)'!$C:$FB,93)</f>
        <v>194</v>
      </c>
      <c r="J7" s="92">
        <f>VLOOKUP($A7,'Data Vlaue (Cr)'!$C:$FB,94)</f>
        <v>1.6751</v>
      </c>
      <c r="K7" s="91">
        <f>VLOOKUP($A7,'Data Vlaue (Cr)'!$C:$FB,95)</f>
        <v>184</v>
      </c>
      <c r="L7" s="91">
        <f>VLOOKUP($A7,'Data Vlaue (Cr)'!$C:$FB,97)</f>
        <v>120</v>
      </c>
      <c r="M7" s="92">
        <f>VLOOKUP($A7,'Data Vlaue (Cr)'!$C:$FB,98)</f>
        <v>1.9033</v>
      </c>
      <c r="N7" s="91">
        <f>VLOOKUP($A7,'Data Vlaue (Cr)'!$C:$FB,79)</f>
        <v>385</v>
      </c>
      <c r="O7" s="92">
        <f>VLOOKUP($A7,'Data Vlaue (Cr)'!$C:$FB,82)</f>
        <v>0.90200000000000002</v>
      </c>
    </row>
    <row r="8" spans="1:15" x14ac:dyDescent="0.25">
      <c r="A8" s="97" t="str">
        <f>'Data Vlaue (Cr)'!C3</f>
        <v>AARTIIND</v>
      </c>
      <c r="B8" s="142">
        <f>VLOOKUP(A8,'Data Vlaue (Cr)'!C3:CW232,99,0)</f>
        <v>1509</v>
      </c>
      <c r="C8" s="90">
        <f>VLOOKUP(A8,'Data Vlaue (Cr)'!C3:CY232,101,0)</f>
        <v>313</v>
      </c>
      <c r="D8" s="139">
        <f>VLOOKUP(A8,'Data Vlaue (Cr)'!C3:CZ232,102,0)</f>
        <v>0.26140000000000002</v>
      </c>
      <c r="E8" s="91">
        <f>VLOOKUP($A8,'Data Vlaue (Cr)'!$C:$FB,75)</f>
        <v>509</v>
      </c>
      <c r="F8" s="91">
        <f>VLOOKUP($A8,'Data Vlaue (Cr)'!$C:$FB,77)</f>
        <v>-9</v>
      </c>
      <c r="G8" s="92">
        <f>VLOOKUP(A8,'Data Vlaue (Cr)'!C3:CB232,78,0)</f>
        <v>-1.66E-2</v>
      </c>
      <c r="H8" s="91">
        <f>VLOOKUP($A8,'Data Vlaue (Cr)'!$C:$FB,91)</f>
        <v>797</v>
      </c>
      <c r="I8" s="91">
        <f>VLOOKUP($A8,'Data Vlaue (Cr)'!$C:$FB,93)</f>
        <v>292</v>
      </c>
      <c r="J8" s="92">
        <f>VLOOKUP($A8,'Data Vlaue (Cr)'!$C:$FB,94)</f>
        <v>0.57679999999999998</v>
      </c>
      <c r="K8" s="91">
        <f>VLOOKUP($A8,'Data Vlaue (Cr)'!$C:$FB,95)</f>
        <v>202</v>
      </c>
      <c r="L8" s="91">
        <f>VLOOKUP($A8,'Data Vlaue (Cr)'!$C:$FB,97)</f>
        <v>30</v>
      </c>
      <c r="M8" s="92">
        <f>VLOOKUP($A8,'Data Vlaue (Cr)'!$C:$FB,98)</f>
        <v>0.17150000000000001</v>
      </c>
      <c r="N8" s="91">
        <f>VLOOKUP($A8,'Data Vlaue (Cr)'!$C:$FB,79)</f>
        <v>509</v>
      </c>
      <c r="O8" s="92">
        <f>VLOOKUP($A8,'Data Vlaue (Cr)'!$C:$FB,82)</f>
        <v>-1.66E-2</v>
      </c>
    </row>
    <row r="9" spans="1:15" x14ac:dyDescent="0.25">
      <c r="A9" s="97" t="str">
        <f>'Data Vlaue (Cr)'!C4</f>
        <v>ABB</v>
      </c>
      <c r="B9" s="142">
        <f>VLOOKUP(A9,'Data Vlaue (Cr)'!C4:CW233,99,0)</f>
        <v>3346</v>
      </c>
      <c r="C9" s="90">
        <f>VLOOKUP(A9,'Data Vlaue (Cr)'!C4:CY233,101,0)</f>
        <v>12</v>
      </c>
      <c r="D9" s="139">
        <f>VLOOKUP(A9,'Data Vlaue (Cr)'!C4:CZ233,102,0)</f>
        <v>3.7000000000000002E-3</v>
      </c>
      <c r="E9" s="91">
        <f>VLOOKUP($A9,'Data Vlaue (Cr)'!$C:$FB,75)</f>
        <v>1762</v>
      </c>
      <c r="F9" s="91">
        <f>VLOOKUP($A9,'Data Vlaue (Cr)'!$C:$FB,77)</f>
        <v>-10</v>
      </c>
      <c r="G9" s="92">
        <f>VLOOKUP(A9,'Data Vlaue (Cr)'!C4:CB233,78,0)</f>
        <v>-5.7999999999999996E-3</v>
      </c>
      <c r="H9" s="91">
        <f>VLOOKUP($A9,'Data Vlaue (Cr)'!$C:$FB,91)</f>
        <v>1018</v>
      </c>
      <c r="I9" s="91">
        <f>VLOOKUP($A9,'Data Vlaue (Cr)'!$C:$FB,93)</f>
        <v>54</v>
      </c>
      <c r="J9" s="92">
        <f>VLOOKUP($A9,'Data Vlaue (Cr)'!$C:$FB,94)</f>
        <v>5.5599999999999997E-2</v>
      </c>
      <c r="K9" s="91">
        <f>VLOOKUP($A9,'Data Vlaue (Cr)'!$C:$FB,95)</f>
        <v>567</v>
      </c>
      <c r="L9" s="91">
        <f>VLOOKUP($A9,'Data Vlaue (Cr)'!$C:$FB,97)</f>
        <v>-31</v>
      </c>
      <c r="M9" s="92">
        <f>VLOOKUP($A9,'Data Vlaue (Cr)'!$C:$FB,98)</f>
        <v>-5.1999999999999998E-2</v>
      </c>
      <c r="N9" s="91">
        <f>VLOOKUP($A9,'Data Vlaue (Cr)'!$C:$FB,79)</f>
        <v>1621</v>
      </c>
      <c r="O9" s="92">
        <f>VLOOKUP($A9,'Data Vlaue (Cr)'!$C:$FB,82)</f>
        <v>-6.1999999999999998E-3</v>
      </c>
    </row>
    <row r="10" spans="1:15" x14ac:dyDescent="0.25">
      <c r="A10" s="97" t="str">
        <f>'Data Vlaue (Cr)'!C5</f>
        <v>ABCAPITAL</v>
      </c>
      <c r="B10" s="142">
        <f>VLOOKUP(A10,'Data Vlaue (Cr)'!C5:CW234,99,0)</f>
        <v>2469</v>
      </c>
      <c r="C10" s="90">
        <f>VLOOKUP(A10,'Data Vlaue (Cr)'!C5:CY234,101,0)</f>
        <v>-19</v>
      </c>
      <c r="D10" s="139">
        <f>VLOOKUP(A10,'Data Vlaue (Cr)'!C5:CZ234,102,0)</f>
        <v>-7.6E-3</v>
      </c>
      <c r="E10" s="91">
        <f>VLOOKUP($A10,'Data Vlaue (Cr)'!$C:$FB,75)</f>
        <v>1466</v>
      </c>
      <c r="F10" s="91">
        <f>VLOOKUP($A10,'Data Vlaue (Cr)'!$C:$FB,77)</f>
        <v>-14</v>
      </c>
      <c r="G10" s="92">
        <f>VLOOKUP(A10,'Data Vlaue (Cr)'!C5:CB234,78,0)</f>
        <v>-9.4000000000000004E-3</v>
      </c>
      <c r="H10" s="91">
        <f>VLOOKUP($A10,'Data Vlaue (Cr)'!$C:$FB,91)</f>
        <v>625</v>
      </c>
      <c r="I10" s="91">
        <f>VLOOKUP($A10,'Data Vlaue (Cr)'!$C:$FB,93)</f>
        <v>-4</v>
      </c>
      <c r="J10" s="92">
        <f>VLOOKUP($A10,'Data Vlaue (Cr)'!$C:$FB,94)</f>
        <v>-6.1999999999999998E-3</v>
      </c>
      <c r="K10" s="91">
        <f>VLOOKUP($A10,'Data Vlaue (Cr)'!$C:$FB,95)</f>
        <v>378</v>
      </c>
      <c r="L10" s="91">
        <f>VLOOKUP($A10,'Data Vlaue (Cr)'!$C:$FB,97)</f>
        <v>-1</v>
      </c>
      <c r="M10" s="92">
        <f>VLOOKUP($A10,'Data Vlaue (Cr)'!$C:$FB,98)</f>
        <v>-2.8999999999999998E-3</v>
      </c>
      <c r="N10" s="91">
        <f>VLOOKUP($A10,'Data Vlaue (Cr)'!$C:$FB,79)</f>
        <v>1323</v>
      </c>
      <c r="O10" s="92">
        <f>VLOOKUP($A10,'Data Vlaue (Cr)'!$C:$FB,82)</f>
        <v>-1.37E-2</v>
      </c>
    </row>
    <row r="11" spans="1:15" x14ac:dyDescent="0.25">
      <c r="A11" s="97" t="str">
        <f>'Data Vlaue (Cr)'!C6</f>
        <v>ABFRL</v>
      </c>
      <c r="B11" s="142">
        <f>VLOOKUP(A11,'Data Vlaue (Cr)'!C6:CW235,99,0)</f>
        <v>837</v>
      </c>
      <c r="C11" s="90">
        <f>VLOOKUP(A11,'Data Vlaue (Cr)'!C6:CY235,101,0)</f>
        <v>-6</v>
      </c>
      <c r="D11" s="139">
        <f>VLOOKUP(A11,'Data Vlaue (Cr)'!C6:CZ235,102,0)</f>
        <v>-7.1999999999999998E-3</v>
      </c>
      <c r="E11" s="91">
        <f>VLOOKUP($A11,'Data Vlaue (Cr)'!$C:$FB,75)</f>
        <v>451</v>
      </c>
      <c r="F11" s="91">
        <f>VLOOKUP($A11,'Data Vlaue (Cr)'!$C:$FB,77)</f>
        <v>-3</v>
      </c>
      <c r="G11" s="92">
        <f>VLOOKUP(A11,'Data Vlaue (Cr)'!C6:CB235,78,0)</f>
        <v>-6.7000000000000002E-3</v>
      </c>
      <c r="H11" s="91">
        <f>VLOOKUP($A11,'Data Vlaue (Cr)'!$C:$FB,91)</f>
        <v>227</v>
      </c>
      <c r="I11" s="91">
        <f>VLOOKUP($A11,'Data Vlaue (Cr)'!$C:$FB,93)</f>
        <v>-5</v>
      </c>
      <c r="J11" s="92">
        <f>VLOOKUP($A11,'Data Vlaue (Cr)'!$C:$FB,94)</f>
        <v>-2.0400000000000001E-2</v>
      </c>
      <c r="K11" s="91">
        <f>VLOOKUP($A11,'Data Vlaue (Cr)'!$C:$FB,95)</f>
        <v>160</v>
      </c>
      <c r="L11" s="91">
        <f>VLOOKUP($A11,'Data Vlaue (Cr)'!$C:$FB,97)</f>
        <v>2</v>
      </c>
      <c r="M11" s="92">
        <f>VLOOKUP($A11,'Data Vlaue (Cr)'!$C:$FB,98)</f>
        <v>1.11E-2</v>
      </c>
      <c r="N11" s="91">
        <f>VLOOKUP($A11,'Data Vlaue (Cr)'!$C:$FB,79)</f>
        <v>384</v>
      </c>
      <c r="O11" s="92">
        <f>VLOOKUP($A11,'Data Vlaue (Cr)'!$C:$FB,82)</f>
        <v>-2.3300000000000001E-2</v>
      </c>
    </row>
    <row r="12" spans="1:15" x14ac:dyDescent="0.25">
      <c r="A12" s="97" t="str">
        <f>'Data Vlaue (Cr)'!C7</f>
        <v>ACC</v>
      </c>
      <c r="B12" s="142">
        <f>VLOOKUP(A12,'Data Vlaue (Cr)'!C7:CW236,99,0)</f>
        <v>1324</v>
      </c>
      <c r="C12" s="90">
        <f>VLOOKUP(A12,'Data Vlaue (Cr)'!C7:CY236,101,0)</f>
        <v>12</v>
      </c>
      <c r="D12" s="139">
        <f>VLOOKUP(A12,'Data Vlaue (Cr)'!C7:CZ236,102,0)</f>
        <v>9.4000000000000004E-3</v>
      </c>
      <c r="E12" s="91">
        <f>VLOOKUP($A12,'Data Vlaue (Cr)'!$C:$FB,75)</f>
        <v>712</v>
      </c>
      <c r="F12" s="91">
        <f>VLOOKUP($A12,'Data Vlaue (Cr)'!$C:$FB,77)</f>
        <v>-16</v>
      </c>
      <c r="G12" s="92">
        <f>VLOOKUP(A12,'Data Vlaue (Cr)'!C7:CB236,78,0)</f>
        <v>-2.1600000000000001E-2</v>
      </c>
      <c r="H12" s="91">
        <f>VLOOKUP($A12,'Data Vlaue (Cr)'!$C:$FB,91)</f>
        <v>375</v>
      </c>
      <c r="I12" s="91">
        <f>VLOOKUP($A12,'Data Vlaue (Cr)'!$C:$FB,93)</f>
        <v>15</v>
      </c>
      <c r="J12" s="92">
        <f>VLOOKUP($A12,'Data Vlaue (Cr)'!$C:$FB,94)</f>
        <v>4.2700000000000002E-2</v>
      </c>
      <c r="K12" s="91">
        <f>VLOOKUP($A12,'Data Vlaue (Cr)'!$C:$FB,95)</f>
        <v>237</v>
      </c>
      <c r="L12" s="91">
        <f>VLOOKUP($A12,'Data Vlaue (Cr)'!$C:$FB,97)</f>
        <v>13</v>
      </c>
      <c r="M12" s="92">
        <f>VLOOKUP($A12,'Data Vlaue (Cr)'!$C:$FB,98)</f>
        <v>5.7000000000000002E-2</v>
      </c>
      <c r="N12" s="91">
        <f>VLOOKUP($A12,'Data Vlaue (Cr)'!$C:$FB,79)</f>
        <v>712</v>
      </c>
      <c r="O12" s="92">
        <f>VLOOKUP($A12,'Data Vlaue (Cr)'!$C:$FB,82)</f>
        <v>-2.1600000000000001E-2</v>
      </c>
    </row>
    <row r="13" spans="1:15" x14ac:dyDescent="0.25">
      <c r="A13" s="97" t="str">
        <f>'Data Vlaue (Cr)'!C8</f>
        <v>ADANIENSOL</v>
      </c>
      <c r="B13" s="142">
        <f>VLOOKUP(A13,'Data Vlaue (Cr)'!C8:CW237,99,0)</f>
        <v>2254</v>
      </c>
      <c r="C13" s="90">
        <f>VLOOKUP(A13,'Data Vlaue (Cr)'!C8:CY237,101,0)</f>
        <v>-22</v>
      </c>
      <c r="D13" s="139">
        <f>VLOOKUP(A13,'Data Vlaue (Cr)'!C8:CZ237,102,0)</f>
        <v>-9.7999999999999997E-3</v>
      </c>
      <c r="E13" s="91">
        <f>VLOOKUP($A13,'Data Vlaue (Cr)'!$C:$FB,75)</f>
        <v>1718</v>
      </c>
      <c r="F13" s="91">
        <f>VLOOKUP($A13,'Data Vlaue (Cr)'!$C:$FB,77)</f>
        <v>-12</v>
      </c>
      <c r="G13" s="92">
        <f>VLOOKUP(A13,'Data Vlaue (Cr)'!C8:CB237,78,0)</f>
        <v>-6.8999999999999999E-3</v>
      </c>
      <c r="H13" s="91">
        <f>VLOOKUP($A13,'Data Vlaue (Cr)'!$C:$FB,91)</f>
        <v>318</v>
      </c>
      <c r="I13" s="91">
        <f>VLOOKUP($A13,'Data Vlaue (Cr)'!$C:$FB,93)</f>
        <v>-8</v>
      </c>
      <c r="J13" s="92">
        <f>VLOOKUP($A13,'Data Vlaue (Cr)'!$C:$FB,94)</f>
        <v>-2.5100000000000001E-2</v>
      </c>
      <c r="K13" s="91">
        <f>VLOOKUP($A13,'Data Vlaue (Cr)'!$C:$FB,95)</f>
        <v>218</v>
      </c>
      <c r="L13" s="91">
        <f>VLOOKUP($A13,'Data Vlaue (Cr)'!$C:$FB,97)</f>
        <v>-2</v>
      </c>
      <c r="M13" s="92">
        <f>VLOOKUP($A13,'Data Vlaue (Cr)'!$C:$FB,98)</f>
        <v>-9.9000000000000008E-3</v>
      </c>
      <c r="N13" s="91">
        <f>VLOOKUP($A13,'Data Vlaue (Cr)'!$C:$FB,79)</f>
        <v>1634</v>
      </c>
      <c r="O13" s="92">
        <f>VLOOKUP($A13,'Data Vlaue (Cr)'!$C:$FB,82)</f>
        <v>-1.0500000000000001E-2</v>
      </c>
    </row>
    <row r="14" spans="1:15" x14ac:dyDescent="0.25">
      <c r="A14" s="97" t="str">
        <f>'Data Vlaue (Cr)'!C9</f>
        <v>ADANIENT</v>
      </c>
      <c r="B14" s="142">
        <f>VLOOKUP(A14,'Data Vlaue (Cr)'!C9:CW238,99,0)</f>
        <v>8620</v>
      </c>
      <c r="C14" s="90">
        <f>VLOOKUP(A14,'Data Vlaue (Cr)'!C9:CY238,101,0)</f>
        <v>42</v>
      </c>
      <c r="D14" s="139">
        <f>VLOOKUP(A14,'Data Vlaue (Cr)'!C9:CZ238,102,0)</f>
        <v>4.7999999999999996E-3</v>
      </c>
      <c r="E14" s="91">
        <f>VLOOKUP($A14,'Data Vlaue (Cr)'!$C:$FB,75)</f>
        <v>4735</v>
      </c>
      <c r="F14" s="91">
        <f>VLOOKUP($A14,'Data Vlaue (Cr)'!$C:$FB,77)</f>
        <v>11</v>
      </c>
      <c r="G14" s="92">
        <f>VLOOKUP(A14,'Data Vlaue (Cr)'!C9:CB238,78,0)</f>
        <v>2.2000000000000001E-3</v>
      </c>
      <c r="H14" s="91">
        <f>VLOOKUP($A14,'Data Vlaue (Cr)'!$C:$FB,91)</f>
        <v>2138</v>
      </c>
      <c r="I14" s="91">
        <f>VLOOKUP($A14,'Data Vlaue (Cr)'!$C:$FB,93)</f>
        <v>45</v>
      </c>
      <c r="J14" s="92">
        <f>VLOOKUP($A14,'Data Vlaue (Cr)'!$C:$FB,94)</f>
        <v>2.1399999999999999E-2</v>
      </c>
      <c r="K14" s="91">
        <f>VLOOKUP($A14,'Data Vlaue (Cr)'!$C:$FB,95)</f>
        <v>1748</v>
      </c>
      <c r="L14" s="91">
        <f>VLOOKUP($A14,'Data Vlaue (Cr)'!$C:$FB,97)</f>
        <v>-14</v>
      </c>
      <c r="M14" s="92">
        <f>VLOOKUP($A14,'Data Vlaue (Cr)'!$C:$FB,98)</f>
        <v>-7.7999999999999996E-3</v>
      </c>
      <c r="N14" s="91">
        <f>VLOOKUP($A14,'Data Vlaue (Cr)'!$C:$FB,79)</f>
        <v>4502</v>
      </c>
      <c r="O14" s="92">
        <f>VLOOKUP($A14,'Data Vlaue (Cr)'!$C:$FB,82)</f>
        <v>-2.3999999999999998E-3</v>
      </c>
    </row>
    <row r="15" spans="1:15" x14ac:dyDescent="0.25">
      <c r="A15" s="97" t="str">
        <f>'Data Vlaue (Cr)'!C10</f>
        <v>ADANIGREEN</v>
      </c>
      <c r="B15" s="142">
        <f>VLOOKUP(A15,'Data Vlaue (Cr)'!C10:CW239,99,0)</f>
        <v>3272</v>
      </c>
      <c r="C15" s="90">
        <f>VLOOKUP(A15,'Data Vlaue (Cr)'!C10:CY239,101,0)</f>
        <v>-45</v>
      </c>
      <c r="D15" s="139">
        <f>VLOOKUP(A15,'Data Vlaue (Cr)'!C10:CZ239,102,0)</f>
        <v>-1.35E-2</v>
      </c>
      <c r="E15" s="91">
        <f>VLOOKUP($A15,'Data Vlaue (Cr)'!$C:$FB,75)</f>
        <v>2013</v>
      </c>
      <c r="F15" s="91">
        <f>VLOOKUP($A15,'Data Vlaue (Cr)'!$C:$FB,77)</f>
        <v>19</v>
      </c>
      <c r="G15" s="92">
        <f>VLOOKUP(A15,'Data Vlaue (Cr)'!C10:CB239,78,0)</f>
        <v>9.4000000000000004E-3</v>
      </c>
      <c r="H15" s="91">
        <f>VLOOKUP($A15,'Data Vlaue (Cr)'!$C:$FB,91)</f>
        <v>784</v>
      </c>
      <c r="I15" s="91">
        <f>VLOOKUP($A15,'Data Vlaue (Cr)'!$C:$FB,93)</f>
        <v>-67</v>
      </c>
      <c r="J15" s="92">
        <f>VLOOKUP($A15,'Data Vlaue (Cr)'!$C:$FB,94)</f>
        <v>-7.8899999999999998E-2</v>
      </c>
      <c r="K15" s="91">
        <f>VLOOKUP($A15,'Data Vlaue (Cr)'!$C:$FB,95)</f>
        <v>475</v>
      </c>
      <c r="L15" s="91">
        <f>VLOOKUP($A15,'Data Vlaue (Cr)'!$C:$FB,97)</f>
        <v>4</v>
      </c>
      <c r="M15" s="92">
        <f>VLOOKUP($A15,'Data Vlaue (Cr)'!$C:$FB,98)</f>
        <v>8.0000000000000002E-3</v>
      </c>
      <c r="N15" s="91">
        <f>VLOOKUP($A15,'Data Vlaue (Cr)'!$C:$FB,79)</f>
        <v>1853</v>
      </c>
      <c r="O15" s="92">
        <f>VLOOKUP($A15,'Data Vlaue (Cr)'!$C:$FB,82)</f>
        <v>-2.8999999999999998E-3</v>
      </c>
    </row>
    <row r="16" spans="1:15" x14ac:dyDescent="0.25">
      <c r="A16" s="97" t="str">
        <f>'Data Vlaue (Cr)'!C11</f>
        <v>ADANIPORTS</v>
      </c>
      <c r="B16" s="142">
        <f>VLOOKUP(A16,'Data Vlaue (Cr)'!C11:CW240,99,0)</f>
        <v>5223</v>
      </c>
      <c r="C16" s="90">
        <f>VLOOKUP(A16,'Data Vlaue (Cr)'!C11:CY240,101,0)</f>
        <v>57</v>
      </c>
      <c r="D16" s="139">
        <f>VLOOKUP(A16,'Data Vlaue (Cr)'!C11:CZ240,102,0)</f>
        <v>1.11E-2</v>
      </c>
      <c r="E16" s="91">
        <f>VLOOKUP($A16,'Data Vlaue (Cr)'!$C:$FB,75)</f>
        <v>3207</v>
      </c>
      <c r="F16" s="91">
        <f>VLOOKUP($A16,'Data Vlaue (Cr)'!$C:$FB,77)</f>
        <v>1</v>
      </c>
      <c r="G16" s="92">
        <f>VLOOKUP(A16,'Data Vlaue (Cr)'!C11:CB240,78,0)</f>
        <v>4.0000000000000002E-4</v>
      </c>
      <c r="H16" s="91">
        <f>VLOOKUP($A16,'Data Vlaue (Cr)'!$C:$FB,91)</f>
        <v>1156</v>
      </c>
      <c r="I16" s="91">
        <f>VLOOKUP($A16,'Data Vlaue (Cr)'!$C:$FB,93)</f>
        <v>32</v>
      </c>
      <c r="J16" s="92">
        <f>VLOOKUP($A16,'Data Vlaue (Cr)'!$C:$FB,94)</f>
        <v>2.8299999999999999E-2</v>
      </c>
      <c r="K16" s="91">
        <f>VLOOKUP($A16,'Data Vlaue (Cr)'!$C:$FB,95)</f>
        <v>860</v>
      </c>
      <c r="L16" s="91">
        <f>VLOOKUP($A16,'Data Vlaue (Cr)'!$C:$FB,97)</f>
        <v>24</v>
      </c>
      <c r="M16" s="92">
        <f>VLOOKUP($A16,'Data Vlaue (Cr)'!$C:$FB,98)</f>
        <v>2.92E-2</v>
      </c>
      <c r="N16" s="91">
        <f>VLOOKUP($A16,'Data Vlaue (Cr)'!$C:$FB,79)</f>
        <v>2899</v>
      </c>
      <c r="O16" s="92">
        <f>VLOOKUP($A16,'Data Vlaue (Cr)'!$C:$FB,82)</f>
        <v>-3.1800000000000002E-2</v>
      </c>
    </row>
    <row r="17" spans="1:15" x14ac:dyDescent="0.25">
      <c r="A17" s="97" t="str">
        <f>'Data Vlaue (Cr)'!C12</f>
        <v>ALKEM</v>
      </c>
      <c r="B17" s="142">
        <f>VLOOKUP(A17,'Data Vlaue (Cr)'!C12:CW241,99,0)</f>
        <v>877</v>
      </c>
      <c r="C17" s="90">
        <f>VLOOKUP(A17,'Data Vlaue (Cr)'!C12:CY241,101,0)</f>
        <v>9</v>
      </c>
      <c r="D17" s="139">
        <f>VLOOKUP(A17,'Data Vlaue (Cr)'!C12:CZ241,102,0)</f>
        <v>1.0500000000000001E-2</v>
      </c>
      <c r="E17" s="91">
        <f>VLOOKUP($A17,'Data Vlaue (Cr)'!$C:$FB,75)</f>
        <v>603</v>
      </c>
      <c r="F17" s="91">
        <f>VLOOKUP($A17,'Data Vlaue (Cr)'!$C:$FB,77)</f>
        <v>0</v>
      </c>
      <c r="G17" s="92">
        <f>VLOOKUP(A17,'Data Vlaue (Cr)'!C12:CB241,78,0)</f>
        <v>-8.0000000000000004E-4</v>
      </c>
      <c r="H17" s="91">
        <f>VLOOKUP($A17,'Data Vlaue (Cr)'!$C:$FB,91)</f>
        <v>174</v>
      </c>
      <c r="I17" s="91">
        <f>VLOOKUP($A17,'Data Vlaue (Cr)'!$C:$FB,93)</f>
        <v>9</v>
      </c>
      <c r="J17" s="92">
        <f>VLOOKUP($A17,'Data Vlaue (Cr)'!$C:$FB,94)</f>
        <v>5.1900000000000002E-2</v>
      </c>
      <c r="K17" s="91">
        <f>VLOOKUP($A17,'Data Vlaue (Cr)'!$C:$FB,95)</f>
        <v>100</v>
      </c>
      <c r="L17" s="91">
        <f>VLOOKUP($A17,'Data Vlaue (Cr)'!$C:$FB,97)</f>
        <v>1</v>
      </c>
      <c r="M17" s="92">
        <f>VLOOKUP($A17,'Data Vlaue (Cr)'!$C:$FB,98)</f>
        <v>1.01E-2</v>
      </c>
      <c r="N17" s="91">
        <f>VLOOKUP($A17,'Data Vlaue (Cr)'!$C:$FB,79)</f>
        <v>567</v>
      </c>
      <c r="O17" s="92">
        <f>VLOOKUP($A17,'Data Vlaue (Cr)'!$C:$FB,82)</f>
        <v>-4.4999999999999997E-3</v>
      </c>
    </row>
    <row r="18" spans="1:15" x14ac:dyDescent="0.25">
      <c r="A18" s="97" t="str">
        <f>'Data Vlaue (Cr)'!C13</f>
        <v>AMBER</v>
      </c>
      <c r="B18" s="142">
        <f>VLOOKUP(A18,'Data Vlaue (Cr)'!C13:CW242,99,0)</f>
        <v>596</v>
      </c>
      <c r="C18" s="90">
        <f>VLOOKUP(A18,'Data Vlaue (Cr)'!C13:CY242,101,0)</f>
        <v>-6</v>
      </c>
      <c r="D18" s="139">
        <f>VLOOKUP(A18,'Data Vlaue (Cr)'!C13:CZ242,102,0)</f>
        <v>-1.0500000000000001E-2</v>
      </c>
      <c r="E18" s="91">
        <f>VLOOKUP($A18,'Data Vlaue (Cr)'!$C:$FB,75)</f>
        <v>237</v>
      </c>
      <c r="F18" s="91">
        <f>VLOOKUP($A18,'Data Vlaue (Cr)'!$C:$FB,77)</f>
        <v>-1</v>
      </c>
      <c r="G18" s="92">
        <f>VLOOKUP(A18,'Data Vlaue (Cr)'!C13:CB242,78,0)</f>
        <v>-2.5000000000000001E-3</v>
      </c>
      <c r="H18" s="91">
        <f>VLOOKUP($A18,'Data Vlaue (Cr)'!$C:$FB,91)</f>
        <v>226</v>
      </c>
      <c r="I18" s="91">
        <f>VLOOKUP($A18,'Data Vlaue (Cr)'!$C:$FB,93)</f>
        <v>-6</v>
      </c>
      <c r="J18" s="92">
        <f>VLOOKUP($A18,'Data Vlaue (Cr)'!$C:$FB,94)</f>
        <v>-2.6700000000000002E-2</v>
      </c>
      <c r="K18" s="91">
        <f>VLOOKUP($A18,'Data Vlaue (Cr)'!$C:$FB,95)</f>
        <v>132</v>
      </c>
      <c r="L18" s="91">
        <f>VLOOKUP($A18,'Data Vlaue (Cr)'!$C:$FB,97)</f>
        <v>0</v>
      </c>
      <c r="M18" s="92">
        <f>VLOOKUP($A18,'Data Vlaue (Cr)'!$C:$FB,98)</f>
        <v>3.3999999999999998E-3</v>
      </c>
      <c r="N18" s="91">
        <f>VLOOKUP($A18,'Data Vlaue (Cr)'!$C:$FB,79)</f>
        <v>221</v>
      </c>
      <c r="O18" s="92">
        <f>VLOOKUP($A18,'Data Vlaue (Cr)'!$C:$FB,82)</f>
        <v>-8.3000000000000001E-3</v>
      </c>
    </row>
    <row r="19" spans="1:15" x14ac:dyDescent="0.25">
      <c r="A19" s="97" t="str">
        <f>'Data Vlaue (Cr)'!C14</f>
        <v>AMBUJACEM</v>
      </c>
      <c r="B19" s="142">
        <f>VLOOKUP(A19,'Data Vlaue (Cr)'!C14:CW243,99,0)</f>
        <v>2809</v>
      </c>
      <c r="C19" s="90">
        <f>VLOOKUP(A19,'Data Vlaue (Cr)'!C14:CY243,101,0)</f>
        <v>7</v>
      </c>
      <c r="D19" s="139">
        <f>VLOOKUP(A19,'Data Vlaue (Cr)'!C14:CZ243,102,0)</f>
        <v>2.5000000000000001E-3</v>
      </c>
      <c r="E19" s="91">
        <f>VLOOKUP($A19,'Data Vlaue (Cr)'!$C:$FB,75)</f>
        <v>1753</v>
      </c>
      <c r="F19" s="91">
        <f>VLOOKUP($A19,'Data Vlaue (Cr)'!$C:$FB,77)</f>
        <v>-3</v>
      </c>
      <c r="G19" s="92">
        <f>VLOOKUP(A19,'Data Vlaue (Cr)'!C14:CB243,78,0)</f>
        <v>-1.6999999999999999E-3</v>
      </c>
      <c r="H19" s="91">
        <f>VLOOKUP($A19,'Data Vlaue (Cr)'!$C:$FB,91)</f>
        <v>567</v>
      </c>
      <c r="I19" s="91">
        <f>VLOOKUP($A19,'Data Vlaue (Cr)'!$C:$FB,93)</f>
        <v>-35</v>
      </c>
      <c r="J19" s="92">
        <f>VLOOKUP($A19,'Data Vlaue (Cr)'!$C:$FB,94)</f>
        <v>-5.7700000000000001E-2</v>
      </c>
      <c r="K19" s="91">
        <f>VLOOKUP($A19,'Data Vlaue (Cr)'!$C:$FB,95)</f>
        <v>489</v>
      </c>
      <c r="L19" s="91">
        <f>VLOOKUP($A19,'Data Vlaue (Cr)'!$C:$FB,97)</f>
        <v>45</v>
      </c>
      <c r="M19" s="92">
        <f>VLOOKUP($A19,'Data Vlaue (Cr)'!$C:$FB,98)</f>
        <v>0.1012</v>
      </c>
      <c r="N19" s="91">
        <f>VLOOKUP($A19,'Data Vlaue (Cr)'!$C:$FB,79)</f>
        <v>1636</v>
      </c>
      <c r="O19" s="92">
        <f>VLOOKUP($A19,'Data Vlaue (Cr)'!$C:$FB,82)</f>
        <v>-1.44E-2</v>
      </c>
    </row>
    <row r="20" spans="1:15" x14ac:dyDescent="0.25">
      <c r="A20" s="97" t="str">
        <f>'Data Vlaue (Cr)'!C15</f>
        <v>ANGELONE</v>
      </c>
      <c r="B20" s="142">
        <f>VLOOKUP(A20,'Data Vlaue (Cr)'!C15:CW244,99,0)</f>
        <v>2518</v>
      </c>
      <c r="C20" s="90">
        <f>VLOOKUP(A20,'Data Vlaue (Cr)'!C15:CY244,101,0)</f>
        <v>-37</v>
      </c>
      <c r="D20" s="139">
        <f>VLOOKUP(A20,'Data Vlaue (Cr)'!C15:CZ244,102,0)</f>
        <v>-1.4500000000000001E-2</v>
      </c>
      <c r="E20" s="91">
        <f>VLOOKUP($A20,'Data Vlaue (Cr)'!$C:$FB,75)</f>
        <v>806</v>
      </c>
      <c r="F20" s="91">
        <f>VLOOKUP($A20,'Data Vlaue (Cr)'!$C:$FB,77)</f>
        <v>-36</v>
      </c>
      <c r="G20" s="92">
        <f>VLOOKUP(A20,'Data Vlaue (Cr)'!C15:CB244,78,0)</f>
        <v>-4.2500000000000003E-2</v>
      </c>
      <c r="H20" s="91">
        <f>VLOOKUP($A20,'Data Vlaue (Cr)'!$C:$FB,91)</f>
        <v>1086</v>
      </c>
      <c r="I20" s="91">
        <f>VLOOKUP($A20,'Data Vlaue (Cr)'!$C:$FB,93)</f>
        <v>60</v>
      </c>
      <c r="J20" s="92">
        <f>VLOOKUP($A20,'Data Vlaue (Cr)'!$C:$FB,94)</f>
        <v>5.8000000000000003E-2</v>
      </c>
      <c r="K20" s="91">
        <f>VLOOKUP($A20,'Data Vlaue (Cr)'!$C:$FB,95)</f>
        <v>626</v>
      </c>
      <c r="L20" s="91">
        <f>VLOOKUP($A20,'Data Vlaue (Cr)'!$C:$FB,97)</f>
        <v>-61</v>
      </c>
      <c r="M20" s="92">
        <f>VLOOKUP($A20,'Data Vlaue (Cr)'!$C:$FB,98)</f>
        <v>-8.8499999999999995E-2</v>
      </c>
      <c r="N20" s="91">
        <f>VLOOKUP($A20,'Data Vlaue (Cr)'!$C:$FB,79)</f>
        <v>608</v>
      </c>
      <c r="O20" s="92">
        <f>VLOOKUP($A20,'Data Vlaue (Cr)'!$C:$FB,82)</f>
        <v>-5.7099999999999998E-2</v>
      </c>
    </row>
    <row r="21" spans="1:15" x14ac:dyDescent="0.25">
      <c r="A21" s="97" t="str">
        <f>'Data Vlaue (Cr)'!C16</f>
        <v>APLAPOLLO</v>
      </c>
      <c r="B21" s="142">
        <f>VLOOKUP(A21,'Data Vlaue (Cr)'!C16:CW245,99,0)</f>
        <v>1449</v>
      </c>
      <c r="C21" s="90">
        <f>VLOOKUP(A21,'Data Vlaue (Cr)'!C16:CY245,101,0)</f>
        <v>29</v>
      </c>
      <c r="D21" s="139">
        <f>VLOOKUP(A21,'Data Vlaue (Cr)'!C16:CZ245,102,0)</f>
        <v>2.0500000000000001E-2</v>
      </c>
      <c r="E21" s="91">
        <f>VLOOKUP($A21,'Data Vlaue (Cr)'!$C:$FB,75)</f>
        <v>731</v>
      </c>
      <c r="F21" s="91">
        <f>VLOOKUP($A21,'Data Vlaue (Cr)'!$C:$FB,77)</f>
        <v>6</v>
      </c>
      <c r="G21" s="92">
        <f>VLOOKUP(A21,'Data Vlaue (Cr)'!C16:CB245,78,0)</f>
        <v>8.0999999999999996E-3</v>
      </c>
      <c r="H21" s="91">
        <f>VLOOKUP($A21,'Data Vlaue (Cr)'!$C:$FB,91)</f>
        <v>431</v>
      </c>
      <c r="I21" s="91">
        <f>VLOOKUP($A21,'Data Vlaue (Cr)'!$C:$FB,93)</f>
        <v>21</v>
      </c>
      <c r="J21" s="92">
        <f>VLOOKUP($A21,'Data Vlaue (Cr)'!$C:$FB,94)</f>
        <v>5.1200000000000002E-2</v>
      </c>
      <c r="K21" s="91">
        <f>VLOOKUP($A21,'Data Vlaue (Cr)'!$C:$FB,95)</f>
        <v>287</v>
      </c>
      <c r="L21" s="91">
        <f>VLOOKUP($A21,'Data Vlaue (Cr)'!$C:$FB,97)</f>
        <v>2</v>
      </c>
      <c r="M21" s="92">
        <f>VLOOKUP($A21,'Data Vlaue (Cr)'!$C:$FB,98)</f>
        <v>8.0000000000000002E-3</v>
      </c>
      <c r="N21" s="91">
        <f>VLOOKUP($A21,'Data Vlaue (Cr)'!$C:$FB,79)</f>
        <v>700</v>
      </c>
      <c r="O21" s="92">
        <f>VLOOKUP($A21,'Data Vlaue (Cr)'!$C:$FB,82)</f>
        <v>7.4000000000000003E-3</v>
      </c>
    </row>
    <row r="22" spans="1:15" x14ac:dyDescent="0.25">
      <c r="A22" s="97" t="str">
        <f>'Data Vlaue (Cr)'!C17</f>
        <v>APOLLOHOSP</v>
      </c>
      <c r="B22" s="142">
        <f>VLOOKUP(A22,'Data Vlaue (Cr)'!C17:CW246,99,0)</f>
        <v>4141</v>
      </c>
      <c r="C22" s="90">
        <f>VLOOKUP(A22,'Data Vlaue (Cr)'!C17:CY246,101,0)</f>
        <v>-2</v>
      </c>
      <c r="D22" s="139">
        <f>VLOOKUP(A22,'Data Vlaue (Cr)'!C17:CZ246,102,0)</f>
        <v>-4.0000000000000002E-4</v>
      </c>
      <c r="E22" s="91">
        <f>VLOOKUP($A22,'Data Vlaue (Cr)'!$C:$FB,75)</f>
        <v>1992</v>
      </c>
      <c r="F22" s="91">
        <f>VLOOKUP($A22,'Data Vlaue (Cr)'!$C:$FB,77)</f>
        <v>-23</v>
      </c>
      <c r="G22" s="92">
        <f>VLOOKUP(A22,'Data Vlaue (Cr)'!C17:CB246,78,0)</f>
        <v>-1.1299999999999999E-2</v>
      </c>
      <c r="H22" s="91">
        <f>VLOOKUP($A22,'Data Vlaue (Cr)'!$C:$FB,91)</f>
        <v>1454</v>
      </c>
      <c r="I22" s="91">
        <f>VLOOKUP($A22,'Data Vlaue (Cr)'!$C:$FB,93)</f>
        <v>30</v>
      </c>
      <c r="J22" s="92">
        <f>VLOOKUP($A22,'Data Vlaue (Cr)'!$C:$FB,94)</f>
        <v>2.1100000000000001E-2</v>
      </c>
      <c r="K22" s="91">
        <f>VLOOKUP($A22,'Data Vlaue (Cr)'!$C:$FB,95)</f>
        <v>695</v>
      </c>
      <c r="L22" s="91">
        <f>VLOOKUP($A22,'Data Vlaue (Cr)'!$C:$FB,97)</f>
        <v>-9</v>
      </c>
      <c r="M22" s="92">
        <f>VLOOKUP($A22,'Data Vlaue (Cr)'!$C:$FB,98)</f>
        <v>-1.29E-2</v>
      </c>
      <c r="N22" s="91">
        <f>VLOOKUP($A22,'Data Vlaue (Cr)'!$C:$FB,79)</f>
        <v>1875</v>
      </c>
      <c r="O22" s="92">
        <f>VLOOKUP($A22,'Data Vlaue (Cr)'!$C:$FB,82)</f>
        <v>-1.7999999999999999E-2</v>
      </c>
    </row>
    <row r="23" spans="1:15" x14ac:dyDescent="0.25">
      <c r="A23" s="97" t="str">
        <f>'Data Vlaue (Cr)'!C18</f>
        <v>ASHOKLEY</v>
      </c>
      <c r="B23" s="142">
        <f>VLOOKUP(A23,'Data Vlaue (Cr)'!C18:CW247,99,0)</f>
        <v>1779</v>
      </c>
      <c r="C23" s="90">
        <f>VLOOKUP(A23,'Data Vlaue (Cr)'!C18:CY247,101,0)</f>
        <v>3</v>
      </c>
      <c r="D23" s="139">
        <f>VLOOKUP(A23,'Data Vlaue (Cr)'!C18:CZ247,102,0)</f>
        <v>2E-3</v>
      </c>
      <c r="E23" s="91">
        <f>VLOOKUP($A23,'Data Vlaue (Cr)'!$C:$FB,75)</f>
        <v>1078</v>
      </c>
      <c r="F23" s="91">
        <f>VLOOKUP($A23,'Data Vlaue (Cr)'!$C:$FB,77)</f>
        <v>1</v>
      </c>
      <c r="G23" s="92">
        <f>VLOOKUP(A23,'Data Vlaue (Cr)'!C18:CB247,78,0)</f>
        <v>8.9999999999999998E-4</v>
      </c>
      <c r="H23" s="91">
        <f>VLOOKUP($A23,'Data Vlaue (Cr)'!$C:$FB,91)</f>
        <v>416</v>
      </c>
      <c r="I23" s="91">
        <f>VLOOKUP($A23,'Data Vlaue (Cr)'!$C:$FB,93)</f>
        <v>4</v>
      </c>
      <c r="J23" s="92">
        <f>VLOOKUP($A23,'Data Vlaue (Cr)'!$C:$FB,94)</f>
        <v>9.4999999999999998E-3</v>
      </c>
      <c r="K23" s="91">
        <f>VLOOKUP($A23,'Data Vlaue (Cr)'!$C:$FB,95)</f>
        <v>285</v>
      </c>
      <c r="L23" s="91">
        <f>VLOOKUP($A23,'Data Vlaue (Cr)'!$C:$FB,97)</f>
        <v>-1</v>
      </c>
      <c r="M23" s="92">
        <f>VLOOKUP($A23,'Data Vlaue (Cr)'!$C:$FB,98)</f>
        <v>-4.7999999999999996E-3</v>
      </c>
      <c r="N23" s="91">
        <f>VLOOKUP($A23,'Data Vlaue (Cr)'!$C:$FB,79)</f>
        <v>1018</v>
      </c>
      <c r="O23" s="92">
        <f>VLOOKUP($A23,'Data Vlaue (Cr)'!$C:$FB,82)</f>
        <v>-5.5999999999999999E-3</v>
      </c>
    </row>
    <row r="24" spans="1:15" x14ac:dyDescent="0.25">
      <c r="A24" s="97" t="str">
        <f>'Data Vlaue (Cr)'!C19</f>
        <v>ASIANPAINT</v>
      </c>
      <c r="B24" s="142">
        <f>VLOOKUP(A24,'Data Vlaue (Cr)'!C19:CW248,99,0)</f>
        <v>6875</v>
      </c>
      <c r="C24" s="90">
        <f>VLOOKUP(A24,'Data Vlaue (Cr)'!C19:CY248,101,0)</f>
        <v>-11</v>
      </c>
      <c r="D24" s="139">
        <f>VLOOKUP(A24,'Data Vlaue (Cr)'!C19:CZ248,102,0)</f>
        <v>-1.6000000000000001E-3</v>
      </c>
      <c r="E24" s="91">
        <f>VLOOKUP($A24,'Data Vlaue (Cr)'!$C:$FB,75)</f>
        <v>3628</v>
      </c>
      <c r="F24" s="91">
        <f>VLOOKUP($A24,'Data Vlaue (Cr)'!$C:$FB,77)</f>
        <v>22</v>
      </c>
      <c r="G24" s="92">
        <f>VLOOKUP(A24,'Data Vlaue (Cr)'!C19:CB248,78,0)</f>
        <v>6.1999999999999998E-3</v>
      </c>
      <c r="H24" s="91">
        <f>VLOOKUP($A24,'Data Vlaue (Cr)'!$C:$FB,91)</f>
        <v>2183</v>
      </c>
      <c r="I24" s="91">
        <f>VLOOKUP($A24,'Data Vlaue (Cr)'!$C:$FB,93)</f>
        <v>-33</v>
      </c>
      <c r="J24" s="92">
        <f>VLOOKUP($A24,'Data Vlaue (Cr)'!$C:$FB,94)</f>
        <v>-1.5100000000000001E-2</v>
      </c>
      <c r="K24" s="91">
        <f>VLOOKUP($A24,'Data Vlaue (Cr)'!$C:$FB,95)</f>
        <v>1063</v>
      </c>
      <c r="L24" s="91">
        <f>VLOOKUP($A24,'Data Vlaue (Cr)'!$C:$FB,97)</f>
        <v>0</v>
      </c>
      <c r="M24" s="92">
        <f>VLOOKUP($A24,'Data Vlaue (Cr)'!$C:$FB,98)</f>
        <v>2.0000000000000001E-4</v>
      </c>
      <c r="N24" s="91">
        <f>VLOOKUP($A24,'Data Vlaue (Cr)'!$C:$FB,79)</f>
        <v>3346</v>
      </c>
      <c r="O24" s="92">
        <f>VLOOKUP($A24,'Data Vlaue (Cr)'!$C:$FB,82)</f>
        <v>-1.1999999999999999E-3</v>
      </c>
    </row>
    <row r="25" spans="1:15" x14ac:dyDescent="0.25">
      <c r="A25" s="97" t="str">
        <f>'Data Vlaue (Cr)'!C20</f>
        <v>ASTRAL</v>
      </c>
      <c r="B25" s="142">
        <f>VLOOKUP(A25,'Data Vlaue (Cr)'!C20:CW249,99,0)</f>
        <v>1634</v>
      </c>
      <c r="C25" s="90">
        <f>VLOOKUP(A25,'Data Vlaue (Cr)'!C20:CY249,101,0)</f>
        <v>41</v>
      </c>
      <c r="D25" s="139">
        <f>VLOOKUP(A25,'Data Vlaue (Cr)'!C20:CZ249,102,0)</f>
        <v>2.5499999999999998E-2</v>
      </c>
      <c r="E25" s="91">
        <f>VLOOKUP($A25,'Data Vlaue (Cr)'!$C:$FB,75)</f>
        <v>914</v>
      </c>
      <c r="F25" s="91">
        <f>VLOOKUP($A25,'Data Vlaue (Cr)'!$C:$FB,77)</f>
        <v>33</v>
      </c>
      <c r="G25" s="92">
        <f>VLOOKUP(A25,'Data Vlaue (Cr)'!C20:CB249,78,0)</f>
        <v>3.7199999999999997E-2</v>
      </c>
      <c r="H25" s="91">
        <f>VLOOKUP($A25,'Data Vlaue (Cr)'!$C:$FB,91)</f>
        <v>510</v>
      </c>
      <c r="I25" s="91">
        <f>VLOOKUP($A25,'Data Vlaue (Cr)'!$C:$FB,93)</f>
        <v>-6</v>
      </c>
      <c r="J25" s="92">
        <f>VLOOKUP($A25,'Data Vlaue (Cr)'!$C:$FB,94)</f>
        <v>-1.2E-2</v>
      </c>
      <c r="K25" s="91">
        <f>VLOOKUP($A25,'Data Vlaue (Cr)'!$C:$FB,95)</f>
        <v>210</v>
      </c>
      <c r="L25" s="91">
        <f>VLOOKUP($A25,'Data Vlaue (Cr)'!$C:$FB,97)</f>
        <v>14</v>
      </c>
      <c r="M25" s="92">
        <f>VLOOKUP($A25,'Data Vlaue (Cr)'!$C:$FB,98)</f>
        <v>7.1599999999999997E-2</v>
      </c>
      <c r="N25" s="91">
        <f>VLOOKUP($A25,'Data Vlaue (Cr)'!$C:$FB,79)</f>
        <v>755</v>
      </c>
      <c r="O25" s="92">
        <f>VLOOKUP($A25,'Data Vlaue (Cr)'!$C:$FB,82)</f>
        <v>6.7999999999999996E-3</v>
      </c>
    </row>
    <row r="26" spans="1:15" x14ac:dyDescent="0.25">
      <c r="A26" s="97" t="str">
        <f>'Data Vlaue (Cr)'!C21</f>
        <v>ATGL</v>
      </c>
      <c r="B26" s="142">
        <f>VLOOKUP(A26,'Data Vlaue (Cr)'!C21:CW250,99,0)</f>
        <v>752</v>
      </c>
      <c r="C26" s="90">
        <f>VLOOKUP(A26,'Data Vlaue (Cr)'!C21:CY250,101,0)</f>
        <v>5</v>
      </c>
      <c r="D26" s="139">
        <f>VLOOKUP(A26,'Data Vlaue (Cr)'!C21:CZ250,102,0)</f>
        <v>6.3E-3</v>
      </c>
      <c r="E26" s="91">
        <f>VLOOKUP($A26,'Data Vlaue (Cr)'!$C:$FB,75)</f>
        <v>354</v>
      </c>
      <c r="F26" s="91">
        <f>VLOOKUP($A26,'Data Vlaue (Cr)'!$C:$FB,77)</f>
        <v>0</v>
      </c>
      <c r="G26" s="92">
        <f>VLOOKUP(A26,'Data Vlaue (Cr)'!C21:CB250,78,0)</f>
        <v>-2.9999999999999997E-4</v>
      </c>
      <c r="H26" s="91">
        <f>VLOOKUP($A26,'Data Vlaue (Cr)'!$C:$FB,91)</f>
        <v>275</v>
      </c>
      <c r="I26" s="91">
        <f>VLOOKUP($A26,'Data Vlaue (Cr)'!$C:$FB,93)</f>
        <v>5</v>
      </c>
      <c r="J26" s="92">
        <f>VLOOKUP($A26,'Data Vlaue (Cr)'!$C:$FB,94)</f>
        <v>1.83E-2</v>
      </c>
      <c r="K26" s="91">
        <f>VLOOKUP($A26,'Data Vlaue (Cr)'!$C:$FB,95)</f>
        <v>124</v>
      </c>
      <c r="L26" s="91">
        <f>VLOOKUP($A26,'Data Vlaue (Cr)'!$C:$FB,97)</f>
        <v>0</v>
      </c>
      <c r="M26" s="92">
        <f>VLOOKUP($A26,'Data Vlaue (Cr)'!$C:$FB,98)</f>
        <v>-8.9999999999999998E-4</v>
      </c>
      <c r="N26" s="91">
        <f>VLOOKUP($A26,'Data Vlaue (Cr)'!$C:$FB,79)</f>
        <v>318</v>
      </c>
      <c r="O26" s="92">
        <f>VLOOKUP($A26,'Data Vlaue (Cr)'!$C:$FB,82)</f>
        <v>-1.4200000000000001E-2</v>
      </c>
    </row>
    <row r="27" spans="1:15" x14ac:dyDescent="0.25">
      <c r="A27" s="97" t="str">
        <f>'Data Vlaue (Cr)'!C22</f>
        <v>AUBANK</v>
      </c>
      <c r="B27" s="142">
        <f>VLOOKUP(A27,'Data Vlaue (Cr)'!C22:CW251,99,0)</f>
        <v>2769</v>
      </c>
      <c r="C27" s="90">
        <f>VLOOKUP(A27,'Data Vlaue (Cr)'!C22:CY251,101,0)</f>
        <v>317</v>
      </c>
      <c r="D27" s="139">
        <f>VLOOKUP(A27,'Data Vlaue (Cr)'!C22:CZ251,102,0)</f>
        <v>0.12920000000000001</v>
      </c>
      <c r="E27" s="91">
        <f>VLOOKUP($A27,'Data Vlaue (Cr)'!$C:$FB,75)</f>
        <v>1357</v>
      </c>
      <c r="F27" s="91">
        <f>VLOOKUP($A27,'Data Vlaue (Cr)'!$C:$FB,77)</f>
        <v>103</v>
      </c>
      <c r="G27" s="92">
        <f>VLOOKUP(A27,'Data Vlaue (Cr)'!C22:CB251,78,0)</f>
        <v>8.2500000000000004E-2</v>
      </c>
      <c r="H27" s="91">
        <f>VLOOKUP($A27,'Data Vlaue (Cr)'!$C:$FB,91)</f>
        <v>973</v>
      </c>
      <c r="I27" s="91">
        <f>VLOOKUP($A27,'Data Vlaue (Cr)'!$C:$FB,93)</f>
        <v>224</v>
      </c>
      <c r="J27" s="92">
        <f>VLOOKUP($A27,'Data Vlaue (Cr)'!$C:$FB,94)</f>
        <v>0.29949999999999999</v>
      </c>
      <c r="K27" s="91">
        <f>VLOOKUP($A27,'Data Vlaue (Cr)'!$C:$FB,95)</f>
        <v>439</v>
      </c>
      <c r="L27" s="91">
        <f>VLOOKUP($A27,'Data Vlaue (Cr)'!$C:$FB,97)</f>
        <v>-11</v>
      </c>
      <c r="M27" s="92">
        <f>VLOOKUP($A27,'Data Vlaue (Cr)'!$C:$FB,98)</f>
        <v>-2.3900000000000001E-2</v>
      </c>
      <c r="N27" s="91">
        <f>VLOOKUP($A27,'Data Vlaue (Cr)'!$C:$FB,79)</f>
        <v>1112</v>
      </c>
      <c r="O27" s="92">
        <f>VLOOKUP($A27,'Data Vlaue (Cr)'!$C:$FB,82)</f>
        <v>5.4600000000000003E-2</v>
      </c>
    </row>
    <row r="28" spans="1:15" x14ac:dyDescent="0.25">
      <c r="A28" s="97" t="str">
        <f>'Data Vlaue (Cr)'!C23</f>
        <v>AUROPHARMA</v>
      </c>
      <c r="B28" s="142">
        <f>VLOOKUP(A28,'Data Vlaue (Cr)'!C23:CW252,99,0)</f>
        <v>3163</v>
      </c>
      <c r="C28" s="90">
        <f>VLOOKUP(A28,'Data Vlaue (Cr)'!C23:CY252,101,0)</f>
        <v>177</v>
      </c>
      <c r="D28" s="139">
        <f>VLOOKUP(A28,'Data Vlaue (Cr)'!C23:CZ252,102,0)</f>
        <v>5.9400000000000001E-2</v>
      </c>
      <c r="E28" s="91">
        <f>VLOOKUP($A28,'Data Vlaue (Cr)'!$C:$FB,75)</f>
        <v>2266</v>
      </c>
      <c r="F28" s="91">
        <f>VLOOKUP($A28,'Data Vlaue (Cr)'!$C:$FB,77)</f>
        <v>87</v>
      </c>
      <c r="G28" s="92">
        <f>VLOOKUP(A28,'Data Vlaue (Cr)'!C23:CB252,78,0)</f>
        <v>0.04</v>
      </c>
      <c r="H28" s="91">
        <f>VLOOKUP($A28,'Data Vlaue (Cr)'!$C:$FB,91)</f>
        <v>540</v>
      </c>
      <c r="I28" s="91">
        <f>VLOOKUP($A28,'Data Vlaue (Cr)'!$C:$FB,93)</f>
        <v>59</v>
      </c>
      <c r="J28" s="92">
        <f>VLOOKUP($A28,'Data Vlaue (Cr)'!$C:$FB,94)</f>
        <v>0.1227</v>
      </c>
      <c r="K28" s="91">
        <f>VLOOKUP($A28,'Data Vlaue (Cr)'!$C:$FB,95)</f>
        <v>357</v>
      </c>
      <c r="L28" s="91">
        <f>VLOOKUP($A28,'Data Vlaue (Cr)'!$C:$FB,97)</f>
        <v>31</v>
      </c>
      <c r="M28" s="92">
        <f>VLOOKUP($A28,'Data Vlaue (Cr)'!$C:$FB,98)</f>
        <v>9.5500000000000002E-2</v>
      </c>
      <c r="N28" s="91">
        <f>VLOOKUP($A28,'Data Vlaue (Cr)'!$C:$FB,79)</f>
        <v>1913</v>
      </c>
      <c r="O28" s="92">
        <f>VLOOKUP($A28,'Data Vlaue (Cr)'!$C:$FB,82)</f>
        <v>2.8999999999999998E-3</v>
      </c>
    </row>
    <row r="29" spans="1:15" x14ac:dyDescent="0.25">
      <c r="A29" s="97" t="str">
        <f>'Data Vlaue (Cr)'!C24</f>
        <v>AXISBANK</v>
      </c>
      <c r="B29" s="142">
        <f>VLOOKUP(A29,'Data Vlaue (Cr)'!C24:CW253,99,0)</f>
        <v>17505</v>
      </c>
      <c r="C29" s="90">
        <f>VLOOKUP(A29,'Data Vlaue (Cr)'!C24:CY253,101,0)</f>
        <v>231</v>
      </c>
      <c r="D29" s="139">
        <f>VLOOKUP(A29,'Data Vlaue (Cr)'!C24:CZ253,102,0)</f>
        <v>1.34E-2</v>
      </c>
      <c r="E29" s="91">
        <f>VLOOKUP($A29,'Data Vlaue (Cr)'!$C:$FB,75)</f>
        <v>9039</v>
      </c>
      <c r="F29" s="91">
        <f>VLOOKUP($A29,'Data Vlaue (Cr)'!$C:$FB,77)</f>
        <v>396</v>
      </c>
      <c r="G29" s="92">
        <f>VLOOKUP(A29,'Data Vlaue (Cr)'!C24:CB253,78,0)</f>
        <v>4.58E-2</v>
      </c>
      <c r="H29" s="91">
        <f>VLOOKUP($A29,'Data Vlaue (Cr)'!$C:$FB,91)</f>
        <v>6163</v>
      </c>
      <c r="I29" s="91">
        <f>VLOOKUP($A29,'Data Vlaue (Cr)'!$C:$FB,93)</f>
        <v>-76</v>
      </c>
      <c r="J29" s="92">
        <f>VLOOKUP($A29,'Data Vlaue (Cr)'!$C:$FB,94)</f>
        <v>-1.23E-2</v>
      </c>
      <c r="K29" s="91">
        <f>VLOOKUP($A29,'Data Vlaue (Cr)'!$C:$FB,95)</f>
        <v>2303</v>
      </c>
      <c r="L29" s="91">
        <f>VLOOKUP($A29,'Data Vlaue (Cr)'!$C:$FB,97)</f>
        <v>-88</v>
      </c>
      <c r="M29" s="92">
        <f>VLOOKUP($A29,'Data Vlaue (Cr)'!$C:$FB,98)</f>
        <v>-3.6700000000000003E-2</v>
      </c>
      <c r="N29" s="91">
        <f>VLOOKUP($A29,'Data Vlaue (Cr)'!$C:$FB,79)</f>
        <v>7688</v>
      </c>
      <c r="O29" s="92">
        <f>VLOOKUP($A29,'Data Vlaue (Cr)'!$C:$FB,82)</f>
        <v>3.9899999999999998E-2</v>
      </c>
    </row>
    <row r="30" spans="1:15" x14ac:dyDescent="0.25">
      <c r="A30" s="97" t="str">
        <f>'Data Vlaue (Cr)'!C25</f>
        <v>BAJAJ-AUTO</v>
      </c>
      <c r="B30" s="142">
        <f>VLOOKUP(A30,'Data Vlaue (Cr)'!C25:CW254,99,0)</f>
        <v>4259</v>
      </c>
      <c r="C30" s="90">
        <f>VLOOKUP(A30,'Data Vlaue (Cr)'!C25:CY254,101,0)</f>
        <v>187</v>
      </c>
      <c r="D30" s="139">
        <f>VLOOKUP(A30,'Data Vlaue (Cr)'!C25:CZ254,102,0)</f>
        <v>4.5999999999999999E-2</v>
      </c>
      <c r="E30" s="91">
        <f>VLOOKUP($A30,'Data Vlaue (Cr)'!$C:$FB,75)</f>
        <v>2209</v>
      </c>
      <c r="F30" s="91">
        <f>VLOOKUP($A30,'Data Vlaue (Cr)'!$C:$FB,77)</f>
        <v>42</v>
      </c>
      <c r="G30" s="92">
        <f>VLOOKUP(A30,'Data Vlaue (Cr)'!C25:CB254,78,0)</f>
        <v>1.9199999999999998E-2</v>
      </c>
      <c r="H30" s="91">
        <f>VLOOKUP($A30,'Data Vlaue (Cr)'!$C:$FB,91)</f>
        <v>1255</v>
      </c>
      <c r="I30" s="91">
        <f>VLOOKUP($A30,'Data Vlaue (Cr)'!$C:$FB,93)</f>
        <v>130</v>
      </c>
      <c r="J30" s="92">
        <f>VLOOKUP($A30,'Data Vlaue (Cr)'!$C:$FB,94)</f>
        <v>0.1159</v>
      </c>
      <c r="K30" s="91">
        <f>VLOOKUP($A30,'Data Vlaue (Cr)'!$C:$FB,95)</f>
        <v>796</v>
      </c>
      <c r="L30" s="91">
        <f>VLOOKUP($A30,'Data Vlaue (Cr)'!$C:$FB,97)</f>
        <v>16</v>
      </c>
      <c r="M30" s="92">
        <f>VLOOKUP($A30,'Data Vlaue (Cr)'!$C:$FB,98)</f>
        <v>1.9900000000000001E-2</v>
      </c>
      <c r="N30" s="91">
        <f>VLOOKUP($A30,'Data Vlaue (Cr)'!$C:$FB,79)</f>
        <v>2043</v>
      </c>
      <c r="O30" s="92">
        <f>VLOOKUP($A30,'Data Vlaue (Cr)'!$C:$FB,82)</f>
        <v>7.4999999999999997E-3</v>
      </c>
    </row>
    <row r="31" spans="1:15" x14ac:dyDescent="0.25">
      <c r="A31" s="97" t="str">
        <f>'Data Vlaue (Cr)'!C26</f>
        <v>BAJAJFINSV</v>
      </c>
      <c r="B31" s="142">
        <f>VLOOKUP(A31,'Data Vlaue (Cr)'!C26:CW255,99,0)</f>
        <v>5869</v>
      </c>
      <c r="C31" s="90">
        <f>VLOOKUP(A31,'Data Vlaue (Cr)'!C26:CY255,101,0)</f>
        <v>5</v>
      </c>
      <c r="D31" s="139">
        <f>VLOOKUP(A31,'Data Vlaue (Cr)'!C26:CZ255,102,0)</f>
        <v>8.0000000000000004E-4</v>
      </c>
      <c r="E31" s="91">
        <f>VLOOKUP($A31,'Data Vlaue (Cr)'!$C:$FB,75)</f>
        <v>3345</v>
      </c>
      <c r="F31" s="91">
        <f>VLOOKUP($A31,'Data Vlaue (Cr)'!$C:$FB,77)</f>
        <v>19</v>
      </c>
      <c r="G31" s="92">
        <f>VLOOKUP(A31,'Data Vlaue (Cr)'!C26:CB255,78,0)</f>
        <v>5.7999999999999996E-3</v>
      </c>
      <c r="H31" s="91">
        <f>VLOOKUP($A31,'Data Vlaue (Cr)'!$C:$FB,91)</f>
        <v>1627</v>
      </c>
      <c r="I31" s="91">
        <f>VLOOKUP($A31,'Data Vlaue (Cr)'!$C:$FB,93)</f>
        <v>4</v>
      </c>
      <c r="J31" s="92">
        <f>VLOOKUP($A31,'Data Vlaue (Cr)'!$C:$FB,94)</f>
        <v>2.3E-3</v>
      </c>
      <c r="K31" s="91">
        <f>VLOOKUP($A31,'Data Vlaue (Cr)'!$C:$FB,95)</f>
        <v>898</v>
      </c>
      <c r="L31" s="91">
        <f>VLOOKUP($A31,'Data Vlaue (Cr)'!$C:$FB,97)</f>
        <v>-18</v>
      </c>
      <c r="M31" s="92">
        <f>VLOOKUP($A31,'Data Vlaue (Cr)'!$C:$FB,98)</f>
        <v>-1.9900000000000001E-2</v>
      </c>
      <c r="N31" s="91">
        <f>VLOOKUP($A31,'Data Vlaue (Cr)'!$C:$FB,79)</f>
        <v>3156</v>
      </c>
      <c r="O31" s="92">
        <f>VLOOKUP($A31,'Data Vlaue (Cr)'!$C:$FB,82)</f>
        <v>-4.0000000000000001E-3</v>
      </c>
    </row>
    <row r="32" spans="1:15" x14ac:dyDescent="0.25">
      <c r="A32" s="97" t="str">
        <f>'Data Vlaue (Cr)'!C27</f>
        <v>BAJFINANCE</v>
      </c>
      <c r="B32" s="142">
        <f>VLOOKUP(A32,'Data Vlaue (Cr)'!C27:CW256,99,0)</f>
        <v>12086</v>
      </c>
      <c r="C32" s="90">
        <f>VLOOKUP(A32,'Data Vlaue (Cr)'!C27:CY256,101,0)</f>
        <v>8</v>
      </c>
      <c r="D32" s="139">
        <f>VLOOKUP(A32,'Data Vlaue (Cr)'!C27:CZ256,102,0)</f>
        <v>6.9999999999999999E-4</v>
      </c>
      <c r="E32" s="91">
        <f>VLOOKUP($A32,'Data Vlaue (Cr)'!$C:$FB,75)</f>
        <v>8421</v>
      </c>
      <c r="F32" s="91">
        <f>VLOOKUP($A32,'Data Vlaue (Cr)'!$C:$FB,77)</f>
        <v>-44</v>
      </c>
      <c r="G32" s="92">
        <f>VLOOKUP(A32,'Data Vlaue (Cr)'!C27:CB256,78,0)</f>
        <v>-5.3E-3</v>
      </c>
      <c r="H32" s="91">
        <f>VLOOKUP($A32,'Data Vlaue (Cr)'!$C:$FB,91)</f>
        <v>1946</v>
      </c>
      <c r="I32" s="91">
        <f>VLOOKUP($A32,'Data Vlaue (Cr)'!$C:$FB,93)</f>
        <v>-6</v>
      </c>
      <c r="J32" s="92">
        <f>VLOOKUP($A32,'Data Vlaue (Cr)'!$C:$FB,94)</f>
        <v>-3.0000000000000001E-3</v>
      </c>
      <c r="K32" s="91">
        <f>VLOOKUP($A32,'Data Vlaue (Cr)'!$C:$FB,95)</f>
        <v>1719</v>
      </c>
      <c r="L32" s="91">
        <f>VLOOKUP($A32,'Data Vlaue (Cr)'!$C:$FB,97)</f>
        <v>58</v>
      </c>
      <c r="M32" s="92">
        <f>VLOOKUP($A32,'Data Vlaue (Cr)'!$C:$FB,98)</f>
        <v>3.5099999999999999E-2</v>
      </c>
      <c r="N32" s="91">
        <f>VLOOKUP($A32,'Data Vlaue (Cr)'!$C:$FB,79)</f>
        <v>7577</v>
      </c>
      <c r="O32" s="92">
        <f>VLOOKUP($A32,'Data Vlaue (Cr)'!$C:$FB,82)</f>
        <v>-2.18E-2</v>
      </c>
    </row>
    <row r="33" spans="1:15" x14ac:dyDescent="0.25">
      <c r="A33" s="97" t="str">
        <f>'Data Vlaue (Cr)'!C28</f>
        <v>BALKRISIND</v>
      </c>
      <c r="B33" s="142">
        <f>VLOOKUP(A33,'Data Vlaue (Cr)'!C28:CW257,99,0)</f>
        <v>1024</v>
      </c>
      <c r="C33" s="90">
        <f>VLOOKUP(A33,'Data Vlaue (Cr)'!C28:CY257,101,0)</f>
        <v>-32</v>
      </c>
      <c r="D33" s="139">
        <f>VLOOKUP(A33,'Data Vlaue (Cr)'!C28:CZ257,102,0)</f>
        <v>-3.0099999999999998E-2</v>
      </c>
      <c r="E33" s="91">
        <f>VLOOKUP($A33,'Data Vlaue (Cr)'!$C:$FB,75)</f>
        <v>350</v>
      </c>
      <c r="F33" s="91">
        <f>VLOOKUP($A33,'Data Vlaue (Cr)'!$C:$FB,77)</f>
        <v>-17</v>
      </c>
      <c r="G33" s="92">
        <f>VLOOKUP(A33,'Data Vlaue (Cr)'!C28:CB257,78,0)</f>
        <v>-4.6300000000000001E-2</v>
      </c>
      <c r="H33" s="91">
        <f>VLOOKUP($A33,'Data Vlaue (Cr)'!$C:$FB,91)</f>
        <v>407</v>
      </c>
      <c r="I33" s="91">
        <f>VLOOKUP($A33,'Data Vlaue (Cr)'!$C:$FB,93)</f>
        <v>-15</v>
      </c>
      <c r="J33" s="92">
        <f>VLOOKUP($A33,'Data Vlaue (Cr)'!$C:$FB,94)</f>
        <v>-3.4599999999999999E-2</v>
      </c>
      <c r="K33" s="91">
        <f>VLOOKUP($A33,'Data Vlaue (Cr)'!$C:$FB,95)</f>
        <v>266</v>
      </c>
      <c r="L33" s="91">
        <f>VLOOKUP($A33,'Data Vlaue (Cr)'!$C:$FB,97)</f>
        <v>0</v>
      </c>
      <c r="M33" s="92">
        <f>VLOOKUP($A33,'Data Vlaue (Cr)'!$C:$FB,98)</f>
        <v>-5.9999999999999995E-4</v>
      </c>
      <c r="N33" s="91">
        <f>VLOOKUP($A33,'Data Vlaue (Cr)'!$C:$FB,79)</f>
        <v>350</v>
      </c>
      <c r="O33" s="92">
        <f>VLOOKUP($A33,'Data Vlaue (Cr)'!$C:$FB,82)</f>
        <v>-4.6300000000000001E-2</v>
      </c>
    </row>
    <row r="34" spans="1:15" x14ac:dyDescent="0.25">
      <c r="A34" s="97" t="str">
        <f>'Data Vlaue (Cr)'!C29</f>
        <v>BANDHANBNK</v>
      </c>
      <c r="B34" s="142">
        <f>VLOOKUP(A34,'Data Vlaue (Cr)'!C29:CW258,99,0)</f>
        <v>3024</v>
      </c>
      <c r="C34" s="90">
        <f>VLOOKUP(A34,'Data Vlaue (Cr)'!C29:CY258,101,0)</f>
        <v>-128</v>
      </c>
      <c r="D34" s="139">
        <f>VLOOKUP(A34,'Data Vlaue (Cr)'!C29:CZ258,102,0)</f>
        <v>-4.07E-2</v>
      </c>
      <c r="E34" s="91">
        <f>VLOOKUP($A34,'Data Vlaue (Cr)'!$C:$FB,75)</f>
        <v>1928</v>
      </c>
      <c r="F34" s="91">
        <f>VLOOKUP($A34,'Data Vlaue (Cr)'!$C:$FB,77)</f>
        <v>-69</v>
      </c>
      <c r="G34" s="92">
        <f>VLOOKUP(A34,'Data Vlaue (Cr)'!C29:CB258,78,0)</f>
        <v>-3.4599999999999999E-2</v>
      </c>
      <c r="H34" s="91">
        <f>VLOOKUP($A34,'Data Vlaue (Cr)'!$C:$FB,91)</f>
        <v>702</v>
      </c>
      <c r="I34" s="91">
        <f>VLOOKUP($A34,'Data Vlaue (Cr)'!$C:$FB,93)</f>
        <v>-44</v>
      </c>
      <c r="J34" s="92">
        <f>VLOOKUP($A34,'Data Vlaue (Cr)'!$C:$FB,94)</f>
        <v>-5.9200000000000003E-2</v>
      </c>
      <c r="K34" s="91">
        <f>VLOOKUP($A34,'Data Vlaue (Cr)'!$C:$FB,95)</f>
        <v>394</v>
      </c>
      <c r="L34" s="91">
        <f>VLOOKUP($A34,'Data Vlaue (Cr)'!$C:$FB,97)</f>
        <v>-15</v>
      </c>
      <c r="M34" s="92">
        <f>VLOOKUP($A34,'Data Vlaue (Cr)'!$C:$FB,98)</f>
        <v>-3.6700000000000003E-2</v>
      </c>
      <c r="N34" s="91">
        <f>VLOOKUP($A34,'Data Vlaue (Cr)'!$C:$FB,79)</f>
        <v>1206</v>
      </c>
      <c r="O34" s="92">
        <f>VLOOKUP($A34,'Data Vlaue (Cr)'!$C:$FB,82)</f>
        <v>-3.56E-2</v>
      </c>
    </row>
    <row r="35" spans="1:15" x14ac:dyDescent="0.25">
      <c r="A35" s="97" t="str">
        <f>'Data Vlaue (Cr)'!C30</f>
        <v>BANKBARODA</v>
      </c>
      <c r="B35" s="142">
        <f>VLOOKUP(A35,'Data Vlaue (Cr)'!C30:CW259,99,0)</f>
        <v>4745</v>
      </c>
      <c r="C35" s="90">
        <f>VLOOKUP(A35,'Data Vlaue (Cr)'!C30:CY259,101,0)</f>
        <v>97</v>
      </c>
      <c r="D35" s="139">
        <f>VLOOKUP(A35,'Data Vlaue (Cr)'!C30:CZ259,102,0)</f>
        <v>2.0799999999999999E-2</v>
      </c>
      <c r="E35" s="91">
        <f>VLOOKUP($A35,'Data Vlaue (Cr)'!$C:$FB,75)</f>
        <v>2508</v>
      </c>
      <c r="F35" s="91">
        <f>VLOOKUP($A35,'Data Vlaue (Cr)'!$C:$FB,77)</f>
        <v>27</v>
      </c>
      <c r="G35" s="92">
        <f>VLOOKUP(A35,'Data Vlaue (Cr)'!C30:CB259,78,0)</f>
        <v>1.09E-2</v>
      </c>
      <c r="H35" s="91">
        <f>VLOOKUP($A35,'Data Vlaue (Cr)'!$C:$FB,91)</f>
        <v>1193</v>
      </c>
      <c r="I35" s="91">
        <f>VLOOKUP($A35,'Data Vlaue (Cr)'!$C:$FB,93)</f>
        <v>32</v>
      </c>
      <c r="J35" s="92">
        <f>VLOOKUP($A35,'Data Vlaue (Cr)'!$C:$FB,94)</f>
        <v>2.76E-2</v>
      </c>
      <c r="K35" s="91">
        <f>VLOOKUP($A35,'Data Vlaue (Cr)'!$C:$FB,95)</f>
        <v>1044</v>
      </c>
      <c r="L35" s="91">
        <f>VLOOKUP($A35,'Data Vlaue (Cr)'!$C:$FB,97)</f>
        <v>38</v>
      </c>
      <c r="M35" s="92">
        <f>VLOOKUP($A35,'Data Vlaue (Cr)'!$C:$FB,98)</f>
        <v>3.7400000000000003E-2</v>
      </c>
      <c r="N35" s="91">
        <f>VLOOKUP($A35,'Data Vlaue (Cr)'!$C:$FB,79)</f>
        <v>2050</v>
      </c>
      <c r="O35" s="92">
        <f>VLOOKUP($A35,'Data Vlaue (Cr)'!$C:$FB,82)</f>
        <v>-1.4999999999999999E-2</v>
      </c>
    </row>
    <row r="36" spans="1:15" x14ac:dyDescent="0.25">
      <c r="A36" s="97" t="str">
        <f>'Data Vlaue (Cr)'!C31</f>
        <v>BANKINDIA</v>
      </c>
      <c r="B36" s="142">
        <f>VLOOKUP(A36,'Data Vlaue (Cr)'!C31:CW260,99,0)</f>
        <v>1497</v>
      </c>
      <c r="C36" s="90">
        <f>VLOOKUP(A36,'Data Vlaue (Cr)'!C31:CY260,101,0)</f>
        <v>3</v>
      </c>
      <c r="D36" s="139">
        <f>VLOOKUP(A36,'Data Vlaue (Cr)'!C31:CZ260,102,0)</f>
        <v>1.8E-3</v>
      </c>
      <c r="E36" s="91">
        <f>VLOOKUP($A36,'Data Vlaue (Cr)'!$C:$FB,75)</f>
        <v>821</v>
      </c>
      <c r="F36" s="91">
        <f>VLOOKUP($A36,'Data Vlaue (Cr)'!$C:$FB,77)</f>
        <v>14</v>
      </c>
      <c r="G36" s="92">
        <f>VLOOKUP(A36,'Data Vlaue (Cr)'!C31:CB260,78,0)</f>
        <v>1.7299999999999999E-2</v>
      </c>
      <c r="H36" s="91">
        <f>VLOOKUP($A36,'Data Vlaue (Cr)'!$C:$FB,91)</f>
        <v>421</v>
      </c>
      <c r="I36" s="91">
        <f>VLOOKUP($A36,'Data Vlaue (Cr)'!$C:$FB,93)</f>
        <v>-13</v>
      </c>
      <c r="J36" s="92">
        <f>VLOOKUP($A36,'Data Vlaue (Cr)'!$C:$FB,94)</f>
        <v>-3.0599999999999999E-2</v>
      </c>
      <c r="K36" s="91">
        <f>VLOOKUP($A36,'Data Vlaue (Cr)'!$C:$FB,95)</f>
        <v>255</v>
      </c>
      <c r="L36" s="91">
        <f>VLOOKUP($A36,'Data Vlaue (Cr)'!$C:$FB,97)</f>
        <v>2</v>
      </c>
      <c r="M36" s="92">
        <f>VLOOKUP($A36,'Data Vlaue (Cr)'!$C:$FB,98)</f>
        <v>8.0999999999999996E-3</v>
      </c>
      <c r="N36" s="91">
        <f>VLOOKUP($A36,'Data Vlaue (Cr)'!$C:$FB,79)</f>
        <v>703</v>
      </c>
      <c r="O36" s="92">
        <f>VLOOKUP($A36,'Data Vlaue (Cr)'!$C:$FB,82)</f>
        <v>-2.07E-2</v>
      </c>
    </row>
    <row r="37" spans="1:15" x14ac:dyDescent="0.25">
      <c r="A37" s="97" t="str">
        <f>'Data Vlaue (Cr)'!C32</f>
        <v>BANKNIFTY</v>
      </c>
      <c r="B37" s="142">
        <f>VLOOKUP(A37,'Data Vlaue (Cr)'!C32:CW261,99,0)</f>
        <v>271303</v>
      </c>
      <c r="C37" s="90">
        <f>VLOOKUP(A37,'Data Vlaue (Cr)'!C32:CY261,101,0)</f>
        <v>19782</v>
      </c>
      <c r="D37" s="139">
        <f>VLOOKUP(A37,'Data Vlaue (Cr)'!C32:CZ261,102,0)</f>
        <v>7.8600000000000003E-2</v>
      </c>
      <c r="E37" s="91">
        <f>VLOOKUP($A37,'Data Vlaue (Cr)'!$C:$FB,75)</f>
        <v>14806</v>
      </c>
      <c r="F37" s="91">
        <f>VLOOKUP($A37,'Data Vlaue (Cr)'!$C:$FB,77)</f>
        <v>-59</v>
      </c>
      <c r="G37" s="92">
        <f>VLOOKUP(A37,'Data Vlaue (Cr)'!C32:CB261,78,0)</f>
        <v>-4.0000000000000001E-3</v>
      </c>
      <c r="H37" s="91">
        <f>VLOOKUP($A37,'Data Vlaue (Cr)'!$C:$FB,91)</f>
        <v>141632</v>
      </c>
      <c r="I37" s="91">
        <f>VLOOKUP($A37,'Data Vlaue (Cr)'!$C:$FB,93)</f>
        <v>15975</v>
      </c>
      <c r="J37" s="92">
        <f>VLOOKUP($A37,'Data Vlaue (Cr)'!$C:$FB,94)</f>
        <v>0.12709999999999999</v>
      </c>
      <c r="K37" s="91">
        <f>VLOOKUP($A37,'Data Vlaue (Cr)'!$C:$FB,95)</f>
        <v>114865</v>
      </c>
      <c r="L37" s="91">
        <f>VLOOKUP($A37,'Data Vlaue (Cr)'!$C:$FB,97)</f>
        <v>3866</v>
      </c>
      <c r="M37" s="92">
        <f>VLOOKUP($A37,'Data Vlaue (Cr)'!$C:$FB,98)</f>
        <v>3.4799999999999998E-2</v>
      </c>
      <c r="N37" s="91">
        <f>VLOOKUP($A37,'Data Vlaue (Cr)'!$C:$FB,79)</f>
        <v>11512</v>
      </c>
      <c r="O37" s="92">
        <f>VLOOKUP($A37,'Data Vlaue (Cr)'!$C:$FB,82)</f>
        <v>-1.29E-2</v>
      </c>
    </row>
    <row r="38" spans="1:15" x14ac:dyDescent="0.25">
      <c r="A38" s="97" t="str">
        <f>'Data Vlaue (Cr)'!C33</f>
        <v>BDL</v>
      </c>
      <c r="B38" s="142">
        <f>VLOOKUP(A38,'Data Vlaue (Cr)'!C33:CW262,99,0)</f>
        <v>2075</v>
      </c>
      <c r="C38" s="90">
        <f>VLOOKUP(A38,'Data Vlaue (Cr)'!C33:CY262,101,0)</f>
        <v>-36</v>
      </c>
      <c r="D38" s="139">
        <f>VLOOKUP(A38,'Data Vlaue (Cr)'!C33:CZ262,102,0)</f>
        <v>-1.7000000000000001E-2</v>
      </c>
      <c r="E38" s="91">
        <f>VLOOKUP($A38,'Data Vlaue (Cr)'!$C:$FB,75)</f>
        <v>737</v>
      </c>
      <c r="F38" s="91">
        <f>VLOOKUP($A38,'Data Vlaue (Cr)'!$C:$FB,77)</f>
        <v>-37</v>
      </c>
      <c r="G38" s="92">
        <f>VLOOKUP(A38,'Data Vlaue (Cr)'!C33:CB262,78,0)</f>
        <v>-4.7500000000000001E-2</v>
      </c>
      <c r="H38" s="91">
        <f>VLOOKUP($A38,'Data Vlaue (Cr)'!$C:$FB,91)</f>
        <v>990</v>
      </c>
      <c r="I38" s="91">
        <f>VLOOKUP($A38,'Data Vlaue (Cr)'!$C:$FB,93)</f>
        <v>6</v>
      </c>
      <c r="J38" s="92">
        <f>VLOOKUP($A38,'Data Vlaue (Cr)'!$C:$FB,94)</f>
        <v>6.0000000000000001E-3</v>
      </c>
      <c r="K38" s="91">
        <f>VLOOKUP($A38,'Data Vlaue (Cr)'!$C:$FB,95)</f>
        <v>348</v>
      </c>
      <c r="L38" s="91">
        <f>VLOOKUP($A38,'Data Vlaue (Cr)'!$C:$FB,97)</f>
        <v>-5</v>
      </c>
      <c r="M38" s="92">
        <f>VLOOKUP($A38,'Data Vlaue (Cr)'!$C:$FB,98)</f>
        <v>-1.3899999999999999E-2</v>
      </c>
      <c r="N38" s="91">
        <f>VLOOKUP($A38,'Data Vlaue (Cr)'!$C:$FB,79)</f>
        <v>621</v>
      </c>
      <c r="O38" s="92">
        <f>VLOOKUP($A38,'Data Vlaue (Cr)'!$C:$FB,82)</f>
        <v>-6.8000000000000005E-2</v>
      </c>
    </row>
    <row r="39" spans="1:15" x14ac:dyDescent="0.25">
      <c r="A39" s="97" t="str">
        <f>'Data Vlaue (Cr)'!C34</f>
        <v>BEL</v>
      </c>
      <c r="B39" s="142">
        <f>VLOOKUP(A39,'Data Vlaue (Cr)'!C34:CW263,99,0)</f>
        <v>11104</v>
      </c>
      <c r="C39" s="90">
        <f>VLOOKUP(A39,'Data Vlaue (Cr)'!C34:CY263,101,0)</f>
        <v>-33</v>
      </c>
      <c r="D39" s="139">
        <f>VLOOKUP(A39,'Data Vlaue (Cr)'!C34:CZ263,102,0)</f>
        <v>-2.8999999999999998E-3</v>
      </c>
      <c r="E39" s="91">
        <f>VLOOKUP($A39,'Data Vlaue (Cr)'!$C:$FB,75)</f>
        <v>4826</v>
      </c>
      <c r="F39" s="91">
        <f>VLOOKUP($A39,'Data Vlaue (Cr)'!$C:$FB,77)</f>
        <v>-62</v>
      </c>
      <c r="G39" s="92">
        <f>VLOOKUP(A39,'Data Vlaue (Cr)'!C34:CB263,78,0)</f>
        <v>-1.2699999999999999E-2</v>
      </c>
      <c r="H39" s="91">
        <f>VLOOKUP($A39,'Data Vlaue (Cr)'!$C:$FB,91)</f>
        <v>4007</v>
      </c>
      <c r="I39" s="91">
        <f>VLOOKUP($A39,'Data Vlaue (Cr)'!$C:$FB,93)</f>
        <v>-34</v>
      </c>
      <c r="J39" s="92">
        <f>VLOOKUP($A39,'Data Vlaue (Cr)'!$C:$FB,94)</f>
        <v>-8.3999999999999995E-3</v>
      </c>
      <c r="K39" s="91">
        <f>VLOOKUP($A39,'Data Vlaue (Cr)'!$C:$FB,95)</f>
        <v>2271</v>
      </c>
      <c r="L39" s="91">
        <f>VLOOKUP($A39,'Data Vlaue (Cr)'!$C:$FB,97)</f>
        <v>63</v>
      </c>
      <c r="M39" s="92">
        <f>VLOOKUP($A39,'Data Vlaue (Cr)'!$C:$FB,98)</f>
        <v>2.87E-2</v>
      </c>
      <c r="N39" s="91">
        <f>VLOOKUP($A39,'Data Vlaue (Cr)'!$C:$FB,79)</f>
        <v>3792</v>
      </c>
      <c r="O39" s="92">
        <f>VLOOKUP($A39,'Data Vlaue (Cr)'!$C:$FB,82)</f>
        <v>-2.29E-2</v>
      </c>
    </row>
    <row r="40" spans="1:15" x14ac:dyDescent="0.25">
      <c r="A40" s="97" t="str">
        <f>'Data Vlaue (Cr)'!C35</f>
        <v>BHARATFORG</v>
      </c>
      <c r="B40" s="142">
        <f>VLOOKUP(A40,'Data Vlaue (Cr)'!C35:CW264,99,0)</f>
        <v>2406</v>
      </c>
      <c r="C40" s="90">
        <f>VLOOKUP(A40,'Data Vlaue (Cr)'!C35:CY264,101,0)</f>
        <v>33</v>
      </c>
      <c r="D40" s="139">
        <f>VLOOKUP(A40,'Data Vlaue (Cr)'!C35:CZ264,102,0)</f>
        <v>1.38E-2</v>
      </c>
      <c r="E40" s="91">
        <f>VLOOKUP($A40,'Data Vlaue (Cr)'!$C:$FB,75)</f>
        <v>1496</v>
      </c>
      <c r="F40" s="91">
        <f>VLOOKUP($A40,'Data Vlaue (Cr)'!$C:$FB,77)</f>
        <v>21</v>
      </c>
      <c r="G40" s="92">
        <f>VLOOKUP(A40,'Data Vlaue (Cr)'!C35:CB264,78,0)</f>
        <v>1.41E-2</v>
      </c>
      <c r="H40" s="91">
        <f>VLOOKUP($A40,'Data Vlaue (Cr)'!$C:$FB,91)</f>
        <v>552</v>
      </c>
      <c r="I40" s="91">
        <f>VLOOKUP($A40,'Data Vlaue (Cr)'!$C:$FB,93)</f>
        <v>0</v>
      </c>
      <c r="J40" s="92">
        <f>VLOOKUP($A40,'Data Vlaue (Cr)'!$C:$FB,94)</f>
        <v>-1E-4</v>
      </c>
      <c r="K40" s="91">
        <f>VLOOKUP($A40,'Data Vlaue (Cr)'!$C:$FB,95)</f>
        <v>358</v>
      </c>
      <c r="L40" s="91">
        <f>VLOOKUP($A40,'Data Vlaue (Cr)'!$C:$FB,97)</f>
        <v>12</v>
      </c>
      <c r="M40" s="92">
        <f>VLOOKUP($A40,'Data Vlaue (Cr)'!$C:$FB,98)</f>
        <v>3.49E-2</v>
      </c>
      <c r="N40" s="91">
        <f>VLOOKUP($A40,'Data Vlaue (Cr)'!$C:$FB,79)</f>
        <v>1387</v>
      </c>
      <c r="O40" s="92">
        <f>VLOOKUP($A40,'Data Vlaue (Cr)'!$C:$FB,82)</f>
        <v>1.9E-3</v>
      </c>
    </row>
    <row r="41" spans="1:15" x14ac:dyDescent="0.25">
      <c r="A41" s="97" t="str">
        <f>'Data Vlaue (Cr)'!C36</f>
        <v>BHARTIARTL</v>
      </c>
      <c r="B41" s="142">
        <f>VLOOKUP(A41,'Data Vlaue (Cr)'!C36:CW265,99,0)</f>
        <v>15354</v>
      </c>
      <c r="C41" s="90">
        <f>VLOOKUP(A41,'Data Vlaue (Cr)'!C36:CY265,101,0)</f>
        <v>-59</v>
      </c>
      <c r="D41" s="139">
        <f>VLOOKUP(A41,'Data Vlaue (Cr)'!C36:CZ265,102,0)</f>
        <v>-3.8E-3</v>
      </c>
      <c r="E41" s="91">
        <f>VLOOKUP($A41,'Data Vlaue (Cr)'!$C:$FB,75)</f>
        <v>9584</v>
      </c>
      <c r="F41" s="91">
        <f>VLOOKUP($A41,'Data Vlaue (Cr)'!$C:$FB,77)</f>
        <v>-55</v>
      </c>
      <c r="G41" s="92">
        <f>VLOOKUP(A41,'Data Vlaue (Cr)'!C36:CB265,78,0)</f>
        <v>-5.7000000000000002E-3</v>
      </c>
      <c r="H41" s="91">
        <f>VLOOKUP($A41,'Data Vlaue (Cr)'!$C:$FB,91)</f>
        <v>4073</v>
      </c>
      <c r="I41" s="91">
        <f>VLOOKUP($A41,'Data Vlaue (Cr)'!$C:$FB,93)</f>
        <v>-10</v>
      </c>
      <c r="J41" s="92">
        <f>VLOOKUP($A41,'Data Vlaue (Cr)'!$C:$FB,94)</f>
        <v>-2.3999999999999998E-3</v>
      </c>
      <c r="K41" s="91">
        <f>VLOOKUP($A41,'Data Vlaue (Cr)'!$C:$FB,95)</f>
        <v>1697</v>
      </c>
      <c r="L41" s="91">
        <f>VLOOKUP($A41,'Data Vlaue (Cr)'!$C:$FB,97)</f>
        <v>6</v>
      </c>
      <c r="M41" s="92">
        <f>VLOOKUP($A41,'Data Vlaue (Cr)'!$C:$FB,98)</f>
        <v>3.5000000000000001E-3</v>
      </c>
      <c r="N41" s="91">
        <f>VLOOKUP($A41,'Data Vlaue (Cr)'!$C:$FB,79)</f>
        <v>7984</v>
      </c>
      <c r="O41" s="92">
        <f>VLOOKUP($A41,'Data Vlaue (Cr)'!$C:$FB,82)</f>
        <v>-1.26E-2</v>
      </c>
    </row>
    <row r="42" spans="1:15" x14ac:dyDescent="0.25">
      <c r="A42" s="97" t="str">
        <f>'Data Vlaue (Cr)'!C37</f>
        <v>BHEL</v>
      </c>
      <c r="B42" s="142">
        <f>VLOOKUP(A42,'Data Vlaue (Cr)'!C37:CW266,99,0)</f>
        <v>2760</v>
      </c>
      <c r="C42" s="90">
        <f>VLOOKUP(A42,'Data Vlaue (Cr)'!C37:CY266,101,0)</f>
        <v>70</v>
      </c>
      <c r="D42" s="139">
        <f>VLOOKUP(A42,'Data Vlaue (Cr)'!C37:CZ266,102,0)</f>
        <v>2.5899999999999999E-2</v>
      </c>
      <c r="E42" s="91">
        <f>VLOOKUP($A42,'Data Vlaue (Cr)'!$C:$FB,75)</f>
        <v>1413</v>
      </c>
      <c r="F42" s="91">
        <f>VLOOKUP($A42,'Data Vlaue (Cr)'!$C:$FB,77)</f>
        <v>-2</v>
      </c>
      <c r="G42" s="92">
        <f>VLOOKUP(A42,'Data Vlaue (Cr)'!C37:CB266,78,0)</f>
        <v>-1.5E-3</v>
      </c>
      <c r="H42" s="91">
        <f>VLOOKUP($A42,'Data Vlaue (Cr)'!$C:$FB,91)</f>
        <v>884</v>
      </c>
      <c r="I42" s="91">
        <f>VLOOKUP($A42,'Data Vlaue (Cr)'!$C:$FB,93)</f>
        <v>55</v>
      </c>
      <c r="J42" s="92">
        <f>VLOOKUP($A42,'Data Vlaue (Cr)'!$C:$FB,94)</f>
        <v>6.7000000000000004E-2</v>
      </c>
      <c r="K42" s="91">
        <f>VLOOKUP($A42,'Data Vlaue (Cr)'!$C:$FB,95)</f>
        <v>463</v>
      </c>
      <c r="L42" s="91">
        <f>VLOOKUP($A42,'Data Vlaue (Cr)'!$C:$FB,97)</f>
        <v>16</v>
      </c>
      <c r="M42" s="92">
        <f>VLOOKUP($A42,'Data Vlaue (Cr)'!$C:$FB,98)</f>
        <v>3.6499999999999998E-2</v>
      </c>
      <c r="N42" s="91">
        <f>VLOOKUP($A42,'Data Vlaue (Cr)'!$C:$FB,79)</f>
        <v>1263</v>
      </c>
      <c r="O42" s="92">
        <f>VLOOKUP($A42,'Data Vlaue (Cr)'!$C:$FB,82)</f>
        <v>-1.72E-2</v>
      </c>
    </row>
    <row r="43" spans="1:15" x14ac:dyDescent="0.25">
      <c r="A43" s="97" t="str">
        <f>'Data Vlaue (Cr)'!C38</f>
        <v>BIOCON</v>
      </c>
      <c r="B43" s="142">
        <f>VLOOKUP(A43,'Data Vlaue (Cr)'!C38:CW267,99,0)</f>
        <v>2994</v>
      </c>
      <c r="C43" s="90">
        <f>VLOOKUP(A43,'Data Vlaue (Cr)'!C38:CY267,101,0)</f>
        <v>-78</v>
      </c>
      <c r="D43" s="139">
        <f>VLOOKUP(A43,'Data Vlaue (Cr)'!C38:CZ267,102,0)</f>
        <v>-2.5499999999999998E-2</v>
      </c>
      <c r="E43" s="91">
        <f>VLOOKUP($A43,'Data Vlaue (Cr)'!$C:$FB,75)</f>
        <v>1534</v>
      </c>
      <c r="F43" s="91">
        <f>VLOOKUP($A43,'Data Vlaue (Cr)'!$C:$FB,77)</f>
        <v>-27</v>
      </c>
      <c r="G43" s="92">
        <f>VLOOKUP(A43,'Data Vlaue (Cr)'!C38:CB267,78,0)</f>
        <v>-1.7000000000000001E-2</v>
      </c>
      <c r="H43" s="91">
        <f>VLOOKUP($A43,'Data Vlaue (Cr)'!$C:$FB,91)</f>
        <v>883</v>
      </c>
      <c r="I43" s="91">
        <f>VLOOKUP($A43,'Data Vlaue (Cr)'!$C:$FB,93)</f>
        <v>-1</v>
      </c>
      <c r="J43" s="92">
        <f>VLOOKUP($A43,'Data Vlaue (Cr)'!$C:$FB,94)</f>
        <v>-1E-3</v>
      </c>
      <c r="K43" s="91">
        <f>VLOOKUP($A43,'Data Vlaue (Cr)'!$C:$FB,95)</f>
        <v>576</v>
      </c>
      <c r="L43" s="91">
        <f>VLOOKUP($A43,'Data Vlaue (Cr)'!$C:$FB,97)</f>
        <v>-51</v>
      </c>
      <c r="M43" s="92">
        <f>VLOOKUP($A43,'Data Vlaue (Cr)'!$C:$FB,98)</f>
        <v>-8.1199999999999994E-2</v>
      </c>
      <c r="N43" s="91">
        <f>VLOOKUP($A43,'Data Vlaue (Cr)'!$C:$FB,79)</f>
        <v>1229</v>
      </c>
      <c r="O43" s="92">
        <f>VLOOKUP($A43,'Data Vlaue (Cr)'!$C:$FB,82)</f>
        <v>-5.0299999999999997E-2</v>
      </c>
    </row>
    <row r="44" spans="1:15" x14ac:dyDescent="0.25">
      <c r="A44" s="97" t="str">
        <f>'Data Vlaue (Cr)'!C39</f>
        <v>BLUESTARCO</v>
      </c>
      <c r="B44" s="142">
        <f>VLOOKUP(A44,'Data Vlaue (Cr)'!C39:CW268,99,0)</f>
        <v>985</v>
      </c>
      <c r="C44" s="90">
        <f>VLOOKUP(A44,'Data Vlaue (Cr)'!C39:CY268,101,0)</f>
        <v>24</v>
      </c>
      <c r="D44" s="139">
        <f>VLOOKUP(A44,'Data Vlaue (Cr)'!C39:CZ268,102,0)</f>
        <v>2.4799999999999999E-2</v>
      </c>
      <c r="E44" s="91">
        <f>VLOOKUP($A44,'Data Vlaue (Cr)'!$C:$FB,75)</f>
        <v>395</v>
      </c>
      <c r="F44" s="91">
        <f>VLOOKUP($A44,'Data Vlaue (Cr)'!$C:$FB,77)</f>
        <v>15</v>
      </c>
      <c r="G44" s="92">
        <f>VLOOKUP(A44,'Data Vlaue (Cr)'!C39:CB268,78,0)</f>
        <v>4.0099999999999997E-2</v>
      </c>
      <c r="H44" s="91">
        <f>VLOOKUP($A44,'Data Vlaue (Cr)'!$C:$FB,91)</f>
        <v>294</v>
      </c>
      <c r="I44" s="91">
        <f>VLOOKUP($A44,'Data Vlaue (Cr)'!$C:$FB,93)</f>
        <v>23</v>
      </c>
      <c r="J44" s="92">
        <f>VLOOKUP($A44,'Data Vlaue (Cr)'!$C:$FB,94)</f>
        <v>8.3699999999999997E-2</v>
      </c>
      <c r="K44" s="91">
        <f>VLOOKUP($A44,'Data Vlaue (Cr)'!$C:$FB,95)</f>
        <v>295</v>
      </c>
      <c r="L44" s="91">
        <f>VLOOKUP($A44,'Data Vlaue (Cr)'!$C:$FB,97)</f>
        <v>-14</v>
      </c>
      <c r="M44" s="92">
        <f>VLOOKUP($A44,'Data Vlaue (Cr)'!$C:$FB,98)</f>
        <v>-4.5499999999999999E-2</v>
      </c>
      <c r="N44" s="91">
        <f>VLOOKUP($A44,'Data Vlaue (Cr)'!$C:$FB,79)</f>
        <v>288</v>
      </c>
      <c r="O44" s="92">
        <f>VLOOKUP($A44,'Data Vlaue (Cr)'!$C:$FB,82)</f>
        <v>-1.2800000000000001E-2</v>
      </c>
    </row>
    <row r="45" spans="1:15" x14ac:dyDescent="0.25">
      <c r="A45" s="97" t="str">
        <f>'Data Vlaue (Cr)'!C40</f>
        <v>BOSCHLTD</v>
      </c>
      <c r="B45" s="142">
        <f>VLOOKUP(A45,'Data Vlaue (Cr)'!C40:CW269,99,0)</f>
        <v>3813</v>
      </c>
      <c r="C45" s="90">
        <f>VLOOKUP(A45,'Data Vlaue (Cr)'!C40:CY269,101,0)</f>
        <v>-309</v>
      </c>
      <c r="D45" s="139">
        <f>VLOOKUP(A45,'Data Vlaue (Cr)'!C40:CZ269,102,0)</f>
        <v>-7.51E-2</v>
      </c>
      <c r="E45" s="91">
        <f>VLOOKUP($A45,'Data Vlaue (Cr)'!$C:$FB,75)</f>
        <v>1228</v>
      </c>
      <c r="F45" s="91">
        <f>VLOOKUP($A45,'Data Vlaue (Cr)'!$C:$FB,77)</f>
        <v>-48</v>
      </c>
      <c r="G45" s="92">
        <f>VLOOKUP(A45,'Data Vlaue (Cr)'!C40:CB269,78,0)</f>
        <v>-3.73E-2</v>
      </c>
      <c r="H45" s="91">
        <f>VLOOKUP($A45,'Data Vlaue (Cr)'!$C:$FB,91)</f>
        <v>1656</v>
      </c>
      <c r="I45" s="91">
        <f>VLOOKUP($A45,'Data Vlaue (Cr)'!$C:$FB,93)</f>
        <v>-192</v>
      </c>
      <c r="J45" s="92">
        <f>VLOOKUP($A45,'Data Vlaue (Cr)'!$C:$FB,94)</f>
        <v>-0.10390000000000001</v>
      </c>
      <c r="K45" s="91">
        <f>VLOOKUP($A45,'Data Vlaue (Cr)'!$C:$FB,95)</f>
        <v>929</v>
      </c>
      <c r="L45" s="91">
        <f>VLOOKUP($A45,'Data Vlaue (Cr)'!$C:$FB,97)</f>
        <v>-70</v>
      </c>
      <c r="M45" s="92">
        <f>VLOOKUP($A45,'Data Vlaue (Cr)'!$C:$FB,98)</f>
        <v>-7.0000000000000007E-2</v>
      </c>
      <c r="N45" s="91">
        <f>VLOOKUP($A45,'Data Vlaue (Cr)'!$C:$FB,79)</f>
        <v>1170</v>
      </c>
      <c r="O45" s="92">
        <f>VLOOKUP($A45,'Data Vlaue (Cr)'!$C:$FB,82)</f>
        <v>-3.73E-2</v>
      </c>
    </row>
    <row r="46" spans="1:15" x14ac:dyDescent="0.25">
      <c r="A46" s="97" t="str">
        <f>'Data Vlaue (Cr)'!C41</f>
        <v>BPCL</v>
      </c>
      <c r="B46" s="142">
        <f>VLOOKUP(A46,'Data Vlaue (Cr)'!C41:CW270,99,0)</f>
        <v>2682</v>
      </c>
      <c r="C46" s="90">
        <f>VLOOKUP(A46,'Data Vlaue (Cr)'!C41:CY270,101,0)</f>
        <v>-12</v>
      </c>
      <c r="D46" s="139">
        <f>VLOOKUP(A46,'Data Vlaue (Cr)'!C41:CZ270,102,0)</f>
        <v>-4.4999999999999997E-3</v>
      </c>
      <c r="E46" s="91">
        <f>VLOOKUP($A46,'Data Vlaue (Cr)'!$C:$FB,75)</f>
        <v>1555</v>
      </c>
      <c r="F46" s="91">
        <f>VLOOKUP($A46,'Data Vlaue (Cr)'!$C:$FB,77)</f>
        <v>-8</v>
      </c>
      <c r="G46" s="92">
        <f>VLOOKUP(A46,'Data Vlaue (Cr)'!C41:CB270,78,0)</f>
        <v>-5.3E-3</v>
      </c>
      <c r="H46" s="91">
        <f>VLOOKUP($A46,'Data Vlaue (Cr)'!$C:$FB,91)</f>
        <v>662</v>
      </c>
      <c r="I46" s="91">
        <f>VLOOKUP($A46,'Data Vlaue (Cr)'!$C:$FB,93)</f>
        <v>-5</v>
      </c>
      <c r="J46" s="92">
        <f>VLOOKUP($A46,'Data Vlaue (Cr)'!$C:$FB,94)</f>
        <v>-7.7000000000000002E-3</v>
      </c>
      <c r="K46" s="91">
        <f>VLOOKUP($A46,'Data Vlaue (Cr)'!$C:$FB,95)</f>
        <v>465</v>
      </c>
      <c r="L46" s="91">
        <f>VLOOKUP($A46,'Data Vlaue (Cr)'!$C:$FB,97)</f>
        <v>1</v>
      </c>
      <c r="M46" s="92">
        <f>VLOOKUP($A46,'Data Vlaue (Cr)'!$C:$FB,98)</f>
        <v>2.7000000000000001E-3</v>
      </c>
      <c r="N46" s="91">
        <f>VLOOKUP($A46,'Data Vlaue (Cr)'!$C:$FB,79)</f>
        <v>1109</v>
      </c>
      <c r="O46" s="92">
        <f>VLOOKUP($A46,'Data Vlaue (Cr)'!$C:$FB,82)</f>
        <v>-8.3999999999999995E-3</v>
      </c>
    </row>
    <row r="47" spans="1:15" x14ac:dyDescent="0.25">
      <c r="A47" s="97" t="str">
        <f>'Data Vlaue (Cr)'!C42</f>
        <v>BRITANNIA</v>
      </c>
      <c r="B47" s="142">
        <f>VLOOKUP(A47,'Data Vlaue (Cr)'!C42:CW271,99,0)</f>
        <v>2496</v>
      </c>
      <c r="C47" s="90">
        <f>VLOOKUP(A47,'Data Vlaue (Cr)'!C42:CY271,101,0)</f>
        <v>21</v>
      </c>
      <c r="D47" s="139">
        <f>VLOOKUP(A47,'Data Vlaue (Cr)'!C42:CZ271,102,0)</f>
        <v>8.3000000000000001E-3</v>
      </c>
      <c r="E47" s="91">
        <f>VLOOKUP($A47,'Data Vlaue (Cr)'!$C:$FB,75)</f>
        <v>1803</v>
      </c>
      <c r="F47" s="91">
        <f>VLOOKUP($A47,'Data Vlaue (Cr)'!$C:$FB,77)</f>
        <v>9</v>
      </c>
      <c r="G47" s="92">
        <f>VLOOKUP(A47,'Data Vlaue (Cr)'!C42:CB271,78,0)</f>
        <v>5.3E-3</v>
      </c>
      <c r="H47" s="91">
        <f>VLOOKUP($A47,'Data Vlaue (Cr)'!$C:$FB,91)</f>
        <v>435</v>
      </c>
      <c r="I47" s="91">
        <f>VLOOKUP($A47,'Data Vlaue (Cr)'!$C:$FB,93)</f>
        <v>-6</v>
      </c>
      <c r="J47" s="92">
        <f>VLOOKUP($A47,'Data Vlaue (Cr)'!$C:$FB,94)</f>
        <v>-1.34E-2</v>
      </c>
      <c r="K47" s="91">
        <f>VLOOKUP($A47,'Data Vlaue (Cr)'!$C:$FB,95)</f>
        <v>258</v>
      </c>
      <c r="L47" s="91">
        <f>VLOOKUP($A47,'Data Vlaue (Cr)'!$C:$FB,97)</f>
        <v>17</v>
      </c>
      <c r="M47" s="92">
        <f>VLOOKUP($A47,'Data Vlaue (Cr)'!$C:$FB,98)</f>
        <v>7.0999999999999994E-2</v>
      </c>
      <c r="N47" s="91">
        <f>VLOOKUP($A47,'Data Vlaue (Cr)'!$C:$FB,79)</f>
        <v>1687</v>
      </c>
      <c r="O47" s="92">
        <f>VLOOKUP($A47,'Data Vlaue (Cr)'!$C:$FB,82)</f>
        <v>1.4E-3</v>
      </c>
    </row>
    <row r="48" spans="1:15" x14ac:dyDescent="0.25">
      <c r="A48" s="97" t="str">
        <f>'Data Vlaue (Cr)'!C43</f>
        <v>BSE</v>
      </c>
      <c r="B48" s="142">
        <f>VLOOKUP(A48,'Data Vlaue (Cr)'!C43:CW272,99,0)</f>
        <v>11097</v>
      </c>
      <c r="C48" s="90">
        <f>VLOOKUP(A48,'Data Vlaue (Cr)'!C43:CY272,101,0)</f>
        <v>-311</v>
      </c>
      <c r="D48" s="139">
        <f>VLOOKUP(A48,'Data Vlaue (Cr)'!C43:CZ272,102,0)</f>
        <v>-2.7199999999999998E-2</v>
      </c>
      <c r="E48" s="91">
        <f>VLOOKUP($A48,'Data Vlaue (Cr)'!$C:$FB,75)</f>
        <v>3362</v>
      </c>
      <c r="F48" s="91">
        <f>VLOOKUP($A48,'Data Vlaue (Cr)'!$C:$FB,77)</f>
        <v>-108</v>
      </c>
      <c r="G48" s="92">
        <f>VLOOKUP(A48,'Data Vlaue (Cr)'!C43:CB272,78,0)</f>
        <v>-3.1199999999999999E-2</v>
      </c>
      <c r="H48" s="91">
        <f>VLOOKUP($A48,'Data Vlaue (Cr)'!$C:$FB,91)</f>
        <v>4995</v>
      </c>
      <c r="I48" s="91">
        <f>VLOOKUP($A48,'Data Vlaue (Cr)'!$C:$FB,93)</f>
        <v>-122</v>
      </c>
      <c r="J48" s="92">
        <f>VLOOKUP($A48,'Data Vlaue (Cr)'!$C:$FB,94)</f>
        <v>-2.3900000000000001E-2</v>
      </c>
      <c r="K48" s="91">
        <f>VLOOKUP($A48,'Data Vlaue (Cr)'!$C:$FB,95)</f>
        <v>2739</v>
      </c>
      <c r="L48" s="91">
        <f>VLOOKUP($A48,'Data Vlaue (Cr)'!$C:$FB,97)</f>
        <v>-80</v>
      </c>
      <c r="M48" s="92">
        <f>VLOOKUP($A48,'Data Vlaue (Cr)'!$C:$FB,98)</f>
        <v>-2.8400000000000002E-2</v>
      </c>
      <c r="N48" s="91">
        <f>VLOOKUP($A48,'Data Vlaue (Cr)'!$C:$FB,79)</f>
        <v>2855</v>
      </c>
      <c r="O48" s="92">
        <f>VLOOKUP($A48,'Data Vlaue (Cr)'!$C:$FB,82)</f>
        <v>-3.5299999999999998E-2</v>
      </c>
    </row>
    <row r="49" spans="1:15" x14ac:dyDescent="0.25">
      <c r="A49" s="97" t="str">
        <f>'Data Vlaue (Cr)'!C44</f>
        <v>BSOFT</v>
      </c>
      <c r="B49" s="142">
        <f>VLOOKUP(A49,'Data Vlaue (Cr)'!C44:CW273,99,0)</f>
        <v>904</v>
      </c>
      <c r="C49" s="90">
        <f>VLOOKUP(A49,'Data Vlaue (Cr)'!C44:CY273,101,0)</f>
        <v>-26</v>
      </c>
      <c r="D49" s="139">
        <f>VLOOKUP(A49,'Data Vlaue (Cr)'!C44:CZ273,102,0)</f>
        <v>-2.76E-2</v>
      </c>
      <c r="E49" s="91">
        <f>VLOOKUP($A49,'Data Vlaue (Cr)'!$C:$FB,75)</f>
        <v>345</v>
      </c>
      <c r="F49" s="91">
        <f>VLOOKUP($A49,'Data Vlaue (Cr)'!$C:$FB,77)</f>
        <v>-4</v>
      </c>
      <c r="G49" s="92">
        <f>VLOOKUP(A49,'Data Vlaue (Cr)'!C44:CB273,78,0)</f>
        <v>-1.1599999999999999E-2</v>
      </c>
      <c r="H49" s="91">
        <f>VLOOKUP($A49,'Data Vlaue (Cr)'!$C:$FB,91)</f>
        <v>389</v>
      </c>
      <c r="I49" s="91">
        <f>VLOOKUP($A49,'Data Vlaue (Cr)'!$C:$FB,93)</f>
        <v>-19</v>
      </c>
      <c r="J49" s="92">
        <f>VLOOKUP($A49,'Data Vlaue (Cr)'!$C:$FB,94)</f>
        <v>-4.6699999999999998E-2</v>
      </c>
      <c r="K49" s="91">
        <f>VLOOKUP($A49,'Data Vlaue (Cr)'!$C:$FB,95)</f>
        <v>171</v>
      </c>
      <c r="L49" s="91">
        <f>VLOOKUP($A49,'Data Vlaue (Cr)'!$C:$FB,97)</f>
        <v>-3</v>
      </c>
      <c r="M49" s="92">
        <f>VLOOKUP($A49,'Data Vlaue (Cr)'!$C:$FB,98)</f>
        <v>-1.49E-2</v>
      </c>
      <c r="N49" s="91">
        <f>VLOOKUP($A49,'Data Vlaue (Cr)'!$C:$FB,79)</f>
        <v>345</v>
      </c>
      <c r="O49" s="92">
        <f>VLOOKUP($A49,'Data Vlaue (Cr)'!$C:$FB,82)</f>
        <v>-1.1599999999999999E-2</v>
      </c>
    </row>
    <row r="50" spans="1:15" x14ac:dyDescent="0.25">
      <c r="A50" s="97" t="str">
        <f>'Data Vlaue (Cr)'!C45</f>
        <v>CAMS</v>
      </c>
      <c r="B50" s="142">
        <f>VLOOKUP(A50,'Data Vlaue (Cr)'!C45:CW274,99,0)</f>
        <v>1882</v>
      </c>
      <c r="C50" s="90">
        <f>VLOOKUP(A50,'Data Vlaue (Cr)'!C45:CY274,101,0)</f>
        <v>7</v>
      </c>
      <c r="D50" s="139">
        <f>VLOOKUP(A50,'Data Vlaue (Cr)'!C45:CZ274,102,0)</f>
        <v>3.8999999999999998E-3</v>
      </c>
      <c r="E50" s="91">
        <f>VLOOKUP($A50,'Data Vlaue (Cr)'!$C:$FB,75)</f>
        <v>1041</v>
      </c>
      <c r="F50" s="91">
        <f>VLOOKUP($A50,'Data Vlaue (Cr)'!$C:$FB,77)</f>
        <v>-3</v>
      </c>
      <c r="G50" s="92">
        <f>VLOOKUP(A50,'Data Vlaue (Cr)'!C45:CB274,78,0)</f>
        <v>-3.2000000000000002E-3</v>
      </c>
      <c r="H50" s="91">
        <f>VLOOKUP($A50,'Data Vlaue (Cr)'!$C:$FB,91)</f>
        <v>490</v>
      </c>
      <c r="I50" s="91">
        <f>VLOOKUP($A50,'Data Vlaue (Cr)'!$C:$FB,93)</f>
        <v>13</v>
      </c>
      <c r="J50" s="92">
        <f>VLOOKUP($A50,'Data Vlaue (Cr)'!$C:$FB,94)</f>
        <v>2.7300000000000001E-2</v>
      </c>
      <c r="K50" s="91">
        <f>VLOOKUP($A50,'Data Vlaue (Cr)'!$C:$FB,95)</f>
        <v>351</v>
      </c>
      <c r="L50" s="91">
        <f>VLOOKUP($A50,'Data Vlaue (Cr)'!$C:$FB,97)</f>
        <v>-2</v>
      </c>
      <c r="M50" s="92">
        <f>VLOOKUP($A50,'Data Vlaue (Cr)'!$C:$FB,98)</f>
        <v>-6.4999999999999997E-3</v>
      </c>
      <c r="N50" s="91">
        <f>VLOOKUP($A50,'Data Vlaue (Cr)'!$C:$FB,79)</f>
        <v>925</v>
      </c>
      <c r="O50" s="92">
        <f>VLOOKUP($A50,'Data Vlaue (Cr)'!$C:$FB,82)</f>
        <v>-1.29E-2</v>
      </c>
    </row>
    <row r="51" spans="1:15" x14ac:dyDescent="0.25">
      <c r="A51" s="97" t="str">
        <f>'Data Vlaue (Cr)'!C46</f>
        <v>CANBK</v>
      </c>
      <c r="B51" s="142">
        <f>VLOOKUP(A51,'Data Vlaue (Cr)'!C46:CW275,99,0)</f>
        <v>4983</v>
      </c>
      <c r="C51" s="90">
        <f>VLOOKUP(A51,'Data Vlaue (Cr)'!C46:CY275,101,0)</f>
        <v>527</v>
      </c>
      <c r="D51" s="139">
        <f>VLOOKUP(A51,'Data Vlaue (Cr)'!C46:CZ275,102,0)</f>
        <v>0.1182</v>
      </c>
      <c r="E51" s="91">
        <f>VLOOKUP($A51,'Data Vlaue (Cr)'!$C:$FB,75)</f>
        <v>2240</v>
      </c>
      <c r="F51" s="91">
        <f>VLOOKUP($A51,'Data Vlaue (Cr)'!$C:$FB,77)</f>
        <v>136</v>
      </c>
      <c r="G51" s="92">
        <f>VLOOKUP(A51,'Data Vlaue (Cr)'!C46:CB275,78,0)</f>
        <v>6.4500000000000002E-2</v>
      </c>
      <c r="H51" s="91">
        <f>VLOOKUP($A51,'Data Vlaue (Cr)'!$C:$FB,91)</f>
        <v>1692</v>
      </c>
      <c r="I51" s="91">
        <f>VLOOKUP($A51,'Data Vlaue (Cr)'!$C:$FB,93)</f>
        <v>284</v>
      </c>
      <c r="J51" s="92">
        <f>VLOOKUP($A51,'Data Vlaue (Cr)'!$C:$FB,94)</f>
        <v>0.20150000000000001</v>
      </c>
      <c r="K51" s="91">
        <f>VLOOKUP($A51,'Data Vlaue (Cr)'!$C:$FB,95)</f>
        <v>1051</v>
      </c>
      <c r="L51" s="91">
        <f>VLOOKUP($A51,'Data Vlaue (Cr)'!$C:$FB,97)</f>
        <v>107</v>
      </c>
      <c r="M51" s="92">
        <f>VLOOKUP($A51,'Data Vlaue (Cr)'!$C:$FB,98)</f>
        <v>0.11360000000000001</v>
      </c>
      <c r="N51" s="91">
        <f>VLOOKUP($A51,'Data Vlaue (Cr)'!$C:$FB,79)</f>
        <v>1707</v>
      </c>
      <c r="O51" s="92">
        <f>VLOOKUP($A51,'Data Vlaue (Cr)'!$C:$FB,82)</f>
        <v>4.0000000000000001E-3</v>
      </c>
    </row>
    <row r="52" spans="1:15" x14ac:dyDescent="0.25">
      <c r="A52" s="97" t="str">
        <f>'Data Vlaue (Cr)'!C47</f>
        <v>CDSL</v>
      </c>
      <c r="B52" s="142">
        <f>VLOOKUP(A52,'Data Vlaue (Cr)'!C47:CW276,99,0)</f>
        <v>4164</v>
      </c>
      <c r="C52" s="90">
        <f>VLOOKUP(A52,'Data Vlaue (Cr)'!C47:CY276,101,0)</f>
        <v>204</v>
      </c>
      <c r="D52" s="139">
        <f>VLOOKUP(A52,'Data Vlaue (Cr)'!C47:CZ276,102,0)</f>
        <v>5.1400000000000001E-2</v>
      </c>
      <c r="E52" s="91">
        <f>VLOOKUP($A52,'Data Vlaue (Cr)'!$C:$FB,75)</f>
        <v>1748</v>
      </c>
      <c r="F52" s="91">
        <f>VLOOKUP($A52,'Data Vlaue (Cr)'!$C:$FB,77)</f>
        <v>79</v>
      </c>
      <c r="G52" s="92">
        <f>VLOOKUP(A52,'Data Vlaue (Cr)'!C47:CB276,78,0)</f>
        <v>4.7100000000000003E-2</v>
      </c>
      <c r="H52" s="91">
        <f>VLOOKUP($A52,'Data Vlaue (Cr)'!$C:$FB,91)</f>
        <v>1589</v>
      </c>
      <c r="I52" s="91">
        <f>VLOOKUP($A52,'Data Vlaue (Cr)'!$C:$FB,93)</f>
        <v>107</v>
      </c>
      <c r="J52" s="92">
        <f>VLOOKUP($A52,'Data Vlaue (Cr)'!$C:$FB,94)</f>
        <v>7.2099999999999997E-2</v>
      </c>
      <c r="K52" s="91">
        <f>VLOOKUP($A52,'Data Vlaue (Cr)'!$C:$FB,95)</f>
        <v>827</v>
      </c>
      <c r="L52" s="91">
        <f>VLOOKUP($A52,'Data Vlaue (Cr)'!$C:$FB,97)</f>
        <v>18</v>
      </c>
      <c r="M52" s="92">
        <f>VLOOKUP($A52,'Data Vlaue (Cr)'!$C:$FB,98)</f>
        <v>2.23E-2</v>
      </c>
      <c r="N52" s="91">
        <f>VLOOKUP($A52,'Data Vlaue (Cr)'!$C:$FB,79)</f>
        <v>1372</v>
      </c>
      <c r="O52" s="92">
        <f>VLOOKUP($A52,'Data Vlaue (Cr)'!$C:$FB,82)</f>
        <v>1.67E-2</v>
      </c>
    </row>
    <row r="53" spans="1:15" x14ac:dyDescent="0.25">
      <c r="A53" s="97" t="str">
        <f>'Data Vlaue (Cr)'!C48</f>
        <v>CESC</v>
      </c>
      <c r="B53" s="142">
        <f>VLOOKUP(A53,'Data Vlaue (Cr)'!C48:CW277,99,0)</f>
        <v>614</v>
      </c>
      <c r="C53" s="90">
        <f>VLOOKUP(A53,'Data Vlaue (Cr)'!C48:CY277,101,0)</f>
        <v>-15</v>
      </c>
      <c r="D53" s="139">
        <f>VLOOKUP(A53,'Data Vlaue (Cr)'!C48:CZ277,102,0)</f>
        <v>-2.4400000000000002E-2</v>
      </c>
      <c r="E53" s="91">
        <f>VLOOKUP($A53,'Data Vlaue (Cr)'!$C:$FB,75)</f>
        <v>307</v>
      </c>
      <c r="F53" s="91">
        <f>VLOOKUP($A53,'Data Vlaue (Cr)'!$C:$FB,77)</f>
        <v>-6</v>
      </c>
      <c r="G53" s="92">
        <f>VLOOKUP(A53,'Data Vlaue (Cr)'!C48:CB277,78,0)</f>
        <v>-0.02</v>
      </c>
      <c r="H53" s="91">
        <f>VLOOKUP($A53,'Data Vlaue (Cr)'!$C:$FB,91)</f>
        <v>216</v>
      </c>
      <c r="I53" s="91">
        <f>VLOOKUP($A53,'Data Vlaue (Cr)'!$C:$FB,93)</f>
        <v>-9</v>
      </c>
      <c r="J53" s="92">
        <f>VLOOKUP($A53,'Data Vlaue (Cr)'!$C:$FB,94)</f>
        <v>-3.9E-2</v>
      </c>
      <c r="K53" s="91">
        <f>VLOOKUP($A53,'Data Vlaue (Cr)'!$C:$FB,95)</f>
        <v>91</v>
      </c>
      <c r="L53" s="91">
        <f>VLOOKUP($A53,'Data Vlaue (Cr)'!$C:$FB,97)</f>
        <v>0</v>
      </c>
      <c r="M53" s="92">
        <f>VLOOKUP($A53,'Data Vlaue (Cr)'!$C:$FB,98)</f>
        <v>-3.5000000000000001E-3</v>
      </c>
      <c r="N53" s="91">
        <f>VLOOKUP($A53,'Data Vlaue (Cr)'!$C:$FB,79)</f>
        <v>293</v>
      </c>
      <c r="O53" s="92">
        <f>VLOOKUP($A53,'Data Vlaue (Cr)'!$C:$FB,82)</f>
        <v>-2.7699999999999999E-2</v>
      </c>
    </row>
    <row r="54" spans="1:15" x14ac:dyDescent="0.25">
      <c r="A54" s="97" t="str">
        <f>'Data Vlaue (Cr)'!C49</f>
        <v>CGPOWER</v>
      </c>
      <c r="B54" s="142">
        <f>VLOOKUP(A54,'Data Vlaue (Cr)'!C49:CW278,99,0)</f>
        <v>1872</v>
      </c>
      <c r="C54" s="90">
        <f>VLOOKUP(A54,'Data Vlaue (Cr)'!C49:CY278,101,0)</f>
        <v>2</v>
      </c>
      <c r="D54" s="139">
        <f>VLOOKUP(A54,'Data Vlaue (Cr)'!C49:CZ278,102,0)</f>
        <v>8.0000000000000004E-4</v>
      </c>
      <c r="E54" s="91">
        <f>VLOOKUP($A54,'Data Vlaue (Cr)'!$C:$FB,75)</f>
        <v>1247</v>
      </c>
      <c r="F54" s="91">
        <f>VLOOKUP($A54,'Data Vlaue (Cr)'!$C:$FB,77)</f>
        <v>3</v>
      </c>
      <c r="G54" s="92">
        <f>VLOOKUP(A54,'Data Vlaue (Cr)'!C49:CB278,78,0)</f>
        <v>2.7000000000000001E-3</v>
      </c>
      <c r="H54" s="91">
        <f>VLOOKUP($A54,'Data Vlaue (Cr)'!$C:$FB,91)</f>
        <v>357</v>
      </c>
      <c r="I54" s="91">
        <f>VLOOKUP($A54,'Data Vlaue (Cr)'!$C:$FB,93)</f>
        <v>-4</v>
      </c>
      <c r="J54" s="92">
        <f>VLOOKUP($A54,'Data Vlaue (Cr)'!$C:$FB,94)</f>
        <v>-1.11E-2</v>
      </c>
      <c r="K54" s="91">
        <f>VLOOKUP($A54,'Data Vlaue (Cr)'!$C:$FB,95)</f>
        <v>268</v>
      </c>
      <c r="L54" s="91">
        <f>VLOOKUP($A54,'Data Vlaue (Cr)'!$C:$FB,97)</f>
        <v>2</v>
      </c>
      <c r="M54" s="92">
        <f>VLOOKUP($A54,'Data Vlaue (Cr)'!$C:$FB,98)</f>
        <v>8.3000000000000001E-3</v>
      </c>
      <c r="N54" s="91">
        <f>VLOOKUP($A54,'Data Vlaue (Cr)'!$C:$FB,79)</f>
        <v>1192</v>
      </c>
      <c r="O54" s="92">
        <f>VLOOKUP($A54,'Data Vlaue (Cr)'!$C:$FB,82)</f>
        <v>4.4999999999999997E-3</v>
      </c>
    </row>
    <row r="55" spans="1:15" x14ac:dyDescent="0.25">
      <c r="A55" s="97" t="str">
        <f>'Data Vlaue (Cr)'!C50</f>
        <v>CHAMBLFERT</v>
      </c>
      <c r="B55" s="142">
        <f>VLOOKUP(A55,'Data Vlaue (Cr)'!C50:CW279,99,0)</f>
        <v>1056</v>
      </c>
      <c r="C55" s="90">
        <f>VLOOKUP(A55,'Data Vlaue (Cr)'!C50:CY279,101,0)</f>
        <v>-21</v>
      </c>
      <c r="D55" s="139">
        <f>VLOOKUP(A55,'Data Vlaue (Cr)'!C50:CZ279,102,0)</f>
        <v>-1.9300000000000001E-2</v>
      </c>
      <c r="E55" s="91">
        <f>VLOOKUP($A55,'Data Vlaue (Cr)'!$C:$FB,75)</f>
        <v>570</v>
      </c>
      <c r="F55" s="91">
        <f>VLOOKUP($A55,'Data Vlaue (Cr)'!$C:$FB,77)</f>
        <v>-15</v>
      </c>
      <c r="G55" s="92">
        <f>VLOOKUP(A55,'Data Vlaue (Cr)'!C50:CB279,78,0)</f>
        <v>-2.5700000000000001E-2</v>
      </c>
      <c r="H55" s="91">
        <f>VLOOKUP($A55,'Data Vlaue (Cr)'!$C:$FB,91)</f>
        <v>330</v>
      </c>
      <c r="I55" s="91">
        <f>VLOOKUP($A55,'Data Vlaue (Cr)'!$C:$FB,93)</f>
        <v>0</v>
      </c>
      <c r="J55" s="92">
        <f>VLOOKUP($A55,'Data Vlaue (Cr)'!$C:$FB,94)</f>
        <v>1.2999999999999999E-3</v>
      </c>
      <c r="K55" s="91">
        <f>VLOOKUP($A55,'Data Vlaue (Cr)'!$C:$FB,95)</f>
        <v>156</v>
      </c>
      <c r="L55" s="91">
        <f>VLOOKUP($A55,'Data Vlaue (Cr)'!$C:$FB,97)</f>
        <v>-6</v>
      </c>
      <c r="M55" s="92">
        <f>VLOOKUP($A55,'Data Vlaue (Cr)'!$C:$FB,98)</f>
        <v>-3.78E-2</v>
      </c>
      <c r="N55" s="91">
        <f>VLOOKUP($A55,'Data Vlaue (Cr)'!$C:$FB,79)</f>
        <v>570</v>
      </c>
      <c r="O55" s="92">
        <f>VLOOKUP($A55,'Data Vlaue (Cr)'!$C:$FB,82)</f>
        <v>-2.5700000000000001E-2</v>
      </c>
    </row>
    <row r="56" spans="1:15" x14ac:dyDescent="0.25">
      <c r="A56" s="97" t="str">
        <f>'Data Vlaue (Cr)'!C51</f>
        <v>CHOLAFIN</v>
      </c>
      <c r="B56" s="142">
        <f>VLOOKUP(A56,'Data Vlaue (Cr)'!C51:CW280,99,0)</f>
        <v>3024</v>
      </c>
      <c r="C56" s="90">
        <f>VLOOKUP(A56,'Data Vlaue (Cr)'!C51:CY280,101,0)</f>
        <v>27</v>
      </c>
      <c r="D56" s="139">
        <f>VLOOKUP(A56,'Data Vlaue (Cr)'!C51:CZ280,102,0)</f>
        <v>9.1000000000000004E-3</v>
      </c>
      <c r="E56" s="91">
        <f>VLOOKUP($A56,'Data Vlaue (Cr)'!$C:$FB,75)</f>
        <v>1936</v>
      </c>
      <c r="F56" s="91">
        <f>VLOOKUP($A56,'Data Vlaue (Cr)'!$C:$FB,77)</f>
        <v>14</v>
      </c>
      <c r="G56" s="92">
        <f>VLOOKUP(A56,'Data Vlaue (Cr)'!C51:CB280,78,0)</f>
        <v>7.4000000000000003E-3</v>
      </c>
      <c r="H56" s="91">
        <f>VLOOKUP($A56,'Data Vlaue (Cr)'!$C:$FB,91)</f>
        <v>618</v>
      </c>
      <c r="I56" s="91">
        <f>VLOOKUP($A56,'Data Vlaue (Cr)'!$C:$FB,93)</f>
        <v>8</v>
      </c>
      <c r="J56" s="92">
        <f>VLOOKUP($A56,'Data Vlaue (Cr)'!$C:$FB,94)</f>
        <v>1.23E-2</v>
      </c>
      <c r="K56" s="91">
        <f>VLOOKUP($A56,'Data Vlaue (Cr)'!$C:$FB,95)</f>
        <v>470</v>
      </c>
      <c r="L56" s="91">
        <f>VLOOKUP($A56,'Data Vlaue (Cr)'!$C:$FB,97)</f>
        <v>6</v>
      </c>
      <c r="M56" s="92">
        <f>VLOOKUP($A56,'Data Vlaue (Cr)'!$C:$FB,98)</f>
        <v>1.2E-2</v>
      </c>
      <c r="N56" s="91">
        <f>VLOOKUP($A56,'Data Vlaue (Cr)'!$C:$FB,79)</f>
        <v>1787</v>
      </c>
      <c r="O56" s="92">
        <f>VLOOKUP($A56,'Data Vlaue (Cr)'!$C:$FB,82)</f>
        <v>1.2999999999999999E-3</v>
      </c>
    </row>
    <row r="57" spans="1:15" x14ac:dyDescent="0.25">
      <c r="A57" s="97" t="str">
        <f>'Data Vlaue (Cr)'!C52</f>
        <v>CIPLA</v>
      </c>
      <c r="B57" s="142">
        <f>VLOOKUP(A57,'Data Vlaue (Cr)'!C52:CW281,99,0)</f>
        <v>2985</v>
      </c>
      <c r="C57" s="90">
        <f>VLOOKUP(A57,'Data Vlaue (Cr)'!C52:CY281,101,0)</f>
        <v>-61</v>
      </c>
      <c r="D57" s="139">
        <f>VLOOKUP(A57,'Data Vlaue (Cr)'!C52:CZ281,102,0)</f>
        <v>-1.9900000000000001E-2</v>
      </c>
      <c r="E57" s="91">
        <f>VLOOKUP($A57,'Data Vlaue (Cr)'!$C:$FB,75)</f>
        <v>1758</v>
      </c>
      <c r="F57" s="91">
        <f>VLOOKUP($A57,'Data Vlaue (Cr)'!$C:$FB,77)</f>
        <v>-55</v>
      </c>
      <c r="G57" s="92">
        <f>VLOOKUP(A57,'Data Vlaue (Cr)'!C52:CB281,78,0)</f>
        <v>-3.0599999999999999E-2</v>
      </c>
      <c r="H57" s="91">
        <f>VLOOKUP($A57,'Data Vlaue (Cr)'!$C:$FB,91)</f>
        <v>815</v>
      </c>
      <c r="I57" s="91">
        <f>VLOOKUP($A57,'Data Vlaue (Cr)'!$C:$FB,93)</f>
        <v>-4</v>
      </c>
      <c r="J57" s="92">
        <f>VLOOKUP($A57,'Data Vlaue (Cr)'!$C:$FB,94)</f>
        <v>-5.1000000000000004E-3</v>
      </c>
      <c r="K57" s="91">
        <f>VLOOKUP($A57,'Data Vlaue (Cr)'!$C:$FB,95)</f>
        <v>411</v>
      </c>
      <c r="L57" s="91">
        <f>VLOOKUP($A57,'Data Vlaue (Cr)'!$C:$FB,97)</f>
        <v>-1</v>
      </c>
      <c r="M57" s="92">
        <f>VLOOKUP($A57,'Data Vlaue (Cr)'!$C:$FB,98)</f>
        <v>-2.0999999999999999E-3</v>
      </c>
      <c r="N57" s="91">
        <f>VLOOKUP($A57,'Data Vlaue (Cr)'!$C:$FB,79)</f>
        <v>1640</v>
      </c>
      <c r="O57" s="92">
        <f>VLOOKUP($A57,'Data Vlaue (Cr)'!$C:$FB,82)</f>
        <v>-4.0099999999999997E-2</v>
      </c>
    </row>
    <row r="58" spans="1:15" x14ac:dyDescent="0.25">
      <c r="A58" s="97" t="str">
        <f>'Data Vlaue (Cr)'!C53</f>
        <v>COALINDIA</v>
      </c>
      <c r="B58" s="142">
        <f>VLOOKUP(A58,'Data Vlaue (Cr)'!C53:CW282,99,0)</f>
        <v>6040</v>
      </c>
      <c r="C58" s="90">
        <f>VLOOKUP(A58,'Data Vlaue (Cr)'!C53:CY282,101,0)</f>
        <v>-220</v>
      </c>
      <c r="D58" s="139">
        <f>VLOOKUP(A58,'Data Vlaue (Cr)'!C53:CZ282,102,0)</f>
        <v>-3.5099999999999999E-2</v>
      </c>
      <c r="E58" s="91">
        <f>VLOOKUP($A58,'Data Vlaue (Cr)'!$C:$FB,75)</f>
        <v>3395</v>
      </c>
      <c r="F58" s="91">
        <f>VLOOKUP($A58,'Data Vlaue (Cr)'!$C:$FB,77)</f>
        <v>-140</v>
      </c>
      <c r="G58" s="92">
        <f>VLOOKUP(A58,'Data Vlaue (Cr)'!C53:CB282,78,0)</f>
        <v>-3.95E-2</v>
      </c>
      <c r="H58" s="91">
        <f>VLOOKUP($A58,'Data Vlaue (Cr)'!$C:$FB,91)</f>
        <v>1510</v>
      </c>
      <c r="I58" s="91">
        <f>VLOOKUP($A58,'Data Vlaue (Cr)'!$C:$FB,93)</f>
        <v>-79</v>
      </c>
      <c r="J58" s="92">
        <f>VLOOKUP($A58,'Data Vlaue (Cr)'!$C:$FB,94)</f>
        <v>-4.9700000000000001E-2</v>
      </c>
      <c r="K58" s="91">
        <f>VLOOKUP($A58,'Data Vlaue (Cr)'!$C:$FB,95)</f>
        <v>1135</v>
      </c>
      <c r="L58" s="91">
        <f>VLOOKUP($A58,'Data Vlaue (Cr)'!$C:$FB,97)</f>
        <v>-1</v>
      </c>
      <c r="M58" s="92">
        <f>VLOOKUP($A58,'Data Vlaue (Cr)'!$C:$FB,98)</f>
        <v>-6.9999999999999999E-4</v>
      </c>
      <c r="N58" s="91">
        <f>VLOOKUP($A58,'Data Vlaue (Cr)'!$C:$FB,79)</f>
        <v>1804</v>
      </c>
      <c r="O58" s="92">
        <f>VLOOKUP($A58,'Data Vlaue (Cr)'!$C:$FB,82)</f>
        <v>-6.9800000000000001E-2</v>
      </c>
    </row>
    <row r="59" spans="1:15" x14ac:dyDescent="0.25">
      <c r="A59" s="97" t="str">
        <f>'Data Vlaue (Cr)'!C54</f>
        <v>COFORGE</v>
      </c>
      <c r="B59" s="142">
        <f>VLOOKUP(A59,'Data Vlaue (Cr)'!C54:CW283,99,0)</f>
        <v>4119</v>
      </c>
      <c r="C59" s="90">
        <f>VLOOKUP(A59,'Data Vlaue (Cr)'!C54:CY283,101,0)</f>
        <v>33</v>
      </c>
      <c r="D59" s="139">
        <f>VLOOKUP(A59,'Data Vlaue (Cr)'!C54:CZ283,102,0)</f>
        <v>8.0999999999999996E-3</v>
      </c>
      <c r="E59" s="91">
        <f>VLOOKUP($A59,'Data Vlaue (Cr)'!$C:$FB,75)</f>
        <v>2429</v>
      </c>
      <c r="F59" s="91">
        <f>VLOOKUP($A59,'Data Vlaue (Cr)'!$C:$FB,77)</f>
        <v>-51</v>
      </c>
      <c r="G59" s="92">
        <f>VLOOKUP(A59,'Data Vlaue (Cr)'!C54:CB283,78,0)</f>
        <v>-2.06E-2</v>
      </c>
      <c r="H59" s="91">
        <f>VLOOKUP($A59,'Data Vlaue (Cr)'!$C:$FB,91)</f>
        <v>1130</v>
      </c>
      <c r="I59" s="91">
        <f>VLOOKUP($A59,'Data Vlaue (Cr)'!$C:$FB,93)</f>
        <v>69</v>
      </c>
      <c r="J59" s="92">
        <f>VLOOKUP($A59,'Data Vlaue (Cr)'!$C:$FB,94)</f>
        <v>6.5100000000000005E-2</v>
      </c>
      <c r="K59" s="91">
        <f>VLOOKUP($A59,'Data Vlaue (Cr)'!$C:$FB,95)</f>
        <v>560</v>
      </c>
      <c r="L59" s="91">
        <f>VLOOKUP($A59,'Data Vlaue (Cr)'!$C:$FB,97)</f>
        <v>15</v>
      </c>
      <c r="M59" s="92">
        <f>VLOOKUP($A59,'Data Vlaue (Cr)'!$C:$FB,98)</f>
        <v>2.8000000000000001E-2</v>
      </c>
      <c r="N59" s="91">
        <f>VLOOKUP($A59,'Data Vlaue (Cr)'!$C:$FB,79)</f>
        <v>2325</v>
      </c>
      <c r="O59" s="92">
        <f>VLOOKUP($A59,'Data Vlaue (Cr)'!$C:$FB,82)</f>
        <v>-3.2000000000000001E-2</v>
      </c>
    </row>
    <row r="60" spans="1:15" x14ac:dyDescent="0.25">
      <c r="A60" s="97" t="str">
        <f>'Data Vlaue (Cr)'!C55</f>
        <v>COLPAL</v>
      </c>
      <c r="B60" s="142">
        <f>VLOOKUP(A60,'Data Vlaue (Cr)'!C55:CW284,99,0)</f>
        <v>2183</v>
      </c>
      <c r="C60" s="90">
        <f>VLOOKUP(A60,'Data Vlaue (Cr)'!C55:CY284,101,0)</f>
        <v>197</v>
      </c>
      <c r="D60" s="139">
        <f>VLOOKUP(A60,'Data Vlaue (Cr)'!C55:CZ284,102,0)</f>
        <v>9.9099999999999994E-2</v>
      </c>
      <c r="E60" s="91">
        <f>VLOOKUP($A60,'Data Vlaue (Cr)'!$C:$FB,75)</f>
        <v>1347</v>
      </c>
      <c r="F60" s="91">
        <f>VLOOKUP($A60,'Data Vlaue (Cr)'!$C:$FB,77)</f>
        <v>97</v>
      </c>
      <c r="G60" s="92">
        <f>VLOOKUP(A60,'Data Vlaue (Cr)'!C55:CB284,78,0)</f>
        <v>7.7799999999999994E-2</v>
      </c>
      <c r="H60" s="91">
        <f>VLOOKUP($A60,'Data Vlaue (Cr)'!$C:$FB,91)</f>
        <v>455</v>
      </c>
      <c r="I60" s="91">
        <f>VLOOKUP($A60,'Data Vlaue (Cr)'!$C:$FB,93)</f>
        <v>94</v>
      </c>
      <c r="J60" s="92">
        <f>VLOOKUP($A60,'Data Vlaue (Cr)'!$C:$FB,94)</f>
        <v>0.25950000000000001</v>
      </c>
      <c r="K60" s="91">
        <f>VLOOKUP($A60,'Data Vlaue (Cr)'!$C:$FB,95)</f>
        <v>381</v>
      </c>
      <c r="L60" s="91">
        <f>VLOOKUP($A60,'Data Vlaue (Cr)'!$C:$FB,97)</f>
        <v>6</v>
      </c>
      <c r="M60" s="92">
        <f>VLOOKUP($A60,'Data Vlaue (Cr)'!$C:$FB,98)</f>
        <v>1.55E-2</v>
      </c>
      <c r="N60" s="91">
        <f>VLOOKUP($A60,'Data Vlaue (Cr)'!$C:$FB,79)</f>
        <v>1186</v>
      </c>
      <c r="O60" s="92">
        <f>VLOOKUP($A60,'Data Vlaue (Cr)'!$C:$FB,82)</f>
        <v>5.7700000000000001E-2</v>
      </c>
    </row>
    <row r="61" spans="1:15" x14ac:dyDescent="0.25">
      <c r="A61" s="97" t="str">
        <f>'Data Vlaue (Cr)'!C56</f>
        <v>CONCOR</v>
      </c>
      <c r="B61" s="142">
        <f>VLOOKUP(A61,'Data Vlaue (Cr)'!C56:CW285,99,0)</f>
        <v>1956</v>
      </c>
      <c r="C61" s="90">
        <f>VLOOKUP(A61,'Data Vlaue (Cr)'!C56:CY285,101,0)</f>
        <v>33</v>
      </c>
      <c r="D61" s="139">
        <f>VLOOKUP(A61,'Data Vlaue (Cr)'!C56:CZ285,102,0)</f>
        <v>1.6899999999999998E-2</v>
      </c>
      <c r="E61" s="91">
        <f>VLOOKUP($A61,'Data Vlaue (Cr)'!$C:$FB,75)</f>
        <v>1160</v>
      </c>
      <c r="F61" s="91">
        <f>VLOOKUP($A61,'Data Vlaue (Cr)'!$C:$FB,77)</f>
        <v>33</v>
      </c>
      <c r="G61" s="92">
        <f>VLOOKUP(A61,'Data Vlaue (Cr)'!C56:CB285,78,0)</f>
        <v>2.9399999999999999E-2</v>
      </c>
      <c r="H61" s="91">
        <f>VLOOKUP($A61,'Data Vlaue (Cr)'!$C:$FB,91)</f>
        <v>501</v>
      </c>
      <c r="I61" s="91">
        <f>VLOOKUP($A61,'Data Vlaue (Cr)'!$C:$FB,93)</f>
        <v>0</v>
      </c>
      <c r="J61" s="92">
        <f>VLOOKUP($A61,'Data Vlaue (Cr)'!$C:$FB,94)</f>
        <v>-8.0000000000000004E-4</v>
      </c>
      <c r="K61" s="91">
        <f>VLOOKUP($A61,'Data Vlaue (Cr)'!$C:$FB,95)</f>
        <v>294</v>
      </c>
      <c r="L61" s="91">
        <f>VLOOKUP($A61,'Data Vlaue (Cr)'!$C:$FB,97)</f>
        <v>0</v>
      </c>
      <c r="M61" s="92">
        <f>VLOOKUP($A61,'Data Vlaue (Cr)'!$C:$FB,98)</f>
        <v>-8.0000000000000004E-4</v>
      </c>
      <c r="N61" s="91">
        <f>VLOOKUP($A61,'Data Vlaue (Cr)'!$C:$FB,79)</f>
        <v>963</v>
      </c>
      <c r="O61" s="92">
        <f>VLOOKUP($A61,'Data Vlaue (Cr)'!$C:$FB,82)</f>
        <v>-2.76E-2</v>
      </c>
    </row>
    <row r="62" spans="1:15" x14ac:dyDescent="0.25">
      <c r="A62" s="97" t="str">
        <f>'Data Vlaue (Cr)'!C57</f>
        <v>CROMPTON</v>
      </c>
      <c r="B62" s="142">
        <f>VLOOKUP(A62,'Data Vlaue (Cr)'!C57:CW286,99,0)</f>
        <v>1670</v>
      </c>
      <c r="C62" s="90">
        <f>VLOOKUP(A62,'Data Vlaue (Cr)'!C57:CY286,101,0)</f>
        <v>29</v>
      </c>
      <c r="D62" s="139">
        <f>VLOOKUP(A62,'Data Vlaue (Cr)'!C57:CZ286,102,0)</f>
        <v>1.7899999999999999E-2</v>
      </c>
      <c r="E62" s="91">
        <f>VLOOKUP($A62,'Data Vlaue (Cr)'!$C:$FB,75)</f>
        <v>1261</v>
      </c>
      <c r="F62" s="91">
        <f>VLOOKUP($A62,'Data Vlaue (Cr)'!$C:$FB,77)</f>
        <v>11</v>
      </c>
      <c r="G62" s="92">
        <f>VLOOKUP(A62,'Data Vlaue (Cr)'!C57:CB286,78,0)</f>
        <v>8.8999999999999999E-3</v>
      </c>
      <c r="H62" s="91">
        <f>VLOOKUP($A62,'Data Vlaue (Cr)'!$C:$FB,91)</f>
        <v>252</v>
      </c>
      <c r="I62" s="91">
        <f>VLOOKUP($A62,'Data Vlaue (Cr)'!$C:$FB,93)</f>
        <v>9</v>
      </c>
      <c r="J62" s="92">
        <f>VLOOKUP($A62,'Data Vlaue (Cr)'!$C:$FB,94)</f>
        <v>3.61E-2</v>
      </c>
      <c r="K62" s="91">
        <f>VLOOKUP($A62,'Data Vlaue (Cr)'!$C:$FB,95)</f>
        <v>158</v>
      </c>
      <c r="L62" s="91">
        <f>VLOOKUP($A62,'Data Vlaue (Cr)'!$C:$FB,97)</f>
        <v>10</v>
      </c>
      <c r="M62" s="92">
        <f>VLOOKUP($A62,'Data Vlaue (Cr)'!$C:$FB,98)</f>
        <v>6.4100000000000004E-2</v>
      </c>
      <c r="N62" s="91">
        <f>VLOOKUP($A62,'Data Vlaue (Cr)'!$C:$FB,79)</f>
        <v>1187</v>
      </c>
      <c r="O62" s="92">
        <f>VLOOKUP($A62,'Data Vlaue (Cr)'!$C:$FB,82)</f>
        <v>-7.7999999999999996E-3</v>
      </c>
    </row>
    <row r="63" spans="1:15" x14ac:dyDescent="0.25">
      <c r="A63" s="97" t="str">
        <f>'Data Vlaue (Cr)'!C58</f>
        <v>CUMMINSIND</v>
      </c>
      <c r="B63" s="142">
        <f>VLOOKUP(A63,'Data Vlaue (Cr)'!C58:CW287,99,0)</f>
        <v>1706</v>
      </c>
      <c r="C63" s="90">
        <f>VLOOKUP(A63,'Data Vlaue (Cr)'!C58:CY287,101,0)</f>
        <v>-56</v>
      </c>
      <c r="D63" s="139">
        <f>VLOOKUP(A63,'Data Vlaue (Cr)'!C58:CZ287,102,0)</f>
        <v>-3.1800000000000002E-2</v>
      </c>
      <c r="E63" s="91">
        <f>VLOOKUP($A63,'Data Vlaue (Cr)'!$C:$FB,75)</f>
        <v>1188</v>
      </c>
      <c r="F63" s="91">
        <f>VLOOKUP($A63,'Data Vlaue (Cr)'!$C:$FB,77)</f>
        <v>-26</v>
      </c>
      <c r="G63" s="92">
        <f>VLOOKUP(A63,'Data Vlaue (Cr)'!C58:CB287,78,0)</f>
        <v>-2.1700000000000001E-2</v>
      </c>
      <c r="H63" s="91">
        <f>VLOOKUP($A63,'Data Vlaue (Cr)'!$C:$FB,91)</f>
        <v>271</v>
      </c>
      <c r="I63" s="91">
        <f>VLOOKUP($A63,'Data Vlaue (Cr)'!$C:$FB,93)</f>
        <v>-22</v>
      </c>
      <c r="J63" s="92">
        <f>VLOOKUP($A63,'Data Vlaue (Cr)'!$C:$FB,94)</f>
        <v>-7.5999999999999998E-2</v>
      </c>
      <c r="K63" s="91">
        <f>VLOOKUP($A63,'Data Vlaue (Cr)'!$C:$FB,95)</f>
        <v>247</v>
      </c>
      <c r="L63" s="91">
        <f>VLOOKUP($A63,'Data Vlaue (Cr)'!$C:$FB,97)</f>
        <v>-7</v>
      </c>
      <c r="M63" s="92">
        <f>VLOOKUP($A63,'Data Vlaue (Cr)'!$C:$FB,98)</f>
        <v>-2.9000000000000001E-2</v>
      </c>
      <c r="N63" s="91">
        <f>VLOOKUP($A63,'Data Vlaue (Cr)'!$C:$FB,79)</f>
        <v>1161</v>
      </c>
      <c r="O63" s="92">
        <f>VLOOKUP($A63,'Data Vlaue (Cr)'!$C:$FB,82)</f>
        <v>-2.4799999999999999E-2</v>
      </c>
    </row>
    <row r="64" spans="1:15" x14ac:dyDescent="0.25">
      <c r="A64" s="97" t="str">
        <f>'Data Vlaue (Cr)'!C59</f>
        <v>CYIENT</v>
      </c>
      <c r="B64" s="142">
        <f>VLOOKUP(A64,'Data Vlaue (Cr)'!C59:CW288,99,0)</f>
        <v>686</v>
      </c>
      <c r="C64" s="90">
        <f>VLOOKUP(A64,'Data Vlaue (Cr)'!C59:CY288,101,0)</f>
        <v>6</v>
      </c>
      <c r="D64" s="139">
        <f>VLOOKUP(A64,'Data Vlaue (Cr)'!C59:CZ288,102,0)</f>
        <v>8.6999999999999994E-3</v>
      </c>
      <c r="E64" s="91">
        <f>VLOOKUP($A64,'Data Vlaue (Cr)'!$C:$FB,75)</f>
        <v>350</v>
      </c>
      <c r="F64" s="91">
        <f>VLOOKUP($A64,'Data Vlaue (Cr)'!$C:$FB,77)</f>
        <v>-1</v>
      </c>
      <c r="G64" s="92">
        <f>VLOOKUP(A64,'Data Vlaue (Cr)'!C59:CB288,78,0)</f>
        <v>-1.5E-3</v>
      </c>
      <c r="H64" s="91">
        <f>VLOOKUP($A64,'Data Vlaue (Cr)'!$C:$FB,91)</f>
        <v>192</v>
      </c>
      <c r="I64" s="91">
        <f>VLOOKUP($A64,'Data Vlaue (Cr)'!$C:$FB,93)</f>
        <v>0</v>
      </c>
      <c r="J64" s="92">
        <f>VLOOKUP($A64,'Data Vlaue (Cr)'!$C:$FB,94)</f>
        <v>1.4E-3</v>
      </c>
      <c r="K64" s="91">
        <f>VLOOKUP($A64,'Data Vlaue (Cr)'!$C:$FB,95)</f>
        <v>144</v>
      </c>
      <c r="L64" s="91">
        <f>VLOOKUP($A64,'Data Vlaue (Cr)'!$C:$FB,97)</f>
        <v>6</v>
      </c>
      <c r="M64" s="92">
        <f>VLOOKUP($A64,'Data Vlaue (Cr)'!$C:$FB,98)</f>
        <v>4.4900000000000002E-2</v>
      </c>
      <c r="N64" s="91">
        <f>VLOOKUP($A64,'Data Vlaue (Cr)'!$C:$FB,79)</f>
        <v>321</v>
      </c>
      <c r="O64" s="92">
        <f>VLOOKUP($A64,'Data Vlaue (Cr)'!$C:$FB,82)</f>
        <v>-8.6999999999999994E-3</v>
      </c>
    </row>
    <row r="65" spans="1:15" x14ac:dyDescent="0.25">
      <c r="A65" s="97" t="str">
        <f>'Data Vlaue (Cr)'!C60</f>
        <v>DABUR</v>
      </c>
      <c r="B65" s="142">
        <f>VLOOKUP(A65,'Data Vlaue (Cr)'!C60:CW289,99,0)</f>
        <v>2275</v>
      </c>
      <c r="C65" s="90">
        <f>VLOOKUP(A65,'Data Vlaue (Cr)'!C60:CY289,101,0)</f>
        <v>-29</v>
      </c>
      <c r="D65" s="139">
        <f>VLOOKUP(A65,'Data Vlaue (Cr)'!C60:CZ289,102,0)</f>
        <v>-1.26E-2</v>
      </c>
      <c r="E65" s="91">
        <f>VLOOKUP($A65,'Data Vlaue (Cr)'!$C:$FB,75)</f>
        <v>956</v>
      </c>
      <c r="F65" s="91">
        <f>VLOOKUP($A65,'Data Vlaue (Cr)'!$C:$FB,77)</f>
        <v>3</v>
      </c>
      <c r="G65" s="92">
        <f>VLOOKUP(A65,'Data Vlaue (Cr)'!C60:CB289,78,0)</f>
        <v>2.5999999999999999E-3</v>
      </c>
      <c r="H65" s="91">
        <f>VLOOKUP($A65,'Data Vlaue (Cr)'!$C:$FB,91)</f>
        <v>644</v>
      </c>
      <c r="I65" s="91">
        <f>VLOOKUP($A65,'Data Vlaue (Cr)'!$C:$FB,93)</f>
        <v>-23</v>
      </c>
      <c r="J65" s="92">
        <f>VLOOKUP($A65,'Data Vlaue (Cr)'!$C:$FB,94)</f>
        <v>-3.39E-2</v>
      </c>
      <c r="K65" s="91">
        <f>VLOOKUP($A65,'Data Vlaue (Cr)'!$C:$FB,95)</f>
        <v>675</v>
      </c>
      <c r="L65" s="91">
        <f>VLOOKUP($A65,'Data Vlaue (Cr)'!$C:$FB,97)</f>
        <v>-9</v>
      </c>
      <c r="M65" s="92">
        <f>VLOOKUP($A65,'Data Vlaue (Cr)'!$C:$FB,98)</f>
        <v>-1.3100000000000001E-2</v>
      </c>
      <c r="N65" s="91">
        <f>VLOOKUP($A65,'Data Vlaue (Cr)'!$C:$FB,79)</f>
        <v>909</v>
      </c>
      <c r="O65" s="92">
        <f>VLOOKUP($A65,'Data Vlaue (Cr)'!$C:$FB,82)</f>
        <v>-6.9999999999999999E-4</v>
      </c>
    </row>
    <row r="66" spans="1:15" x14ac:dyDescent="0.25">
      <c r="A66" s="97" t="str">
        <f>'Data Vlaue (Cr)'!C61</f>
        <v>DALBHARAT</v>
      </c>
      <c r="B66" s="142">
        <f>VLOOKUP(A66,'Data Vlaue (Cr)'!C61:CW290,99,0)</f>
        <v>1241</v>
      </c>
      <c r="C66" s="90">
        <f>VLOOKUP(A66,'Data Vlaue (Cr)'!C61:CY290,101,0)</f>
        <v>146</v>
      </c>
      <c r="D66" s="139">
        <f>VLOOKUP(A66,'Data Vlaue (Cr)'!C61:CZ290,102,0)</f>
        <v>0.1336</v>
      </c>
      <c r="E66" s="91">
        <f>VLOOKUP($A66,'Data Vlaue (Cr)'!$C:$FB,75)</f>
        <v>795</v>
      </c>
      <c r="F66" s="91">
        <f>VLOOKUP($A66,'Data Vlaue (Cr)'!$C:$FB,77)</f>
        <v>24</v>
      </c>
      <c r="G66" s="92">
        <f>VLOOKUP(A66,'Data Vlaue (Cr)'!C61:CB290,78,0)</f>
        <v>3.0599999999999999E-2</v>
      </c>
      <c r="H66" s="91">
        <f>VLOOKUP($A66,'Data Vlaue (Cr)'!$C:$FB,91)</f>
        <v>282</v>
      </c>
      <c r="I66" s="91">
        <f>VLOOKUP($A66,'Data Vlaue (Cr)'!$C:$FB,93)</f>
        <v>63</v>
      </c>
      <c r="J66" s="92">
        <f>VLOOKUP($A66,'Data Vlaue (Cr)'!$C:$FB,94)</f>
        <v>0.28539999999999999</v>
      </c>
      <c r="K66" s="91">
        <f>VLOOKUP($A66,'Data Vlaue (Cr)'!$C:$FB,95)</f>
        <v>164</v>
      </c>
      <c r="L66" s="91">
        <f>VLOOKUP($A66,'Data Vlaue (Cr)'!$C:$FB,97)</f>
        <v>60</v>
      </c>
      <c r="M66" s="92">
        <f>VLOOKUP($A66,'Data Vlaue (Cr)'!$C:$FB,98)</f>
        <v>0.57899999999999996</v>
      </c>
      <c r="N66" s="91">
        <f>VLOOKUP($A66,'Data Vlaue (Cr)'!$C:$FB,79)</f>
        <v>725</v>
      </c>
      <c r="O66" s="92">
        <f>VLOOKUP($A66,'Data Vlaue (Cr)'!$C:$FB,82)</f>
        <v>-2.86E-2</v>
      </c>
    </row>
    <row r="67" spans="1:15" x14ac:dyDescent="0.25">
      <c r="A67" s="97" t="str">
        <f>'Data Vlaue (Cr)'!C62</f>
        <v>DELHIVERY</v>
      </c>
      <c r="B67" s="142">
        <f>VLOOKUP(A67,'Data Vlaue (Cr)'!C62:CW291,99,0)</f>
        <v>1101</v>
      </c>
      <c r="C67" s="90">
        <f>VLOOKUP(A67,'Data Vlaue (Cr)'!C62:CY291,101,0)</f>
        <v>47</v>
      </c>
      <c r="D67" s="139">
        <f>VLOOKUP(A67,'Data Vlaue (Cr)'!C62:CZ291,102,0)</f>
        <v>4.4200000000000003E-2</v>
      </c>
      <c r="E67" s="91">
        <f>VLOOKUP($A67,'Data Vlaue (Cr)'!$C:$FB,75)</f>
        <v>559</v>
      </c>
      <c r="F67" s="91">
        <f>VLOOKUP($A67,'Data Vlaue (Cr)'!$C:$FB,77)</f>
        <v>42</v>
      </c>
      <c r="G67" s="92">
        <f>VLOOKUP(A67,'Data Vlaue (Cr)'!C62:CB291,78,0)</f>
        <v>8.2299999999999998E-2</v>
      </c>
      <c r="H67" s="91">
        <f>VLOOKUP($A67,'Data Vlaue (Cr)'!$C:$FB,91)</f>
        <v>297</v>
      </c>
      <c r="I67" s="91">
        <f>VLOOKUP($A67,'Data Vlaue (Cr)'!$C:$FB,93)</f>
        <v>-15</v>
      </c>
      <c r="J67" s="92">
        <f>VLOOKUP($A67,'Data Vlaue (Cr)'!$C:$FB,94)</f>
        <v>-4.8300000000000003E-2</v>
      </c>
      <c r="K67" s="91">
        <f>VLOOKUP($A67,'Data Vlaue (Cr)'!$C:$FB,95)</f>
        <v>245</v>
      </c>
      <c r="L67" s="91">
        <f>VLOOKUP($A67,'Data Vlaue (Cr)'!$C:$FB,97)</f>
        <v>19</v>
      </c>
      <c r="M67" s="92">
        <f>VLOOKUP($A67,'Data Vlaue (Cr)'!$C:$FB,98)</f>
        <v>8.48E-2</v>
      </c>
      <c r="N67" s="91">
        <f>VLOOKUP($A67,'Data Vlaue (Cr)'!$C:$FB,79)</f>
        <v>494</v>
      </c>
      <c r="O67" s="92">
        <f>VLOOKUP($A67,'Data Vlaue (Cr)'!$C:$FB,82)</f>
        <v>6.0100000000000001E-2</v>
      </c>
    </row>
    <row r="68" spans="1:15" x14ac:dyDescent="0.25">
      <c r="A68" s="97" t="str">
        <f>'Data Vlaue (Cr)'!C63</f>
        <v>DIVISLAB</v>
      </c>
      <c r="B68" s="142">
        <f>VLOOKUP(A68,'Data Vlaue (Cr)'!C63:CW292,99,0)</f>
        <v>3205</v>
      </c>
      <c r="C68" s="90">
        <f>VLOOKUP(A68,'Data Vlaue (Cr)'!C63:CY292,101,0)</f>
        <v>20</v>
      </c>
      <c r="D68" s="139">
        <f>VLOOKUP(A68,'Data Vlaue (Cr)'!C63:CZ292,102,0)</f>
        <v>6.3E-3</v>
      </c>
      <c r="E68" s="91">
        <f>VLOOKUP($A68,'Data Vlaue (Cr)'!$C:$FB,75)</f>
        <v>1925</v>
      </c>
      <c r="F68" s="91">
        <f>VLOOKUP($A68,'Data Vlaue (Cr)'!$C:$FB,77)</f>
        <v>23</v>
      </c>
      <c r="G68" s="92">
        <f>VLOOKUP(A68,'Data Vlaue (Cr)'!C63:CB292,78,0)</f>
        <v>1.21E-2</v>
      </c>
      <c r="H68" s="91">
        <f>VLOOKUP($A68,'Data Vlaue (Cr)'!$C:$FB,91)</f>
        <v>829</v>
      </c>
      <c r="I68" s="91">
        <f>VLOOKUP($A68,'Data Vlaue (Cr)'!$C:$FB,93)</f>
        <v>5</v>
      </c>
      <c r="J68" s="92">
        <f>VLOOKUP($A68,'Data Vlaue (Cr)'!$C:$FB,94)</f>
        <v>6.3E-3</v>
      </c>
      <c r="K68" s="91">
        <f>VLOOKUP($A68,'Data Vlaue (Cr)'!$C:$FB,95)</f>
        <v>451</v>
      </c>
      <c r="L68" s="91">
        <f>VLOOKUP($A68,'Data Vlaue (Cr)'!$C:$FB,97)</f>
        <v>-8</v>
      </c>
      <c r="M68" s="92">
        <f>VLOOKUP($A68,'Data Vlaue (Cr)'!$C:$FB,98)</f>
        <v>-1.7399999999999999E-2</v>
      </c>
      <c r="N68" s="91">
        <f>VLOOKUP($A68,'Data Vlaue (Cr)'!$C:$FB,79)</f>
        <v>1849</v>
      </c>
      <c r="O68" s="92">
        <f>VLOOKUP($A68,'Data Vlaue (Cr)'!$C:$FB,82)</f>
        <v>-5.0000000000000001E-4</v>
      </c>
    </row>
    <row r="69" spans="1:15" x14ac:dyDescent="0.25">
      <c r="A69" s="97" t="str">
        <f>'Data Vlaue (Cr)'!C64</f>
        <v>DIXON</v>
      </c>
      <c r="B69" s="142">
        <f>VLOOKUP(A69,'Data Vlaue (Cr)'!C64:CW293,99,0)</f>
        <v>6777</v>
      </c>
      <c r="C69" s="90">
        <f>VLOOKUP(A69,'Data Vlaue (Cr)'!C64:CY293,101,0)</f>
        <v>774</v>
      </c>
      <c r="D69" s="139">
        <f>VLOOKUP(A69,'Data Vlaue (Cr)'!C64:CZ293,102,0)</f>
        <v>0.12889999999999999</v>
      </c>
      <c r="E69" s="91">
        <f>VLOOKUP($A69,'Data Vlaue (Cr)'!$C:$FB,75)</f>
        <v>2763</v>
      </c>
      <c r="F69" s="91">
        <f>VLOOKUP($A69,'Data Vlaue (Cr)'!$C:$FB,77)</f>
        <v>33</v>
      </c>
      <c r="G69" s="92">
        <f>VLOOKUP(A69,'Data Vlaue (Cr)'!C64:CB293,78,0)</f>
        <v>1.2200000000000001E-2</v>
      </c>
      <c r="H69" s="91">
        <f>VLOOKUP($A69,'Data Vlaue (Cr)'!$C:$FB,91)</f>
        <v>2228</v>
      </c>
      <c r="I69" s="91">
        <f>VLOOKUP($A69,'Data Vlaue (Cr)'!$C:$FB,93)</f>
        <v>489</v>
      </c>
      <c r="J69" s="92">
        <f>VLOOKUP($A69,'Data Vlaue (Cr)'!$C:$FB,94)</f>
        <v>0.28089999999999998</v>
      </c>
      <c r="K69" s="91">
        <f>VLOOKUP($A69,'Data Vlaue (Cr)'!$C:$FB,95)</f>
        <v>1786</v>
      </c>
      <c r="L69" s="91">
        <f>VLOOKUP($A69,'Data Vlaue (Cr)'!$C:$FB,97)</f>
        <v>252</v>
      </c>
      <c r="M69" s="92">
        <f>VLOOKUP($A69,'Data Vlaue (Cr)'!$C:$FB,98)</f>
        <v>0.16420000000000001</v>
      </c>
      <c r="N69" s="91">
        <f>VLOOKUP($A69,'Data Vlaue (Cr)'!$C:$FB,79)</f>
        <v>2511</v>
      </c>
      <c r="O69" s="92">
        <f>VLOOKUP($A69,'Data Vlaue (Cr)'!$C:$FB,82)</f>
        <v>-4.4000000000000003E-3</v>
      </c>
    </row>
    <row r="70" spans="1:15" x14ac:dyDescent="0.25">
      <c r="A70" s="97" t="str">
        <f>'Data Vlaue (Cr)'!C65</f>
        <v>DLF</v>
      </c>
      <c r="B70" s="142">
        <f>VLOOKUP(A70,'Data Vlaue (Cr)'!C65:CW294,99,0)</f>
        <v>6196</v>
      </c>
      <c r="C70" s="90">
        <f>VLOOKUP(A70,'Data Vlaue (Cr)'!C65:CY294,101,0)</f>
        <v>-54</v>
      </c>
      <c r="D70" s="139">
        <f>VLOOKUP(A70,'Data Vlaue (Cr)'!C65:CZ294,102,0)</f>
        <v>-8.6999999999999994E-3</v>
      </c>
      <c r="E70" s="91">
        <f>VLOOKUP($A70,'Data Vlaue (Cr)'!$C:$FB,75)</f>
        <v>3950</v>
      </c>
      <c r="F70" s="91">
        <f>VLOOKUP($A70,'Data Vlaue (Cr)'!$C:$FB,77)</f>
        <v>-18</v>
      </c>
      <c r="G70" s="92">
        <f>VLOOKUP(A70,'Data Vlaue (Cr)'!C65:CB294,78,0)</f>
        <v>-4.4999999999999997E-3</v>
      </c>
      <c r="H70" s="91">
        <f>VLOOKUP($A70,'Data Vlaue (Cr)'!$C:$FB,91)</f>
        <v>1440</v>
      </c>
      <c r="I70" s="91">
        <f>VLOOKUP($A70,'Data Vlaue (Cr)'!$C:$FB,93)</f>
        <v>-27</v>
      </c>
      <c r="J70" s="92">
        <f>VLOOKUP($A70,'Data Vlaue (Cr)'!$C:$FB,94)</f>
        <v>-1.8200000000000001E-2</v>
      </c>
      <c r="K70" s="91">
        <f>VLOOKUP($A70,'Data Vlaue (Cr)'!$C:$FB,95)</f>
        <v>806</v>
      </c>
      <c r="L70" s="91">
        <f>VLOOKUP($A70,'Data Vlaue (Cr)'!$C:$FB,97)</f>
        <v>-10</v>
      </c>
      <c r="M70" s="92">
        <f>VLOOKUP($A70,'Data Vlaue (Cr)'!$C:$FB,98)</f>
        <v>-1.2200000000000001E-2</v>
      </c>
      <c r="N70" s="91">
        <f>VLOOKUP($A70,'Data Vlaue (Cr)'!$C:$FB,79)</f>
        <v>2607</v>
      </c>
      <c r="O70" s="92">
        <f>VLOOKUP($A70,'Data Vlaue (Cr)'!$C:$FB,82)</f>
        <v>-9.2999999999999992E-3</v>
      </c>
    </row>
    <row r="71" spans="1:15" x14ac:dyDescent="0.25">
      <c r="A71" s="97" t="str">
        <f>'Data Vlaue (Cr)'!C66</f>
        <v>DMART</v>
      </c>
      <c r="B71" s="142">
        <f>VLOOKUP(A71,'Data Vlaue (Cr)'!C66:CW295,99,0)</f>
        <v>4437</v>
      </c>
      <c r="C71" s="90">
        <f>VLOOKUP(A71,'Data Vlaue (Cr)'!C66:CY295,101,0)</f>
        <v>-36</v>
      </c>
      <c r="D71" s="139">
        <f>VLOOKUP(A71,'Data Vlaue (Cr)'!C66:CZ295,102,0)</f>
        <v>-8.0000000000000002E-3</v>
      </c>
      <c r="E71" s="91">
        <f>VLOOKUP($A71,'Data Vlaue (Cr)'!$C:$FB,75)</f>
        <v>2605</v>
      </c>
      <c r="F71" s="91">
        <f>VLOOKUP($A71,'Data Vlaue (Cr)'!$C:$FB,77)</f>
        <v>6</v>
      </c>
      <c r="G71" s="92">
        <f>VLOOKUP(A71,'Data Vlaue (Cr)'!C66:CB295,78,0)</f>
        <v>2.2000000000000001E-3</v>
      </c>
      <c r="H71" s="91">
        <f>VLOOKUP($A71,'Data Vlaue (Cr)'!$C:$FB,91)</f>
        <v>1269</v>
      </c>
      <c r="I71" s="91">
        <f>VLOOKUP($A71,'Data Vlaue (Cr)'!$C:$FB,93)</f>
        <v>-26</v>
      </c>
      <c r="J71" s="92">
        <f>VLOOKUP($A71,'Data Vlaue (Cr)'!$C:$FB,94)</f>
        <v>-2.0400000000000001E-2</v>
      </c>
      <c r="K71" s="91">
        <f>VLOOKUP($A71,'Data Vlaue (Cr)'!$C:$FB,95)</f>
        <v>563</v>
      </c>
      <c r="L71" s="91">
        <f>VLOOKUP($A71,'Data Vlaue (Cr)'!$C:$FB,97)</f>
        <v>-15</v>
      </c>
      <c r="M71" s="92">
        <f>VLOOKUP($A71,'Data Vlaue (Cr)'!$C:$FB,98)</f>
        <v>-2.5999999999999999E-2</v>
      </c>
      <c r="N71" s="91">
        <f>VLOOKUP($A71,'Data Vlaue (Cr)'!$C:$FB,79)</f>
        <v>2284</v>
      </c>
      <c r="O71" s="92">
        <f>VLOOKUP($A71,'Data Vlaue (Cr)'!$C:$FB,82)</f>
        <v>-4.1000000000000003E-3</v>
      </c>
    </row>
    <row r="72" spans="1:15" x14ac:dyDescent="0.25">
      <c r="A72" s="97" t="str">
        <f>'Data Vlaue (Cr)'!C67</f>
        <v>DRREDDY</v>
      </c>
      <c r="B72" s="142">
        <f>VLOOKUP(A72,'Data Vlaue (Cr)'!C67:CW296,99,0)</f>
        <v>3532</v>
      </c>
      <c r="C72" s="90">
        <f>VLOOKUP(A72,'Data Vlaue (Cr)'!C67:CY296,101,0)</f>
        <v>86</v>
      </c>
      <c r="D72" s="139">
        <f>VLOOKUP(A72,'Data Vlaue (Cr)'!C67:CZ296,102,0)</f>
        <v>2.5000000000000001E-2</v>
      </c>
      <c r="E72" s="91">
        <f>VLOOKUP($A72,'Data Vlaue (Cr)'!$C:$FB,75)</f>
        <v>1513</v>
      </c>
      <c r="F72" s="91">
        <f>VLOOKUP($A72,'Data Vlaue (Cr)'!$C:$FB,77)</f>
        <v>40</v>
      </c>
      <c r="G72" s="92">
        <f>VLOOKUP(A72,'Data Vlaue (Cr)'!C67:CB296,78,0)</f>
        <v>2.75E-2</v>
      </c>
      <c r="H72" s="91">
        <f>VLOOKUP($A72,'Data Vlaue (Cr)'!$C:$FB,91)</f>
        <v>1371</v>
      </c>
      <c r="I72" s="91">
        <f>VLOOKUP($A72,'Data Vlaue (Cr)'!$C:$FB,93)</f>
        <v>19</v>
      </c>
      <c r="J72" s="92">
        <f>VLOOKUP($A72,'Data Vlaue (Cr)'!$C:$FB,94)</f>
        <v>1.44E-2</v>
      </c>
      <c r="K72" s="91">
        <f>VLOOKUP($A72,'Data Vlaue (Cr)'!$C:$FB,95)</f>
        <v>649</v>
      </c>
      <c r="L72" s="91">
        <f>VLOOKUP($A72,'Data Vlaue (Cr)'!$C:$FB,97)</f>
        <v>26</v>
      </c>
      <c r="M72" s="92">
        <f>VLOOKUP($A72,'Data Vlaue (Cr)'!$C:$FB,98)</f>
        <v>4.2000000000000003E-2</v>
      </c>
      <c r="N72" s="91">
        <f>VLOOKUP($A72,'Data Vlaue (Cr)'!$C:$FB,79)</f>
        <v>1385</v>
      </c>
      <c r="O72" s="92">
        <f>VLOOKUP($A72,'Data Vlaue (Cr)'!$C:$FB,82)</f>
        <v>1.7500000000000002E-2</v>
      </c>
    </row>
    <row r="73" spans="1:15" x14ac:dyDescent="0.25">
      <c r="A73" s="97" t="str">
        <f>'Data Vlaue (Cr)'!C68</f>
        <v>EICHERMOT</v>
      </c>
      <c r="B73" s="142">
        <f>VLOOKUP(A73,'Data Vlaue (Cr)'!C68:CW297,99,0)</f>
        <v>3138</v>
      </c>
      <c r="C73" s="90">
        <f>VLOOKUP(A73,'Data Vlaue (Cr)'!C68:CY297,101,0)</f>
        <v>228</v>
      </c>
      <c r="D73" s="139">
        <f>VLOOKUP(A73,'Data Vlaue (Cr)'!C68:CZ297,102,0)</f>
        <v>7.85E-2</v>
      </c>
      <c r="E73" s="91">
        <f>VLOOKUP($A73,'Data Vlaue (Cr)'!$C:$FB,75)</f>
        <v>1574</v>
      </c>
      <c r="F73" s="91">
        <f>VLOOKUP($A73,'Data Vlaue (Cr)'!$C:$FB,77)</f>
        <v>63</v>
      </c>
      <c r="G73" s="92">
        <f>VLOOKUP(A73,'Data Vlaue (Cr)'!C68:CB297,78,0)</f>
        <v>4.1599999999999998E-2</v>
      </c>
      <c r="H73" s="91">
        <f>VLOOKUP($A73,'Data Vlaue (Cr)'!$C:$FB,91)</f>
        <v>1030</v>
      </c>
      <c r="I73" s="91">
        <f>VLOOKUP($A73,'Data Vlaue (Cr)'!$C:$FB,93)</f>
        <v>125</v>
      </c>
      <c r="J73" s="92">
        <f>VLOOKUP($A73,'Data Vlaue (Cr)'!$C:$FB,94)</f>
        <v>0.13789999999999999</v>
      </c>
      <c r="K73" s="91">
        <f>VLOOKUP($A73,'Data Vlaue (Cr)'!$C:$FB,95)</f>
        <v>534</v>
      </c>
      <c r="L73" s="91">
        <f>VLOOKUP($A73,'Data Vlaue (Cr)'!$C:$FB,97)</f>
        <v>41</v>
      </c>
      <c r="M73" s="92">
        <f>VLOOKUP($A73,'Data Vlaue (Cr)'!$C:$FB,98)</f>
        <v>8.2199999999999995E-2</v>
      </c>
      <c r="N73" s="91">
        <f>VLOOKUP($A73,'Data Vlaue (Cr)'!$C:$FB,79)</f>
        <v>1263</v>
      </c>
      <c r="O73" s="92">
        <f>VLOOKUP($A73,'Data Vlaue (Cr)'!$C:$FB,82)</f>
        <v>2.4500000000000001E-2</v>
      </c>
    </row>
    <row r="74" spans="1:15" x14ac:dyDescent="0.25">
      <c r="A74" s="97" t="str">
        <f>'Data Vlaue (Cr)'!C69</f>
        <v>ETERNAL</v>
      </c>
      <c r="B74" s="142">
        <f>VLOOKUP(A74,'Data Vlaue (Cr)'!C69:CW298,99,0)</f>
        <v>11335</v>
      </c>
      <c r="C74" s="90">
        <f>VLOOKUP(A74,'Data Vlaue (Cr)'!C69:CY298,101,0)</f>
        <v>2823</v>
      </c>
      <c r="D74" s="139">
        <f>VLOOKUP(A74,'Data Vlaue (Cr)'!C69:CZ298,102,0)</f>
        <v>0.33160000000000001</v>
      </c>
      <c r="E74" s="91">
        <f>VLOOKUP($A74,'Data Vlaue (Cr)'!$C:$FB,75)</f>
        <v>5594</v>
      </c>
      <c r="F74" s="91">
        <f>VLOOKUP($A74,'Data Vlaue (Cr)'!$C:$FB,77)</f>
        <v>655</v>
      </c>
      <c r="G74" s="92">
        <f>VLOOKUP(A74,'Data Vlaue (Cr)'!C69:CB298,78,0)</f>
        <v>0.13270000000000001</v>
      </c>
      <c r="H74" s="91">
        <f>VLOOKUP($A74,'Data Vlaue (Cr)'!$C:$FB,91)</f>
        <v>2792</v>
      </c>
      <c r="I74" s="91">
        <f>VLOOKUP($A74,'Data Vlaue (Cr)'!$C:$FB,93)</f>
        <v>812</v>
      </c>
      <c r="J74" s="92">
        <f>VLOOKUP($A74,'Data Vlaue (Cr)'!$C:$FB,94)</f>
        <v>0.41010000000000002</v>
      </c>
      <c r="K74" s="91">
        <f>VLOOKUP($A74,'Data Vlaue (Cr)'!$C:$FB,95)</f>
        <v>2950</v>
      </c>
      <c r="L74" s="91">
        <f>VLOOKUP($A74,'Data Vlaue (Cr)'!$C:$FB,97)</f>
        <v>1356</v>
      </c>
      <c r="M74" s="92">
        <f>VLOOKUP($A74,'Data Vlaue (Cr)'!$C:$FB,98)</f>
        <v>0.85070000000000001</v>
      </c>
      <c r="N74" s="91">
        <f>VLOOKUP($A74,'Data Vlaue (Cr)'!$C:$FB,79)</f>
        <v>5190</v>
      </c>
      <c r="O74" s="92">
        <f>VLOOKUP($A74,'Data Vlaue (Cr)'!$C:$FB,82)</f>
        <v>0.10489999999999999</v>
      </c>
    </row>
    <row r="75" spans="1:15" x14ac:dyDescent="0.25">
      <c r="A75" s="97" t="str">
        <f>'Data Vlaue (Cr)'!C70</f>
        <v>EXIDEIND</v>
      </c>
      <c r="B75" s="142">
        <f>VLOOKUP(A75,'Data Vlaue (Cr)'!C70:CW299,99,0)</f>
        <v>1801</v>
      </c>
      <c r="C75" s="90">
        <f>VLOOKUP(A75,'Data Vlaue (Cr)'!C70:CY299,101,0)</f>
        <v>86</v>
      </c>
      <c r="D75" s="139">
        <f>VLOOKUP(A75,'Data Vlaue (Cr)'!C70:CZ299,102,0)</f>
        <v>5.0299999999999997E-2</v>
      </c>
      <c r="E75" s="91">
        <f>VLOOKUP($A75,'Data Vlaue (Cr)'!$C:$FB,75)</f>
        <v>960</v>
      </c>
      <c r="F75" s="91">
        <f>VLOOKUP($A75,'Data Vlaue (Cr)'!$C:$FB,77)</f>
        <v>25</v>
      </c>
      <c r="G75" s="92">
        <f>VLOOKUP(A75,'Data Vlaue (Cr)'!C70:CB299,78,0)</f>
        <v>2.6599999999999999E-2</v>
      </c>
      <c r="H75" s="91">
        <f>VLOOKUP($A75,'Data Vlaue (Cr)'!$C:$FB,91)</f>
        <v>536</v>
      </c>
      <c r="I75" s="91">
        <f>VLOOKUP($A75,'Data Vlaue (Cr)'!$C:$FB,93)</f>
        <v>49</v>
      </c>
      <c r="J75" s="92">
        <f>VLOOKUP($A75,'Data Vlaue (Cr)'!$C:$FB,94)</f>
        <v>0.1008</v>
      </c>
      <c r="K75" s="91">
        <f>VLOOKUP($A75,'Data Vlaue (Cr)'!$C:$FB,95)</f>
        <v>305</v>
      </c>
      <c r="L75" s="91">
        <f>VLOOKUP($A75,'Data Vlaue (Cr)'!$C:$FB,97)</f>
        <v>12</v>
      </c>
      <c r="M75" s="92">
        <f>VLOOKUP($A75,'Data Vlaue (Cr)'!$C:$FB,98)</f>
        <v>4.1799999999999997E-2</v>
      </c>
      <c r="N75" s="91">
        <f>VLOOKUP($A75,'Data Vlaue (Cr)'!$C:$FB,79)</f>
        <v>803</v>
      </c>
      <c r="O75" s="92">
        <f>VLOOKUP($A75,'Data Vlaue (Cr)'!$C:$FB,82)</f>
        <v>-4.0300000000000002E-2</v>
      </c>
    </row>
    <row r="76" spans="1:15" x14ac:dyDescent="0.25">
      <c r="A76" s="97" t="str">
        <f>'Data Vlaue (Cr)'!C71</f>
        <v>FEDERALBNK</v>
      </c>
      <c r="B76" s="142">
        <f>VLOOKUP(A76,'Data Vlaue (Cr)'!C71:CW300,99,0)</f>
        <v>3459</v>
      </c>
      <c r="C76" s="90">
        <f>VLOOKUP(A76,'Data Vlaue (Cr)'!C71:CY300,101,0)</f>
        <v>10</v>
      </c>
      <c r="D76" s="139">
        <f>VLOOKUP(A76,'Data Vlaue (Cr)'!C71:CZ300,102,0)</f>
        <v>2.8E-3</v>
      </c>
      <c r="E76" s="91">
        <f>VLOOKUP($A76,'Data Vlaue (Cr)'!$C:$FB,75)</f>
        <v>1756</v>
      </c>
      <c r="F76" s="91">
        <f>VLOOKUP($A76,'Data Vlaue (Cr)'!$C:$FB,77)</f>
        <v>-12</v>
      </c>
      <c r="G76" s="92">
        <f>VLOOKUP(A76,'Data Vlaue (Cr)'!C71:CB300,78,0)</f>
        <v>-6.4999999999999997E-3</v>
      </c>
      <c r="H76" s="91">
        <f>VLOOKUP($A76,'Data Vlaue (Cr)'!$C:$FB,91)</f>
        <v>1035</v>
      </c>
      <c r="I76" s="91">
        <f>VLOOKUP($A76,'Data Vlaue (Cr)'!$C:$FB,93)</f>
        <v>20</v>
      </c>
      <c r="J76" s="92">
        <f>VLOOKUP($A76,'Data Vlaue (Cr)'!$C:$FB,94)</f>
        <v>0.02</v>
      </c>
      <c r="K76" s="91">
        <f>VLOOKUP($A76,'Data Vlaue (Cr)'!$C:$FB,95)</f>
        <v>668</v>
      </c>
      <c r="L76" s="91">
        <f>VLOOKUP($A76,'Data Vlaue (Cr)'!$C:$FB,97)</f>
        <v>1</v>
      </c>
      <c r="M76" s="92">
        <f>VLOOKUP($A76,'Data Vlaue (Cr)'!$C:$FB,98)</f>
        <v>1.4E-3</v>
      </c>
      <c r="N76" s="91">
        <f>VLOOKUP($A76,'Data Vlaue (Cr)'!$C:$FB,79)</f>
        <v>1463</v>
      </c>
      <c r="O76" s="92">
        <f>VLOOKUP($A76,'Data Vlaue (Cr)'!$C:$FB,82)</f>
        <v>-1.9699999999999999E-2</v>
      </c>
    </row>
    <row r="77" spans="1:15" x14ac:dyDescent="0.25">
      <c r="A77" s="97" t="str">
        <f>'Data Vlaue (Cr)'!C72</f>
        <v>FINNIFTY</v>
      </c>
      <c r="B77" s="142">
        <f>VLOOKUP(A77,'Data Vlaue (Cr)'!C72:CW301,99,0)</f>
        <v>8095</v>
      </c>
      <c r="C77" s="90">
        <f>VLOOKUP(A77,'Data Vlaue (Cr)'!C72:CY301,101,0)</f>
        <v>390</v>
      </c>
      <c r="D77" s="139">
        <f>VLOOKUP(A77,'Data Vlaue (Cr)'!C72:CZ301,102,0)</f>
        <v>5.0599999999999999E-2</v>
      </c>
      <c r="E77" s="91">
        <f>VLOOKUP($A77,'Data Vlaue (Cr)'!$C:$FB,75)</f>
        <v>222</v>
      </c>
      <c r="F77" s="91">
        <f>VLOOKUP($A77,'Data Vlaue (Cr)'!$C:$FB,77)</f>
        <v>5</v>
      </c>
      <c r="G77" s="92">
        <f>VLOOKUP(A77,'Data Vlaue (Cr)'!C72:CB301,78,0)</f>
        <v>2.5100000000000001E-2</v>
      </c>
      <c r="H77" s="91">
        <f>VLOOKUP($A77,'Data Vlaue (Cr)'!$C:$FB,91)</f>
        <v>4220</v>
      </c>
      <c r="I77" s="91">
        <f>VLOOKUP($A77,'Data Vlaue (Cr)'!$C:$FB,93)</f>
        <v>192</v>
      </c>
      <c r="J77" s="92">
        <f>VLOOKUP($A77,'Data Vlaue (Cr)'!$C:$FB,94)</f>
        <v>4.7600000000000003E-2</v>
      </c>
      <c r="K77" s="91">
        <f>VLOOKUP($A77,'Data Vlaue (Cr)'!$C:$FB,95)</f>
        <v>3653</v>
      </c>
      <c r="L77" s="91">
        <f>VLOOKUP($A77,'Data Vlaue (Cr)'!$C:$FB,97)</f>
        <v>192</v>
      </c>
      <c r="M77" s="92">
        <f>VLOOKUP($A77,'Data Vlaue (Cr)'!$C:$FB,98)</f>
        <v>5.5599999999999997E-2</v>
      </c>
      <c r="N77" s="91">
        <f>VLOOKUP($A77,'Data Vlaue (Cr)'!$C:$FB,79)</f>
        <v>200</v>
      </c>
      <c r="O77" s="92">
        <f>VLOOKUP($A77,'Data Vlaue (Cr)'!$C:$FB,82)</f>
        <v>2.1499999999999998E-2</v>
      </c>
    </row>
    <row r="78" spans="1:15" x14ac:dyDescent="0.25">
      <c r="A78" s="97" t="str">
        <f>'Data Vlaue (Cr)'!C73</f>
        <v>FORTIS</v>
      </c>
      <c r="B78" s="142">
        <f>VLOOKUP(A78,'Data Vlaue (Cr)'!C73:CW302,99,0)</f>
        <v>1127</v>
      </c>
      <c r="C78" s="90">
        <f>VLOOKUP(A78,'Data Vlaue (Cr)'!C73:CY302,101,0)</f>
        <v>65</v>
      </c>
      <c r="D78" s="139">
        <f>VLOOKUP(A78,'Data Vlaue (Cr)'!C73:CZ302,102,0)</f>
        <v>6.1600000000000002E-2</v>
      </c>
      <c r="E78" s="91">
        <f>VLOOKUP($A78,'Data Vlaue (Cr)'!$C:$FB,75)</f>
        <v>749</v>
      </c>
      <c r="F78" s="91">
        <f>VLOOKUP($A78,'Data Vlaue (Cr)'!$C:$FB,77)</f>
        <v>50</v>
      </c>
      <c r="G78" s="92">
        <f>VLOOKUP(A78,'Data Vlaue (Cr)'!C73:CB302,78,0)</f>
        <v>7.1400000000000005E-2</v>
      </c>
      <c r="H78" s="91">
        <f>VLOOKUP($A78,'Data Vlaue (Cr)'!$C:$FB,91)</f>
        <v>224</v>
      </c>
      <c r="I78" s="91">
        <f>VLOOKUP($A78,'Data Vlaue (Cr)'!$C:$FB,93)</f>
        <v>16</v>
      </c>
      <c r="J78" s="92">
        <f>VLOOKUP($A78,'Data Vlaue (Cr)'!$C:$FB,94)</f>
        <v>7.5499999999999998E-2</v>
      </c>
      <c r="K78" s="91">
        <f>VLOOKUP($A78,'Data Vlaue (Cr)'!$C:$FB,95)</f>
        <v>154</v>
      </c>
      <c r="L78" s="91">
        <f>VLOOKUP($A78,'Data Vlaue (Cr)'!$C:$FB,97)</f>
        <v>0</v>
      </c>
      <c r="M78" s="92">
        <f>VLOOKUP($A78,'Data Vlaue (Cr)'!$C:$FB,98)</f>
        <v>-1.6000000000000001E-3</v>
      </c>
      <c r="N78" s="91">
        <f>VLOOKUP($A78,'Data Vlaue (Cr)'!$C:$FB,79)</f>
        <v>687</v>
      </c>
      <c r="O78" s="92">
        <f>VLOOKUP($A78,'Data Vlaue (Cr)'!$C:$FB,82)</f>
        <v>3.1199999999999999E-2</v>
      </c>
    </row>
    <row r="79" spans="1:15" x14ac:dyDescent="0.25">
      <c r="A79" s="97" t="str">
        <f>'Data Vlaue (Cr)'!C74</f>
        <v>GAIL</v>
      </c>
      <c r="B79" s="142">
        <f>VLOOKUP(A79,'Data Vlaue (Cr)'!C74:CW303,99,0)</f>
        <v>3452</v>
      </c>
      <c r="C79" s="90">
        <f>VLOOKUP(A79,'Data Vlaue (Cr)'!C74:CY303,101,0)</f>
        <v>-17</v>
      </c>
      <c r="D79" s="139">
        <f>VLOOKUP(A79,'Data Vlaue (Cr)'!C74:CZ303,102,0)</f>
        <v>-4.7999999999999996E-3</v>
      </c>
      <c r="E79" s="91">
        <f>VLOOKUP($A79,'Data Vlaue (Cr)'!$C:$FB,75)</f>
        <v>2004</v>
      </c>
      <c r="F79" s="91">
        <f>VLOOKUP($A79,'Data Vlaue (Cr)'!$C:$FB,77)</f>
        <v>-9</v>
      </c>
      <c r="G79" s="92">
        <f>VLOOKUP(A79,'Data Vlaue (Cr)'!C74:CB303,78,0)</f>
        <v>-4.4000000000000003E-3</v>
      </c>
      <c r="H79" s="91">
        <f>VLOOKUP($A79,'Data Vlaue (Cr)'!$C:$FB,91)</f>
        <v>904</v>
      </c>
      <c r="I79" s="91">
        <f>VLOOKUP($A79,'Data Vlaue (Cr)'!$C:$FB,93)</f>
        <v>-13</v>
      </c>
      <c r="J79" s="92">
        <f>VLOOKUP($A79,'Data Vlaue (Cr)'!$C:$FB,94)</f>
        <v>-1.37E-2</v>
      </c>
      <c r="K79" s="91">
        <f>VLOOKUP($A79,'Data Vlaue (Cr)'!$C:$FB,95)</f>
        <v>544</v>
      </c>
      <c r="L79" s="91">
        <f>VLOOKUP($A79,'Data Vlaue (Cr)'!$C:$FB,97)</f>
        <v>5</v>
      </c>
      <c r="M79" s="92">
        <f>VLOOKUP($A79,'Data Vlaue (Cr)'!$C:$FB,98)</f>
        <v>8.8000000000000005E-3</v>
      </c>
      <c r="N79" s="91">
        <f>VLOOKUP($A79,'Data Vlaue (Cr)'!$C:$FB,79)</f>
        <v>1476</v>
      </c>
      <c r="O79" s="92">
        <f>VLOOKUP($A79,'Data Vlaue (Cr)'!$C:$FB,82)</f>
        <v>-2.2499999999999999E-2</v>
      </c>
    </row>
    <row r="80" spans="1:15" x14ac:dyDescent="0.25">
      <c r="A80" s="97" t="str">
        <f>'Data Vlaue (Cr)'!C75</f>
        <v>GLENMARK</v>
      </c>
      <c r="B80" s="142">
        <f>VLOOKUP(A80,'Data Vlaue (Cr)'!C75:CW304,99,0)</f>
        <v>5019</v>
      </c>
      <c r="C80" s="90">
        <f>VLOOKUP(A80,'Data Vlaue (Cr)'!C75:CY304,101,0)</f>
        <v>-194</v>
      </c>
      <c r="D80" s="139">
        <f>VLOOKUP(A80,'Data Vlaue (Cr)'!C75:CZ304,102,0)</f>
        <v>-3.7199999999999997E-2</v>
      </c>
      <c r="E80" s="91">
        <f>VLOOKUP($A80,'Data Vlaue (Cr)'!$C:$FB,75)</f>
        <v>1915</v>
      </c>
      <c r="F80" s="91">
        <f>VLOOKUP($A80,'Data Vlaue (Cr)'!$C:$FB,77)</f>
        <v>-63</v>
      </c>
      <c r="G80" s="92">
        <f>VLOOKUP(A80,'Data Vlaue (Cr)'!C75:CB304,78,0)</f>
        <v>-3.1800000000000002E-2</v>
      </c>
      <c r="H80" s="91">
        <f>VLOOKUP($A80,'Data Vlaue (Cr)'!$C:$FB,91)</f>
        <v>1609</v>
      </c>
      <c r="I80" s="91">
        <f>VLOOKUP($A80,'Data Vlaue (Cr)'!$C:$FB,93)</f>
        <v>-40</v>
      </c>
      <c r="J80" s="92">
        <f>VLOOKUP($A80,'Data Vlaue (Cr)'!$C:$FB,94)</f>
        <v>-2.4500000000000001E-2</v>
      </c>
      <c r="K80" s="91">
        <f>VLOOKUP($A80,'Data Vlaue (Cr)'!$C:$FB,95)</f>
        <v>1495</v>
      </c>
      <c r="L80" s="91">
        <f>VLOOKUP($A80,'Data Vlaue (Cr)'!$C:$FB,97)</f>
        <v>-91</v>
      </c>
      <c r="M80" s="92">
        <f>VLOOKUP($A80,'Data Vlaue (Cr)'!$C:$FB,98)</f>
        <v>-5.7200000000000001E-2</v>
      </c>
      <c r="N80" s="91">
        <f>VLOOKUP($A80,'Data Vlaue (Cr)'!$C:$FB,79)</f>
        <v>1653</v>
      </c>
      <c r="O80" s="92">
        <f>VLOOKUP($A80,'Data Vlaue (Cr)'!$C:$FB,82)</f>
        <v>-0.03</v>
      </c>
    </row>
    <row r="81" spans="1:15" x14ac:dyDescent="0.25">
      <c r="A81" s="97" t="str">
        <f>'Data Vlaue (Cr)'!C76</f>
        <v>GMRAIRPORT</v>
      </c>
      <c r="B81" s="142">
        <f>VLOOKUP(A81,'Data Vlaue (Cr)'!C76:CW305,99,0)</f>
        <v>2955</v>
      </c>
      <c r="C81" s="90">
        <f>VLOOKUP(A81,'Data Vlaue (Cr)'!C76:CY305,101,0)</f>
        <v>-7</v>
      </c>
      <c r="D81" s="139">
        <f>VLOOKUP(A81,'Data Vlaue (Cr)'!C76:CZ305,102,0)</f>
        <v>-2.3999999999999998E-3</v>
      </c>
      <c r="E81" s="91">
        <f>VLOOKUP($A81,'Data Vlaue (Cr)'!$C:$FB,75)</f>
        <v>1701</v>
      </c>
      <c r="F81" s="91">
        <f>VLOOKUP($A81,'Data Vlaue (Cr)'!$C:$FB,77)</f>
        <v>-22</v>
      </c>
      <c r="G81" s="92">
        <f>VLOOKUP(A81,'Data Vlaue (Cr)'!C76:CB305,78,0)</f>
        <v>-1.2800000000000001E-2</v>
      </c>
      <c r="H81" s="91">
        <f>VLOOKUP($A81,'Data Vlaue (Cr)'!$C:$FB,91)</f>
        <v>834</v>
      </c>
      <c r="I81" s="91">
        <f>VLOOKUP($A81,'Data Vlaue (Cr)'!$C:$FB,93)</f>
        <v>17</v>
      </c>
      <c r="J81" s="92">
        <f>VLOOKUP($A81,'Data Vlaue (Cr)'!$C:$FB,94)</f>
        <v>2.0299999999999999E-2</v>
      </c>
      <c r="K81" s="91">
        <f>VLOOKUP($A81,'Data Vlaue (Cr)'!$C:$FB,95)</f>
        <v>420</v>
      </c>
      <c r="L81" s="91">
        <f>VLOOKUP($A81,'Data Vlaue (Cr)'!$C:$FB,97)</f>
        <v>-2</v>
      </c>
      <c r="M81" s="92">
        <f>VLOOKUP($A81,'Data Vlaue (Cr)'!$C:$FB,98)</f>
        <v>-3.8E-3</v>
      </c>
      <c r="N81" s="91">
        <f>VLOOKUP($A81,'Data Vlaue (Cr)'!$C:$FB,79)</f>
        <v>1571</v>
      </c>
      <c r="O81" s="92">
        <f>VLOOKUP($A81,'Data Vlaue (Cr)'!$C:$FB,82)</f>
        <v>-1.78E-2</v>
      </c>
    </row>
    <row r="82" spans="1:15" x14ac:dyDescent="0.25">
      <c r="A82" s="97" t="str">
        <f>'Data Vlaue (Cr)'!C77</f>
        <v>GODREJCP</v>
      </c>
      <c r="B82" s="142">
        <f>VLOOKUP(A82,'Data Vlaue (Cr)'!C77:CW306,99,0)</f>
        <v>1918</v>
      </c>
      <c r="C82" s="90">
        <f>VLOOKUP(A82,'Data Vlaue (Cr)'!C77:CY306,101,0)</f>
        <v>11</v>
      </c>
      <c r="D82" s="139">
        <f>VLOOKUP(A82,'Data Vlaue (Cr)'!C77:CZ306,102,0)</f>
        <v>5.4999999999999997E-3</v>
      </c>
      <c r="E82" s="91">
        <f>VLOOKUP($A82,'Data Vlaue (Cr)'!$C:$FB,75)</f>
        <v>1329</v>
      </c>
      <c r="F82" s="91">
        <f>VLOOKUP($A82,'Data Vlaue (Cr)'!$C:$FB,77)</f>
        <v>10</v>
      </c>
      <c r="G82" s="92">
        <f>VLOOKUP(A82,'Data Vlaue (Cr)'!C77:CB306,78,0)</f>
        <v>7.4999999999999997E-3</v>
      </c>
      <c r="H82" s="91">
        <f>VLOOKUP($A82,'Data Vlaue (Cr)'!$C:$FB,91)</f>
        <v>364</v>
      </c>
      <c r="I82" s="91">
        <f>VLOOKUP($A82,'Data Vlaue (Cr)'!$C:$FB,93)</f>
        <v>-8</v>
      </c>
      <c r="J82" s="92">
        <f>VLOOKUP($A82,'Data Vlaue (Cr)'!$C:$FB,94)</f>
        <v>-2.06E-2</v>
      </c>
      <c r="K82" s="91">
        <f>VLOOKUP($A82,'Data Vlaue (Cr)'!$C:$FB,95)</f>
        <v>225</v>
      </c>
      <c r="L82" s="91">
        <f>VLOOKUP($A82,'Data Vlaue (Cr)'!$C:$FB,97)</f>
        <v>8</v>
      </c>
      <c r="M82" s="92">
        <f>VLOOKUP($A82,'Data Vlaue (Cr)'!$C:$FB,98)</f>
        <v>3.8199999999999998E-2</v>
      </c>
      <c r="N82" s="91">
        <f>VLOOKUP($A82,'Data Vlaue (Cr)'!$C:$FB,79)</f>
        <v>1250</v>
      </c>
      <c r="O82" s="92">
        <f>VLOOKUP($A82,'Data Vlaue (Cr)'!$C:$FB,82)</f>
        <v>7.1000000000000004E-3</v>
      </c>
    </row>
    <row r="83" spans="1:15" x14ac:dyDescent="0.25">
      <c r="A83" s="97" t="str">
        <f>'Data Vlaue (Cr)'!C78</f>
        <v>GODREJPROP</v>
      </c>
      <c r="B83" s="142">
        <f>VLOOKUP(A83,'Data Vlaue (Cr)'!C78:CW307,99,0)</f>
        <v>2560</v>
      </c>
      <c r="C83" s="90">
        <f>VLOOKUP(A83,'Data Vlaue (Cr)'!C78:CY307,101,0)</f>
        <v>-25</v>
      </c>
      <c r="D83" s="139">
        <f>VLOOKUP(A83,'Data Vlaue (Cr)'!C78:CZ307,102,0)</f>
        <v>-9.9000000000000008E-3</v>
      </c>
      <c r="E83" s="91">
        <f>VLOOKUP($A83,'Data Vlaue (Cr)'!$C:$FB,75)</f>
        <v>1538</v>
      </c>
      <c r="F83" s="91">
        <f>VLOOKUP($A83,'Data Vlaue (Cr)'!$C:$FB,77)</f>
        <v>-7</v>
      </c>
      <c r="G83" s="92">
        <f>VLOOKUP(A83,'Data Vlaue (Cr)'!C78:CB307,78,0)</f>
        <v>-4.1999999999999997E-3</v>
      </c>
      <c r="H83" s="91">
        <f>VLOOKUP($A83,'Data Vlaue (Cr)'!$C:$FB,91)</f>
        <v>622</v>
      </c>
      <c r="I83" s="91">
        <f>VLOOKUP($A83,'Data Vlaue (Cr)'!$C:$FB,93)</f>
        <v>13</v>
      </c>
      <c r="J83" s="92">
        <f>VLOOKUP($A83,'Data Vlaue (Cr)'!$C:$FB,94)</f>
        <v>2.2100000000000002E-2</v>
      </c>
      <c r="K83" s="91">
        <f>VLOOKUP($A83,'Data Vlaue (Cr)'!$C:$FB,95)</f>
        <v>400</v>
      </c>
      <c r="L83" s="91">
        <f>VLOOKUP($A83,'Data Vlaue (Cr)'!$C:$FB,97)</f>
        <v>-32</v>
      </c>
      <c r="M83" s="92">
        <f>VLOOKUP($A83,'Data Vlaue (Cr)'!$C:$FB,98)</f>
        <v>-7.51E-2</v>
      </c>
      <c r="N83" s="91">
        <f>VLOOKUP($A83,'Data Vlaue (Cr)'!$C:$FB,79)</f>
        <v>1454</v>
      </c>
      <c r="O83" s="92">
        <f>VLOOKUP($A83,'Data Vlaue (Cr)'!$C:$FB,82)</f>
        <v>-0.01</v>
      </c>
    </row>
    <row r="84" spans="1:15" x14ac:dyDescent="0.25">
      <c r="A84" s="97" t="str">
        <f>'Data Vlaue (Cr)'!C79</f>
        <v>GRANULES</v>
      </c>
      <c r="B84" s="142">
        <f>VLOOKUP(A84,'Data Vlaue (Cr)'!C79:CW308,99,0)</f>
        <v>964</v>
      </c>
      <c r="C84" s="90">
        <f>VLOOKUP(A84,'Data Vlaue (Cr)'!C79:CY308,101,0)</f>
        <v>19</v>
      </c>
      <c r="D84" s="139">
        <f>VLOOKUP(A84,'Data Vlaue (Cr)'!C79:CZ308,102,0)</f>
        <v>2.0500000000000001E-2</v>
      </c>
      <c r="E84" s="91">
        <f>VLOOKUP($A84,'Data Vlaue (Cr)'!$C:$FB,75)</f>
        <v>609</v>
      </c>
      <c r="F84" s="91">
        <f>VLOOKUP($A84,'Data Vlaue (Cr)'!$C:$FB,77)</f>
        <v>6</v>
      </c>
      <c r="G84" s="92">
        <f>VLOOKUP(A84,'Data Vlaue (Cr)'!C79:CB308,78,0)</f>
        <v>1.04E-2</v>
      </c>
      <c r="H84" s="91">
        <f>VLOOKUP($A84,'Data Vlaue (Cr)'!$C:$FB,91)</f>
        <v>235</v>
      </c>
      <c r="I84" s="91">
        <f>VLOOKUP($A84,'Data Vlaue (Cr)'!$C:$FB,93)</f>
        <v>12</v>
      </c>
      <c r="J84" s="92">
        <f>VLOOKUP($A84,'Data Vlaue (Cr)'!$C:$FB,94)</f>
        <v>5.3499999999999999E-2</v>
      </c>
      <c r="K84" s="91">
        <f>VLOOKUP($A84,'Data Vlaue (Cr)'!$C:$FB,95)</f>
        <v>120</v>
      </c>
      <c r="L84" s="91">
        <f>VLOOKUP($A84,'Data Vlaue (Cr)'!$C:$FB,97)</f>
        <v>1</v>
      </c>
      <c r="M84" s="92">
        <f>VLOOKUP($A84,'Data Vlaue (Cr)'!$C:$FB,98)</f>
        <v>9.9000000000000008E-3</v>
      </c>
      <c r="N84" s="91">
        <f>VLOOKUP($A84,'Data Vlaue (Cr)'!$C:$FB,79)</f>
        <v>587</v>
      </c>
      <c r="O84" s="92">
        <f>VLOOKUP($A84,'Data Vlaue (Cr)'!$C:$FB,82)</f>
        <v>1.9E-3</v>
      </c>
    </row>
    <row r="85" spans="1:15" x14ac:dyDescent="0.25">
      <c r="A85" s="97" t="str">
        <f>'Data Vlaue (Cr)'!C80</f>
        <v>GRASIM</v>
      </c>
      <c r="B85" s="142">
        <f>VLOOKUP(A85,'Data Vlaue (Cr)'!C80:CW309,99,0)</f>
        <v>4413</v>
      </c>
      <c r="C85" s="90">
        <f>VLOOKUP(A85,'Data Vlaue (Cr)'!C80:CY309,101,0)</f>
        <v>59</v>
      </c>
      <c r="D85" s="139">
        <f>VLOOKUP(A85,'Data Vlaue (Cr)'!C80:CZ309,102,0)</f>
        <v>1.3599999999999999E-2</v>
      </c>
      <c r="E85" s="91">
        <f>VLOOKUP($A85,'Data Vlaue (Cr)'!$C:$FB,75)</f>
        <v>3460</v>
      </c>
      <c r="F85" s="91">
        <f>VLOOKUP($A85,'Data Vlaue (Cr)'!$C:$FB,77)</f>
        <v>43</v>
      </c>
      <c r="G85" s="92">
        <f>VLOOKUP(A85,'Data Vlaue (Cr)'!C80:CB309,78,0)</f>
        <v>1.24E-2</v>
      </c>
      <c r="H85" s="91">
        <f>VLOOKUP($A85,'Data Vlaue (Cr)'!$C:$FB,91)</f>
        <v>652</v>
      </c>
      <c r="I85" s="91">
        <f>VLOOKUP($A85,'Data Vlaue (Cr)'!$C:$FB,93)</f>
        <v>19</v>
      </c>
      <c r="J85" s="92">
        <f>VLOOKUP($A85,'Data Vlaue (Cr)'!$C:$FB,94)</f>
        <v>3.0700000000000002E-2</v>
      </c>
      <c r="K85" s="91">
        <f>VLOOKUP($A85,'Data Vlaue (Cr)'!$C:$FB,95)</f>
        <v>301</v>
      </c>
      <c r="L85" s="91">
        <f>VLOOKUP($A85,'Data Vlaue (Cr)'!$C:$FB,97)</f>
        <v>-3</v>
      </c>
      <c r="M85" s="92">
        <f>VLOOKUP($A85,'Data Vlaue (Cr)'!$C:$FB,98)</f>
        <v>-8.8000000000000005E-3</v>
      </c>
      <c r="N85" s="91">
        <f>VLOOKUP($A85,'Data Vlaue (Cr)'!$C:$FB,79)</f>
        <v>3266</v>
      </c>
      <c r="O85" s="92">
        <f>VLOOKUP($A85,'Data Vlaue (Cr)'!$C:$FB,82)</f>
        <v>9.5999999999999992E-3</v>
      </c>
    </row>
    <row r="86" spans="1:15" x14ac:dyDescent="0.25">
      <c r="A86" s="97" t="str">
        <f>'Data Vlaue (Cr)'!C81</f>
        <v>HAL</v>
      </c>
      <c r="B86" s="142">
        <f>VLOOKUP(A86,'Data Vlaue (Cr)'!C81:CW310,99,0)</f>
        <v>9587</v>
      </c>
      <c r="C86" s="90">
        <f>VLOOKUP(A86,'Data Vlaue (Cr)'!C81:CY310,101,0)</f>
        <v>-48</v>
      </c>
      <c r="D86" s="139">
        <f>VLOOKUP(A86,'Data Vlaue (Cr)'!C81:CZ310,102,0)</f>
        <v>-5.0000000000000001E-3</v>
      </c>
      <c r="E86" s="91">
        <f>VLOOKUP($A86,'Data Vlaue (Cr)'!$C:$FB,75)</f>
        <v>4470</v>
      </c>
      <c r="F86" s="91">
        <f>VLOOKUP($A86,'Data Vlaue (Cr)'!$C:$FB,77)</f>
        <v>-21</v>
      </c>
      <c r="G86" s="92">
        <f>VLOOKUP(A86,'Data Vlaue (Cr)'!C81:CB310,78,0)</f>
        <v>-4.7000000000000002E-3</v>
      </c>
      <c r="H86" s="91">
        <f>VLOOKUP($A86,'Data Vlaue (Cr)'!$C:$FB,91)</f>
        <v>3376</v>
      </c>
      <c r="I86" s="91">
        <f>VLOOKUP($A86,'Data Vlaue (Cr)'!$C:$FB,93)</f>
        <v>-51</v>
      </c>
      <c r="J86" s="92">
        <f>VLOOKUP($A86,'Data Vlaue (Cr)'!$C:$FB,94)</f>
        <v>-1.4999999999999999E-2</v>
      </c>
      <c r="K86" s="91">
        <f>VLOOKUP($A86,'Data Vlaue (Cr)'!$C:$FB,95)</f>
        <v>1742</v>
      </c>
      <c r="L86" s="91">
        <f>VLOOKUP($A86,'Data Vlaue (Cr)'!$C:$FB,97)</f>
        <v>24</v>
      </c>
      <c r="M86" s="92">
        <f>VLOOKUP($A86,'Data Vlaue (Cr)'!$C:$FB,98)</f>
        <v>1.41E-2</v>
      </c>
      <c r="N86" s="91">
        <f>VLOOKUP($A86,'Data Vlaue (Cr)'!$C:$FB,79)</f>
        <v>3532</v>
      </c>
      <c r="O86" s="92">
        <f>VLOOKUP($A86,'Data Vlaue (Cr)'!$C:$FB,82)</f>
        <v>-2.8199999999999999E-2</v>
      </c>
    </row>
    <row r="87" spans="1:15" x14ac:dyDescent="0.25">
      <c r="A87" s="97" t="str">
        <f>'Data Vlaue (Cr)'!C82</f>
        <v>HAVELLS</v>
      </c>
      <c r="B87" s="142">
        <f>VLOOKUP(A87,'Data Vlaue (Cr)'!C82:CW311,99,0)</f>
        <v>2638</v>
      </c>
      <c r="C87" s="90">
        <f>VLOOKUP(A87,'Data Vlaue (Cr)'!C82:CY311,101,0)</f>
        <v>-335</v>
      </c>
      <c r="D87" s="139">
        <f>VLOOKUP(A87,'Data Vlaue (Cr)'!C82:CZ311,102,0)</f>
        <v>-0.11269999999999999</v>
      </c>
      <c r="E87" s="91">
        <f>VLOOKUP($A87,'Data Vlaue (Cr)'!$C:$FB,75)</f>
        <v>1437</v>
      </c>
      <c r="F87" s="91">
        <f>VLOOKUP($A87,'Data Vlaue (Cr)'!$C:$FB,77)</f>
        <v>-229</v>
      </c>
      <c r="G87" s="92">
        <f>VLOOKUP(A87,'Data Vlaue (Cr)'!C82:CB311,78,0)</f>
        <v>-0.13719999999999999</v>
      </c>
      <c r="H87" s="91">
        <f>VLOOKUP($A87,'Data Vlaue (Cr)'!$C:$FB,91)</f>
        <v>591</v>
      </c>
      <c r="I87" s="91">
        <f>VLOOKUP($A87,'Data Vlaue (Cr)'!$C:$FB,93)</f>
        <v>-100</v>
      </c>
      <c r="J87" s="92">
        <f>VLOOKUP($A87,'Data Vlaue (Cr)'!$C:$FB,94)</f>
        <v>-0.1444</v>
      </c>
      <c r="K87" s="91">
        <f>VLOOKUP($A87,'Data Vlaue (Cr)'!$C:$FB,95)</f>
        <v>609</v>
      </c>
      <c r="L87" s="91">
        <f>VLOOKUP($A87,'Data Vlaue (Cr)'!$C:$FB,97)</f>
        <v>-7</v>
      </c>
      <c r="M87" s="92">
        <f>VLOOKUP($A87,'Data Vlaue (Cr)'!$C:$FB,98)</f>
        <v>-1.0699999999999999E-2</v>
      </c>
      <c r="N87" s="91">
        <f>VLOOKUP($A87,'Data Vlaue (Cr)'!$C:$FB,79)</f>
        <v>1317</v>
      </c>
      <c r="O87" s="92">
        <f>VLOOKUP($A87,'Data Vlaue (Cr)'!$C:$FB,82)</f>
        <v>-0.14760000000000001</v>
      </c>
    </row>
    <row r="88" spans="1:15" x14ac:dyDescent="0.25">
      <c r="A88" s="97" t="str">
        <f>'Data Vlaue (Cr)'!C83</f>
        <v>HCLTECH</v>
      </c>
      <c r="B88" s="142">
        <f>VLOOKUP(A88,'Data Vlaue (Cr)'!C83:CW312,99,0)</f>
        <v>6666</v>
      </c>
      <c r="C88" s="90">
        <f>VLOOKUP(A88,'Data Vlaue (Cr)'!C83:CY312,101,0)</f>
        <v>-10</v>
      </c>
      <c r="D88" s="139">
        <f>VLOOKUP(A88,'Data Vlaue (Cr)'!C83:CZ312,102,0)</f>
        <v>-1.4E-3</v>
      </c>
      <c r="E88" s="91">
        <f>VLOOKUP($A88,'Data Vlaue (Cr)'!$C:$FB,75)</f>
        <v>3010</v>
      </c>
      <c r="F88" s="91">
        <f>VLOOKUP($A88,'Data Vlaue (Cr)'!$C:$FB,77)</f>
        <v>-2</v>
      </c>
      <c r="G88" s="92">
        <f>VLOOKUP(A88,'Data Vlaue (Cr)'!C83:CB312,78,0)</f>
        <v>-5.0000000000000001E-4</v>
      </c>
      <c r="H88" s="91">
        <f>VLOOKUP($A88,'Data Vlaue (Cr)'!$C:$FB,91)</f>
        <v>2647</v>
      </c>
      <c r="I88" s="91">
        <f>VLOOKUP($A88,'Data Vlaue (Cr)'!$C:$FB,93)</f>
        <v>2</v>
      </c>
      <c r="J88" s="92">
        <f>VLOOKUP($A88,'Data Vlaue (Cr)'!$C:$FB,94)</f>
        <v>5.9999999999999995E-4</v>
      </c>
      <c r="K88" s="91">
        <f>VLOOKUP($A88,'Data Vlaue (Cr)'!$C:$FB,95)</f>
        <v>1009</v>
      </c>
      <c r="L88" s="91">
        <f>VLOOKUP($A88,'Data Vlaue (Cr)'!$C:$FB,97)</f>
        <v>-10</v>
      </c>
      <c r="M88" s="92">
        <f>VLOOKUP($A88,'Data Vlaue (Cr)'!$C:$FB,98)</f>
        <v>-9.2999999999999992E-3</v>
      </c>
      <c r="N88" s="91">
        <f>VLOOKUP($A88,'Data Vlaue (Cr)'!$C:$FB,79)</f>
        <v>2440</v>
      </c>
      <c r="O88" s="92">
        <f>VLOOKUP($A88,'Data Vlaue (Cr)'!$C:$FB,82)</f>
        <v>-1.8800000000000001E-2</v>
      </c>
    </row>
    <row r="89" spans="1:15" x14ac:dyDescent="0.25">
      <c r="A89" s="97" t="str">
        <f>'Data Vlaue (Cr)'!C84</f>
        <v>HDFCAMC</v>
      </c>
      <c r="B89" s="142">
        <f>VLOOKUP(A89,'Data Vlaue (Cr)'!C84:CW313,99,0)</f>
        <v>3472</v>
      </c>
      <c r="C89" s="90">
        <f>VLOOKUP(A89,'Data Vlaue (Cr)'!C84:CY313,101,0)</f>
        <v>-109</v>
      </c>
      <c r="D89" s="139">
        <f>VLOOKUP(A89,'Data Vlaue (Cr)'!C84:CZ313,102,0)</f>
        <v>-3.0499999999999999E-2</v>
      </c>
      <c r="E89" s="91">
        <f>VLOOKUP($A89,'Data Vlaue (Cr)'!$C:$FB,75)</f>
        <v>1553</v>
      </c>
      <c r="F89" s="91">
        <f>VLOOKUP($A89,'Data Vlaue (Cr)'!$C:$FB,77)</f>
        <v>-23</v>
      </c>
      <c r="G89" s="92">
        <f>VLOOKUP(A89,'Data Vlaue (Cr)'!C84:CB313,78,0)</f>
        <v>-1.4500000000000001E-2</v>
      </c>
      <c r="H89" s="91">
        <f>VLOOKUP($A89,'Data Vlaue (Cr)'!$C:$FB,91)</f>
        <v>1126</v>
      </c>
      <c r="I89" s="91">
        <f>VLOOKUP($A89,'Data Vlaue (Cr)'!$C:$FB,93)</f>
        <v>-40</v>
      </c>
      <c r="J89" s="92">
        <f>VLOOKUP($A89,'Data Vlaue (Cr)'!$C:$FB,94)</f>
        <v>-3.44E-2</v>
      </c>
      <c r="K89" s="91">
        <f>VLOOKUP($A89,'Data Vlaue (Cr)'!$C:$FB,95)</f>
        <v>792</v>
      </c>
      <c r="L89" s="91">
        <f>VLOOKUP($A89,'Data Vlaue (Cr)'!$C:$FB,97)</f>
        <v>-46</v>
      </c>
      <c r="M89" s="92">
        <f>VLOOKUP($A89,'Data Vlaue (Cr)'!$C:$FB,98)</f>
        <v>-5.5E-2</v>
      </c>
      <c r="N89" s="91">
        <f>VLOOKUP($A89,'Data Vlaue (Cr)'!$C:$FB,79)</f>
        <v>1404</v>
      </c>
      <c r="O89" s="92">
        <f>VLOOKUP($A89,'Data Vlaue (Cr)'!$C:$FB,82)</f>
        <v>-2.3099999999999999E-2</v>
      </c>
    </row>
    <row r="90" spans="1:15" x14ac:dyDescent="0.25">
      <c r="A90" s="97" t="str">
        <f>'Data Vlaue (Cr)'!C85</f>
        <v>HDFCBANK</v>
      </c>
      <c r="B90" s="142">
        <f>VLOOKUP(A90,'Data Vlaue (Cr)'!C85:CW314,99,0)</f>
        <v>32511</v>
      </c>
      <c r="C90" s="90">
        <f>VLOOKUP(A90,'Data Vlaue (Cr)'!C85:CY314,101,0)</f>
        <v>-578</v>
      </c>
      <c r="D90" s="139">
        <f>VLOOKUP(A90,'Data Vlaue (Cr)'!C85:CZ314,102,0)</f>
        <v>-1.7500000000000002E-2</v>
      </c>
      <c r="E90" s="91">
        <f>VLOOKUP($A90,'Data Vlaue (Cr)'!$C:$FB,75)</f>
        <v>20972</v>
      </c>
      <c r="F90" s="91">
        <f>VLOOKUP($A90,'Data Vlaue (Cr)'!$C:$FB,77)</f>
        <v>-302</v>
      </c>
      <c r="G90" s="92">
        <f>VLOOKUP(A90,'Data Vlaue (Cr)'!C85:CB314,78,0)</f>
        <v>-1.4200000000000001E-2</v>
      </c>
      <c r="H90" s="91">
        <f>VLOOKUP($A90,'Data Vlaue (Cr)'!$C:$FB,91)</f>
        <v>7248</v>
      </c>
      <c r="I90" s="91">
        <f>VLOOKUP($A90,'Data Vlaue (Cr)'!$C:$FB,93)</f>
        <v>-382</v>
      </c>
      <c r="J90" s="92">
        <f>VLOOKUP($A90,'Data Vlaue (Cr)'!$C:$FB,94)</f>
        <v>-5.0099999999999999E-2</v>
      </c>
      <c r="K90" s="91">
        <f>VLOOKUP($A90,'Data Vlaue (Cr)'!$C:$FB,95)</f>
        <v>4290</v>
      </c>
      <c r="L90" s="91">
        <f>VLOOKUP($A90,'Data Vlaue (Cr)'!$C:$FB,97)</f>
        <v>106</v>
      </c>
      <c r="M90" s="92">
        <f>VLOOKUP($A90,'Data Vlaue (Cr)'!$C:$FB,98)</f>
        <v>2.5399999999999999E-2</v>
      </c>
      <c r="N90" s="91">
        <f>VLOOKUP($A90,'Data Vlaue (Cr)'!$C:$FB,79)</f>
        <v>17161</v>
      </c>
      <c r="O90" s="92">
        <f>VLOOKUP($A90,'Data Vlaue (Cr)'!$C:$FB,82)</f>
        <v>-2.64E-2</v>
      </c>
    </row>
    <row r="91" spans="1:15" x14ac:dyDescent="0.25">
      <c r="A91" s="97" t="str">
        <f>'Data Vlaue (Cr)'!C86</f>
        <v>HDFCLIFE</v>
      </c>
      <c r="B91" s="142">
        <f>VLOOKUP(A91,'Data Vlaue (Cr)'!C86:CW315,99,0)</f>
        <v>4589</v>
      </c>
      <c r="C91" s="90">
        <f>VLOOKUP(A91,'Data Vlaue (Cr)'!C86:CY315,101,0)</f>
        <v>-324</v>
      </c>
      <c r="D91" s="139">
        <f>VLOOKUP(A91,'Data Vlaue (Cr)'!C86:CZ315,102,0)</f>
        <v>-6.59E-2</v>
      </c>
      <c r="E91" s="91">
        <f>VLOOKUP($A91,'Data Vlaue (Cr)'!$C:$FB,75)</f>
        <v>2221</v>
      </c>
      <c r="F91" s="91">
        <f>VLOOKUP($A91,'Data Vlaue (Cr)'!$C:$FB,77)</f>
        <v>-40</v>
      </c>
      <c r="G91" s="92">
        <f>VLOOKUP(A91,'Data Vlaue (Cr)'!C86:CB315,78,0)</f>
        <v>-1.7899999999999999E-2</v>
      </c>
      <c r="H91" s="91">
        <f>VLOOKUP($A91,'Data Vlaue (Cr)'!$C:$FB,91)</f>
        <v>1571</v>
      </c>
      <c r="I91" s="91">
        <f>VLOOKUP($A91,'Data Vlaue (Cr)'!$C:$FB,93)</f>
        <v>-233</v>
      </c>
      <c r="J91" s="92">
        <f>VLOOKUP($A91,'Data Vlaue (Cr)'!$C:$FB,94)</f>
        <v>-0.12920000000000001</v>
      </c>
      <c r="K91" s="91">
        <f>VLOOKUP($A91,'Data Vlaue (Cr)'!$C:$FB,95)</f>
        <v>797</v>
      </c>
      <c r="L91" s="91">
        <f>VLOOKUP($A91,'Data Vlaue (Cr)'!$C:$FB,97)</f>
        <v>-50</v>
      </c>
      <c r="M91" s="92">
        <f>VLOOKUP($A91,'Data Vlaue (Cr)'!$C:$FB,98)</f>
        <v>-5.91E-2</v>
      </c>
      <c r="N91" s="91">
        <f>VLOOKUP($A91,'Data Vlaue (Cr)'!$C:$FB,79)</f>
        <v>2005</v>
      </c>
      <c r="O91" s="92">
        <f>VLOOKUP($A91,'Data Vlaue (Cr)'!$C:$FB,82)</f>
        <v>-3.1800000000000002E-2</v>
      </c>
    </row>
    <row r="92" spans="1:15" x14ac:dyDescent="0.25">
      <c r="A92" s="97" t="str">
        <f>'Data Vlaue (Cr)'!C87</f>
        <v>HEROMOTOCO</v>
      </c>
      <c r="B92" s="142">
        <f>VLOOKUP(A92,'Data Vlaue (Cr)'!C87:CW316,99,0)</f>
        <v>5600</v>
      </c>
      <c r="C92" s="90">
        <f>VLOOKUP(A92,'Data Vlaue (Cr)'!C87:CY316,101,0)</f>
        <v>267</v>
      </c>
      <c r="D92" s="139">
        <f>VLOOKUP(A92,'Data Vlaue (Cr)'!C87:CZ316,102,0)</f>
        <v>5.0099999999999999E-2</v>
      </c>
      <c r="E92" s="91">
        <f>VLOOKUP($A92,'Data Vlaue (Cr)'!$C:$FB,75)</f>
        <v>2847</v>
      </c>
      <c r="F92" s="91">
        <f>VLOOKUP($A92,'Data Vlaue (Cr)'!$C:$FB,77)</f>
        <v>142</v>
      </c>
      <c r="G92" s="92">
        <f>VLOOKUP(A92,'Data Vlaue (Cr)'!C87:CB316,78,0)</f>
        <v>5.2600000000000001E-2</v>
      </c>
      <c r="H92" s="91">
        <f>VLOOKUP($A92,'Data Vlaue (Cr)'!$C:$FB,91)</f>
        <v>1786</v>
      </c>
      <c r="I92" s="91">
        <f>VLOOKUP($A92,'Data Vlaue (Cr)'!$C:$FB,93)</f>
        <v>128</v>
      </c>
      <c r="J92" s="92">
        <f>VLOOKUP($A92,'Data Vlaue (Cr)'!$C:$FB,94)</f>
        <v>7.7200000000000005E-2</v>
      </c>
      <c r="K92" s="91">
        <f>VLOOKUP($A92,'Data Vlaue (Cr)'!$C:$FB,95)</f>
        <v>966</v>
      </c>
      <c r="L92" s="91">
        <f>VLOOKUP($A92,'Data Vlaue (Cr)'!$C:$FB,97)</f>
        <v>-3</v>
      </c>
      <c r="M92" s="92">
        <f>VLOOKUP($A92,'Data Vlaue (Cr)'!$C:$FB,98)</f>
        <v>-3.3999999999999998E-3</v>
      </c>
      <c r="N92" s="91">
        <f>VLOOKUP($A92,'Data Vlaue (Cr)'!$C:$FB,79)</f>
        <v>2554</v>
      </c>
      <c r="O92" s="92">
        <f>VLOOKUP($A92,'Data Vlaue (Cr)'!$C:$FB,82)</f>
        <v>2.9000000000000001E-2</v>
      </c>
    </row>
    <row r="93" spans="1:15" x14ac:dyDescent="0.25">
      <c r="A93" s="97" t="str">
        <f>'Data Vlaue (Cr)'!C88</f>
        <v>HFCL</v>
      </c>
      <c r="B93" s="142">
        <f>VLOOKUP(A93,'Data Vlaue (Cr)'!C88:CW317,99,0)</f>
        <v>1109</v>
      </c>
      <c r="C93" s="90">
        <f>VLOOKUP(A93,'Data Vlaue (Cr)'!C88:CY317,101,0)</f>
        <v>42</v>
      </c>
      <c r="D93" s="139">
        <f>VLOOKUP(A93,'Data Vlaue (Cr)'!C88:CZ317,102,0)</f>
        <v>3.9E-2</v>
      </c>
      <c r="E93" s="91">
        <f>VLOOKUP($A93,'Data Vlaue (Cr)'!$C:$FB,75)</f>
        <v>674</v>
      </c>
      <c r="F93" s="91">
        <f>VLOOKUP($A93,'Data Vlaue (Cr)'!$C:$FB,77)</f>
        <v>34</v>
      </c>
      <c r="G93" s="92">
        <f>VLOOKUP(A93,'Data Vlaue (Cr)'!C88:CB317,78,0)</f>
        <v>5.3600000000000002E-2</v>
      </c>
      <c r="H93" s="91">
        <f>VLOOKUP($A93,'Data Vlaue (Cr)'!$C:$FB,91)</f>
        <v>263</v>
      </c>
      <c r="I93" s="91">
        <f>VLOOKUP($A93,'Data Vlaue (Cr)'!$C:$FB,93)</f>
        <v>3</v>
      </c>
      <c r="J93" s="92">
        <f>VLOOKUP($A93,'Data Vlaue (Cr)'!$C:$FB,94)</f>
        <v>1.04E-2</v>
      </c>
      <c r="K93" s="91">
        <f>VLOOKUP($A93,'Data Vlaue (Cr)'!$C:$FB,95)</f>
        <v>172</v>
      </c>
      <c r="L93" s="91">
        <f>VLOOKUP($A93,'Data Vlaue (Cr)'!$C:$FB,97)</f>
        <v>5</v>
      </c>
      <c r="M93" s="92">
        <f>VLOOKUP($A93,'Data Vlaue (Cr)'!$C:$FB,98)</f>
        <v>2.8000000000000001E-2</v>
      </c>
      <c r="N93" s="91">
        <f>VLOOKUP($A93,'Data Vlaue (Cr)'!$C:$FB,79)</f>
        <v>579</v>
      </c>
      <c r="O93" s="92">
        <f>VLOOKUP($A93,'Data Vlaue (Cr)'!$C:$FB,82)</f>
        <v>2.35E-2</v>
      </c>
    </row>
    <row r="94" spans="1:15" x14ac:dyDescent="0.25">
      <c r="A94" s="97" t="str">
        <f>'Data Vlaue (Cr)'!C89</f>
        <v>HINDALCO</v>
      </c>
      <c r="B94" s="142">
        <f>VLOOKUP(A94,'Data Vlaue (Cr)'!C89:CW318,99,0)</f>
        <v>5718</v>
      </c>
      <c r="C94" s="90">
        <f>VLOOKUP(A94,'Data Vlaue (Cr)'!C89:CY318,101,0)</f>
        <v>86</v>
      </c>
      <c r="D94" s="139">
        <f>VLOOKUP(A94,'Data Vlaue (Cr)'!C89:CZ318,102,0)</f>
        <v>1.52E-2</v>
      </c>
      <c r="E94" s="91">
        <f>VLOOKUP($A94,'Data Vlaue (Cr)'!$C:$FB,75)</f>
        <v>3725</v>
      </c>
      <c r="F94" s="91">
        <f>VLOOKUP($A94,'Data Vlaue (Cr)'!$C:$FB,77)</f>
        <v>3</v>
      </c>
      <c r="G94" s="92">
        <f>VLOOKUP(A94,'Data Vlaue (Cr)'!C89:CB318,78,0)</f>
        <v>8.9999999999999998E-4</v>
      </c>
      <c r="H94" s="91">
        <f>VLOOKUP($A94,'Data Vlaue (Cr)'!$C:$FB,91)</f>
        <v>1286</v>
      </c>
      <c r="I94" s="91">
        <f>VLOOKUP($A94,'Data Vlaue (Cr)'!$C:$FB,93)</f>
        <v>59</v>
      </c>
      <c r="J94" s="92">
        <f>VLOOKUP($A94,'Data Vlaue (Cr)'!$C:$FB,94)</f>
        <v>4.8099999999999997E-2</v>
      </c>
      <c r="K94" s="91">
        <f>VLOOKUP($A94,'Data Vlaue (Cr)'!$C:$FB,95)</f>
        <v>708</v>
      </c>
      <c r="L94" s="91">
        <f>VLOOKUP($A94,'Data Vlaue (Cr)'!$C:$FB,97)</f>
        <v>23</v>
      </c>
      <c r="M94" s="92">
        <f>VLOOKUP($A94,'Data Vlaue (Cr)'!$C:$FB,98)</f>
        <v>3.4200000000000001E-2</v>
      </c>
      <c r="N94" s="91">
        <f>VLOOKUP($A94,'Data Vlaue (Cr)'!$C:$FB,79)</f>
        <v>3441</v>
      </c>
      <c r="O94" s="92">
        <f>VLOOKUP($A94,'Data Vlaue (Cr)'!$C:$FB,82)</f>
        <v>-1.34E-2</v>
      </c>
    </row>
    <row r="95" spans="1:15" x14ac:dyDescent="0.25">
      <c r="A95" s="97" t="str">
        <f>'Data Vlaue (Cr)'!C90</f>
        <v>HINDCOPPER</v>
      </c>
      <c r="B95" s="142">
        <f>VLOOKUP(A95,'Data Vlaue (Cr)'!C90:CW319,99,0)</f>
        <v>1351</v>
      </c>
      <c r="C95" s="90">
        <f>VLOOKUP(A95,'Data Vlaue (Cr)'!C90:CY319,101,0)</f>
        <v>-73</v>
      </c>
      <c r="D95" s="139">
        <f>VLOOKUP(A95,'Data Vlaue (Cr)'!C90:CZ319,102,0)</f>
        <v>-5.16E-2</v>
      </c>
      <c r="E95" s="91">
        <f>VLOOKUP($A95,'Data Vlaue (Cr)'!$C:$FB,75)</f>
        <v>854</v>
      </c>
      <c r="F95" s="91">
        <f>VLOOKUP($A95,'Data Vlaue (Cr)'!$C:$FB,77)</f>
        <v>-34</v>
      </c>
      <c r="G95" s="92">
        <f>VLOOKUP(A95,'Data Vlaue (Cr)'!C90:CB319,78,0)</f>
        <v>-3.8199999999999998E-2</v>
      </c>
      <c r="H95" s="91">
        <f>VLOOKUP($A95,'Data Vlaue (Cr)'!$C:$FB,91)</f>
        <v>335</v>
      </c>
      <c r="I95" s="91">
        <f>VLOOKUP($A95,'Data Vlaue (Cr)'!$C:$FB,93)</f>
        <v>-9</v>
      </c>
      <c r="J95" s="92">
        <f>VLOOKUP($A95,'Data Vlaue (Cr)'!$C:$FB,94)</f>
        <v>-2.7300000000000001E-2</v>
      </c>
      <c r="K95" s="91">
        <f>VLOOKUP($A95,'Data Vlaue (Cr)'!$C:$FB,95)</f>
        <v>162</v>
      </c>
      <c r="L95" s="91">
        <f>VLOOKUP($A95,'Data Vlaue (Cr)'!$C:$FB,97)</f>
        <v>-30</v>
      </c>
      <c r="M95" s="92">
        <f>VLOOKUP($A95,'Data Vlaue (Cr)'!$C:$FB,98)</f>
        <v>-0.15690000000000001</v>
      </c>
      <c r="N95" s="91">
        <f>VLOOKUP($A95,'Data Vlaue (Cr)'!$C:$FB,79)</f>
        <v>854</v>
      </c>
      <c r="O95" s="92">
        <f>VLOOKUP($A95,'Data Vlaue (Cr)'!$C:$FB,82)</f>
        <v>-3.8199999999999998E-2</v>
      </c>
    </row>
    <row r="96" spans="1:15" x14ac:dyDescent="0.25">
      <c r="A96" s="97" t="str">
        <f>'Data Vlaue (Cr)'!C91</f>
        <v>HINDPETRO</v>
      </c>
      <c r="B96" s="142">
        <f>VLOOKUP(A96,'Data Vlaue (Cr)'!C91:CW320,99,0)</f>
        <v>3566</v>
      </c>
      <c r="C96" s="90">
        <f>VLOOKUP(A96,'Data Vlaue (Cr)'!C91:CY320,101,0)</f>
        <v>13</v>
      </c>
      <c r="D96" s="139">
        <f>VLOOKUP(A96,'Data Vlaue (Cr)'!C91:CZ320,102,0)</f>
        <v>3.7000000000000002E-3</v>
      </c>
      <c r="E96" s="91">
        <f>VLOOKUP($A96,'Data Vlaue (Cr)'!$C:$FB,75)</f>
        <v>2351</v>
      </c>
      <c r="F96" s="91">
        <f>VLOOKUP($A96,'Data Vlaue (Cr)'!$C:$FB,77)</f>
        <v>18</v>
      </c>
      <c r="G96" s="92">
        <f>VLOOKUP(A96,'Data Vlaue (Cr)'!C91:CB320,78,0)</f>
        <v>7.6E-3</v>
      </c>
      <c r="H96" s="91">
        <f>VLOOKUP($A96,'Data Vlaue (Cr)'!$C:$FB,91)</f>
        <v>720</v>
      </c>
      <c r="I96" s="91">
        <f>VLOOKUP($A96,'Data Vlaue (Cr)'!$C:$FB,93)</f>
        <v>6</v>
      </c>
      <c r="J96" s="92">
        <f>VLOOKUP($A96,'Data Vlaue (Cr)'!$C:$FB,94)</f>
        <v>8.0000000000000002E-3</v>
      </c>
      <c r="K96" s="91">
        <f>VLOOKUP($A96,'Data Vlaue (Cr)'!$C:$FB,95)</f>
        <v>495</v>
      </c>
      <c r="L96" s="91">
        <f>VLOOKUP($A96,'Data Vlaue (Cr)'!$C:$FB,97)</f>
        <v>-10</v>
      </c>
      <c r="M96" s="92">
        <f>VLOOKUP($A96,'Data Vlaue (Cr)'!$C:$FB,98)</f>
        <v>-2.0299999999999999E-2</v>
      </c>
      <c r="N96" s="91">
        <f>VLOOKUP($A96,'Data Vlaue (Cr)'!$C:$FB,79)</f>
        <v>2212</v>
      </c>
      <c r="O96" s="92">
        <f>VLOOKUP($A96,'Data Vlaue (Cr)'!$C:$FB,82)</f>
        <v>-3.8E-3</v>
      </c>
    </row>
    <row r="97" spans="1:15" x14ac:dyDescent="0.25">
      <c r="A97" s="97" t="str">
        <f>'Data Vlaue (Cr)'!C92</f>
        <v>HINDUNILVR</v>
      </c>
      <c r="B97" s="142">
        <f>VLOOKUP(A97,'Data Vlaue (Cr)'!C92:CW321,99,0)</f>
        <v>8256</v>
      </c>
      <c r="C97" s="90">
        <f>VLOOKUP(A97,'Data Vlaue (Cr)'!C92:CY321,101,0)</f>
        <v>-99</v>
      </c>
      <c r="D97" s="139">
        <f>VLOOKUP(A97,'Data Vlaue (Cr)'!C92:CZ321,102,0)</f>
        <v>-1.1900000000000001E-2</v>
      </c>
      <c r="E97" s="91">
        <f>VLOOKUP($A97,'Data Vlaue (Cr)'!$C:$FB,75)</f>
        <v>4009</v>
      </c>
      <c r="F97" s="91">
        <f>VLOOKUP($A97,'Data Vlaue (Cr)'!$C:$FB,77)</f>
        <v>-60</v>
      </c>
      <c r="G97" s="92">
        <f>VLOOKUP(A97,'Data Vlaue (Cr)'!C92:CB321,78,0)</f>
        <v>-1.4800000000000001E-2</v>
      </c>
      <c r="H97" s="91">
        <f>VLOOKUP($A97,'Data Vlaue (Cr)'!$C:$FB,91)</f>
        <v>2486</v>
      </c>
      <c r="I97" s="91">
        <f>VLOOKUP($A97,'Data Vlaue (Cr)'!$C:$FB,93)</f>
        <v>-34</v>
      </c>
      <c r="J97" s="92">
        <f>VLOOKUP($A97,'Data Vlaue (Cr)'!$C:$FB,94)</f>
        <v>-1.37E-2</v>
      </c>
      <c r="K97" s="91">
        <f>VLOOKUP($A97,'Data Vlaue (Cr)'!$C:$FB,95)</f>
        <v>1762</v>
      </c>
      <c r="L97" s="91">
        <f>VLOOKUP($A97,'Data Vlaue (Cr)'!$C:$FB,97)</f>
        <v>-4</v>
      </c>
      <c r="M97" s="92">
        <f>VLOOKUP($A97,'Data Vlaue (Cr)'!$C:$FB,98)</f>
        <v>-2.5000000000000001E-3</v>
      </c>
      <c r="N97" s="91">
        <f>VLOOKUP($A97,'Data Vlaue (Cr)'!$C:$FB,79)</f>
        <v>3576</v>
      </c>
      <c r="O97" s="92">
        <f>VLOOKUP($A97,'Data Vlaue (Cr)'!$C:$FB,82)</f>
        <v>-1.9900000000000001E-2</v>
      </c>
    </row>
    <row r="98" spans="1:15" x14ac:dyDescent="0.25">
      <c r="A98" s="97" t="str">
        <f>'Data Vlaue (Cr)'!C93</f>
        <v>HINDZINC</v>
      </c>
      <c r="B98" s="142">
        <f>VLOOKUP(A98,'Data Vlaue (Cr)'!C93:CW322,99,0)</f>
        <v>3237</v>
      </c>
      <c r="C98" s="90">
        <f>VLOOKUP(A98,'Data Vlaue (Cr)'!C93:CY322,101,0)</f>
        <v>-74</v>
      </c>
      <c r="D98" s="139">
        <f>VLOOKUP(A98,'Data Vlaue (Cr)'!C93:CZ322,102,0)</f>
        <v>-2.24E-2</v>
      </c>
      <c r="E98" s="91">
        <f>VLOOKUP($A98,'Data Vlaue (Cr)'!$C:$FB,75)</f>
        <v>1685</v>
      </c>
      <c r="F98" s="91">
        <f>VLOOKUP($A98,'Data Vlaue (Cr)'!$C:$FB,77)</f>
        <v>-16</v>
      </c>
      <c r="G98" s="92">
        <f>VLOOKUP(A98,'Data Vlaue (Cr)'!C93:CB322,78,0)</f>
        <v>-9.4999999999999998E-3</v>
      </c>
      <c r="H98" s="91">
        <f>VLOOKUP($A98,'Data Vlaue (Cr)'!$C:$FB,91)</f>
        <v>978</v>
      </c>
      <c r="I98" s="91">
        <f>VLOOKUP($A98,'Data Vlaue (Cr)'!$C:$FB,93)</f>
        <v>-24</v>
      </c>
      <c r="J98" s="92">
        <f>VLOOKUP($A98,'Data Vlaue (Cr)'!$C:$FB,94)</f>
        <v>-2.35E-2</v>
      </c>
      <c r="K98" s="91">
        <f>VLOOKUP($A98,'Data Vlaue (Cr)'!$C:$FB,95)</f>
        <v>573</v>
      </c>
      <c r="L98" s="91">
        <f>VLOOKUP($A98,'Data Vlaue (Cr)'!$C:$FB,97)</f>
        <v>-34</v>
      </c>
      <c r="M98" s="92">
        <f>VLOOKUP($A98,'Data Vlaue (Cr)'!$C:$FB,98)</f>
        <v>-5.6800000000000003E-2</v>
      </c>
      <c r="N98" s="91">
        <f>VLOOKUP($A98,'Data Vlaue (Cr)'!$C:$FB,79)</f>
        <v>1522</v>
      </c>
      <c r="O98" s="92">
        <f>VLOOKUP($A98,'Data Vlaue (Cr)'!$C:$FB,82)</f>
        <v>-1.77E-2</v>
      </c>
    </row>
    <row r="99" spans="1:15" x14ac:dyDescent="0.25">
      <c r="A99" s="97" t="str">
        <f>'Data Vlaue (Cr)'!C94</f>
        <v>HUDCO</v>
      </c>
      <c r="B99" s="142">
        <f>VLOOKUP(A99,'Data Vlaue (Cr)'!C94:CW323,99,0)</f>
        <v>1552</v>
      </c>
      <c r="C99" s="90">
        <f>VLOOKUP(A99,'Data Vlaue (Cr)'!C94:CY323,101,0)</f>
        <v>-7</v>
      </c>
      <c r="D99" s="139">
        <f>VLOOKUP(A99,'Data Vlaue (Cr)'!C94:CZ323,102,0)</f>
        <v>-4.4000000000000003E-3</v>
      </c>
      <c r="E99" s="91">
        <f>VLOOKUP($A99,'Data Vlaue (Cr)'!$C:$FB,75)</f>
        <v>965</v>
      </c>
      <c r="F99" s="91">
        <f>VLOOKUP($A99,'Data Vlaue (Cr)'!$C:$FB,77)</f>
        <v>11</v>
      </c>
      <c r="G99" s="92">
        <f>VLOOKUP(A99,'Data Vlaue (Cr)'!C94:CB323,78,0)</f>
        <v>1.1900000000000001E-2</v>
      </c>
      <c r="H99" s="91">
        <f>VLOOKUP($A99,'Data Vlaue (Cr)'!$C:$FB,91)</f>
        <v>382</v>
      </c>
      <c r="I99" s="91">
        <f>VLOOKUP($A99,'Data Vlaue (Cr)'!$C:$FB,93)</f>
        <v>-9</v>
      </c>
      <c r="J99" s="92">
        <f>VLOOKUP($A99,'Data Vlaue (Cr)'!$C:$FB,94)</f>
        <v>-2.2599999999999999E-2</v>
      </c>
      <c r="K99" s="91">
        <f>VLOOKUP($A99,'Data Vlaue (Cr)'!$C:$FB,95)</f>
        <v>205</v>
      </c>
      <c r="L99" s="91">
        <f>VLOOKUP($A99,'Data Vlaue (Cr)'!$C:$FB,97)</f>
        <v>-9</v>
      </c>
      <c r="M99" s="92">
        <f>VLOOKUP($A99,'Data Vlaue (Cr)'!$C:$FB,98)</f>
        <v>-4.3700000000000003E-2</v>
      </c>
      <c r="N99" s="91">
        <f>VLOOKUP($A99,'Data Vlaue (Cr)'!$C:$FB,79)</f>
        <v>888</v>
      </c>
      <c r="O99" s="92">
        <f>VLOOKUP($A99,'Data Vlaue (Cr)'!$C:$FB,82)</f>
        <v>3.0000000000000001E-3</v>
      </c>
    </row>
    <row r="100" spans="1:15" x14ac:dyDescent="0.25">
      <c r="A100" s="97" t="str">
        <f>'Data Vlaue (Cr)'!C95</f>
        <v>ICICIBANK</v>
      </c>
      <c r="B100" s="142">
        <f>VLOOKUP(A100,'Data Vlaue (Cr)'!C95:CW324,99,0)</f>
        <v>22838</v>
      </c>
      <c r="C100" s="90">
        <f>VLOOKUP(A100,'Data Vlaue (Cr)'!C95:CY324,101,0)</f>
        <v>-168</v>
      </c>
      <c r="D100" s="139">
        <f>VLOOKUP(A100,'Data Vlaue (Cr)'!C95:CZ324,102,0)</f>
        <v>-7.3000000000000001E-3</v>
      </c>
      <c r="E100" s="91">
        <f>VLOOKUP($A100,'Data Vlaue (Cr)'!$C:$FB,75)</f>
        <v>15981</v>
      </c>
      <c r="F100" s="91">
        <f>VLOOKUP($A100,'Data Vlaue (Cr)'!$C:$FB,77)</f>
        <v>-273</v>
      </c>
      <c r="G100" s="92">
        <f>VLOOKUP(A100,'Data Vlaue (Cr)'!C95:CB324,78,0)</f>
        <v>-1.6799999999999999E-2</v>
      </c>
      <c r="H100" s="91">
        <f>VLOOKUP($A100,'Data Vlaue (Cr)'!$C:$FB,91)</f>
        <v>3624</v>
      </c>
      <c r="I100" s="91">
        <f>VLOOKUP($A100,'Data Vlaue (Cr)'!$C:$FB,93)</f>
        <v>-80</v>
      </c>
      <c r="J100" s="92">
        <f>VLOOKUP($A100,'Data Vlaue (Cr)'!$C:$FB,94)</f>
        <v>-2.1499999999999998E-2</v>
      </c>
      <c r="K100" s="91">
        <f>VLOOKUP($A100,'Data Vlaue (Cr)'!$C:$FB,95)</f>
        <v>3233</v>
      </c>
      <c r="L100" s="91">
        <f>VLOOKUP($A100,'Data Vlaue (Cr)'!$C:$FB,97)</f>
        <v>185</v>
      </c>
      <c r="M100" s="92">
        <f>VLOOKUP($A100,'Data Vlaue (Cr)'!$C:$FB,98)</f>
        <v>6.0499999999999998E-2</v>
      </c>
      <c r="N100" s="91">
        <f>VLOOKUP($A100,'Data Vlaue (Cr)'!$C:$FB,79)</f>
        <v>8718</v>
      </c>
      <c r="O100" s="92">
        <f>VLOOKUP($A100,'Data Vlaue (Cr)'!$C:$FB,82)</f>
        <v>-3.6600000000000001E-2</v>
      </c>
    </row>
    <row r="101" spans="1:15" x14ac:dyDescent="0.25">
      <c r="A101" s="97" t="str">
        <f>'Data Vlaue (Cr)'!C96</f>
        <v>ICICIGI</v>
      </c>
      <c r="B101" s="142">
        <f>VLOOKUP(A101,'Data Vlaue (Cr)'!C96:CW325,99,0)</f>
        <v>1828</v>
      </c>
      <c r="C101" s="90">
        <f>VLOOKUP(A101,'Data Vlaue (Cr)'!C96:CY325,101,0)</f>
        <v>-102</v>
      </c>
      <c r="D101" s="139">
        <f>VLOOKUP(A101,'Data Vlaue (Cr)'!C96:CZ325,102,0)</f>
        <v>-5.28E-2</v>
      </c>
      <c r="E101" s="91">
        <f>VLOOKUP($A101,'Data Vlaue (Cr)'!$C:$FB,75)</f>
        <v>1043</v>
      </c>
      <c r="F101" s="91">
        <f>VLOOKUP($A101,'Data Vlaue (Cr)'!$C:$FB,77)</f>
        <v>-3</v>
      </c>
      <c r="G101" s="92">
        <f>VLOOKUP(A101,'Data Vlaue (Cr)'!C96:CB325,78,0)</f>
        <v>-2.7000000000000001E-3</v>
      </c>
      <c r="H101" s="91">
        <f>VLOOKUP($A101,'Data Vlaue (Cr)'!$C:$FB,91)</f>
        <v>571</v>
      </c>
      <c r="I101" s="91">
        <f>VLOOKUP($A101,'Data Vlaue (Cr)'!$C:$FB,93)</f>
        <v>-75</v>
      </c>
      <c r="J101" s="92">
        <f>VLOOKUP($A101,'Data Vlaue (Cr)'!$C:$FB,94)</f>
        <v>-0.11650000000000001</v>
      </c>
      <c r="K101" s="91">
        <f>VLOOKUP($A101,'Data Vlaue (Cr)'!$C:$FB,95)</f>
        <v>215</v>
      </c>
      <c r="L101" s="91">
        <f>VLOOKUP($A101,'Data Vlaue (Cr)'!$C:$FB,97)</f>
        <v>-24</v>
      </c>
      <c r="M101" s="92">
        <f>VLOOKUP($A101,'Data Vlaue (Cr)'!$C:$FB,98)</f>
        <v>-9.9500000000000005E-2</v>
      </c>
      <c r="N101" s="91">
        <f>VLOOKUP($A101,'Data Vlaue (Cr)'!$C:$FB,79)</f>
        <v>1009</v>
      </c>
      <c r="O101" s="92">
        <f>VLOOKUP($A101,'Data Vlaue (Cr)'!$C:$FB,82)</f>
        <v>-7.1999999999999998E-3</v>
      </c>
    </row>
    <row r="102" spans="1:15" x14ac:dyDescent="0.25">
      <c r="A102" s="97" t="str">
        <f>'Data Vlaue (Cr)'!C97</f>
        <v>ICICIPRULI</v>
      </c>
      <c r="B102" s="142">
        <f>VLOOKUP(A102,'Data Vlaue (Cr)'!C97:CW326,99,0)</f>
        <v>1692</v>
      </c>
      <c r="C102" s="90">
        <f>VLOOKUP(A102,'Data Vlaue (Cr)'!C97:CY326,101,0)</f>
        <v>37</v>
      </c>
      <c r="D102" s="139">
        <f>VLOOKUP(A102,'Data Vlaue (Cr)'!C97:CZ326,102,0)</f>
        <v>2.2200000000000001E-2</v>
      </c>
      <c r="E102" s="91">
        <f>VLOOKUP($A102,'Data Vlaue (Cr)'!$C:$FB,75)</f>
        <v>928</v>
      </c>
      <c r="F102" s="91">
        <f>VLOOKUP($A102,'Data Vlaue (Cr)'!$C:$FB,77)</f>
        <v>17</v>
      </c>
      <c r="G102" s="92">
        <f>VLOOKUP(A102,'Data Vlaue (Cr)'!C97:CB326,78,0)</f>
        <v>1.8800000000000001E-2</v>
      </c>
      <c r="H102" s="91">
        <f>VLOOKUP($A102,'Data Vlaue (Cr)'!$C:$FB,91)</f>
        <v>556</v>
      </c>
      <c r="I102" s="91">
        <f>VLOOKUP($A102,'Data Vlaue (Cr)'!$C:$FB,93)</f>
        <v>20</v>
      </c>
      <c r="J102" s="92">
        <f>VLOOKUP($A102,'Data Vlaue (Cr)'!$C:$FB,94)</f>
        <v>3.7199999999999997E-2</v>
      </c>
      <c r="K102" s="91">
        <f>VLOOKUP($A102,'Data Vlaue (Cr)'!$C:$FB,95)</f>
        <v>209</v>
      </c>
      <c r="L102" s="91">
        <f>VLOOKUP($A102,'Data Vlaue (Cr)'!$C:$FB,97)</f>
        <v>0</v>
      </c>
      <c r="M102" s="92">
        <f>VLOOKUP($A102,'Data Vlaue (Cr)'!$C:$FB,98)</f>
        <v>-1.6999999999999999E-3</v>
      </c>
      <c r="N102" s="91">
        <f>VLOOKUP($A102,'Data Vlaue (Cr)'!$C:$FB,79)</f>
        <v>884</v>
      </c>
      <c r="O102" s="92">
        <f>VLOOKUP($A102,'Data Vlaue (Cr)'!$C:$FB,82)</f>
        <v>7.7000000000000002E-3</v>
      </c>
    </row>
    <row r="103" spans="1:15" x14ac:dyDescent="0.25">
      <c r="A103" s="97" t="str">
        <f>'Data Vlaue (Cr)'!C98</f>
        <v>IDEA</v>
      </c>
      <c r="B103" s="142">
        <f>VLOOKUP(A103,'Data Vlaue (Cr)'!C98:CW327,99,0)</f>
        <v>5543</v>
      </c>
      <c r="C103" s="90">
        <f>VLOOKUP(A103,'Data Vlaue (Cr)'!C98:CY327,101,0)</f>
        <v>80</v>
      </c>
      <c r="D103" s="139">
        <f>VLOOKUP(A103,'Data Vlaue (Cr)'!C98:CZ327,102,0)</f>
        <v>1.46E-2</v>
      </c>
      <c r="E103" s="91">
        <f>VLOOKUP($A103,'Data Vlaue (Cr)'!$C:$FB,75)</f>
        <v>3932</v>
      </c>
      <c r="F103" s="91">
        <f>VLOOKUP($A103,'Data Vlaue (Cr)'!$C:$FB,77)</f>
        <v>24</v>
      </c>
      <c r="G103" s="92">
        <f>VLOOKUP(A103,'Data Vlaue (Cr)'!C98:CB327,78,0)</f>
        <v>6.1999999999999998E-3</v>
      </c>
      <c r="H103" s="91">
        <f>VLOOKUP($A103,'Data Vlaue (Cr)'!$C:$FB,91)</f>
        <v>1059</v>
      </c>
      <c r="I103" s="91">
        <f>VLOOKUP($A103,'Data Vlaue (Cr)'!$C:$FB,93)</f>
        <v>46</v>
      </c>
      <c r="J103" s="92">
        <f>VLOOKUP($A103,'Data Vlaue (Cr)'!$C:$FB,94)</f>
        <v>4.58E-2</v>
      </c>
      <c r="K103" s="91">
        <f>VLOOKUP($A103,'Data Vlaue (Cr)'!$C:$FB,95)</f>
        <v>553</v>
      </c>
      <c r="L103" s="91">
        <f>VLOOKUP($A103,'Data Vlaue (Cr)'!$C:$FB,97)</f>
        <v>9</v>
      </c>
      <c r="M103" s="92">
        <f>VLOOKUP($A103,'Data Vlaue (Cr)'!$C:$FB,98)</f>
        <v>1.6899999999999998E-2</v>
      </c>
      <c r="N103" s="91">
        <f>VLOOKUP($A103,'Data Vlaue (Cr)'!$C:$FB,79)</f>
        <v>3189</v>
      </c>
      <c r="O103" s="92">
        <f>VLOOKUP($A103,'Data Vlaue (Cr)'!$C:$FB,82)</f>
        <v>-4.5999999999999999E-3</v>
      </c>
    </row>
    <row r="104" spans="1:15" x14ac:dyDescent="0.25">
      <c r="A104" s="97" t="str">
        <f>'Data Vlaue (Cr)'!C99</f>
        <v>IDFCFIRSTB</v>
      </c>
      <c r="B104" s="142">
        <f>VLOOKUP(A104,'Data Vlaue (Cr)'!C99:CW328,99,0)</f>
        <v>4485</v>
      </c>
      <c r="C104" s="90">
        <f>VLOOKUP(A104,'Data Vlaue (Cr)'!C99:CY328,101,0)</f>
        <v>59</v>
      </c>
      <c r="D104" s="139">
        <f>VLOOKUP(A104,'Data Vlaue (Cr)'!C99:CZ328,102,0)</f>
        <v>1.34E-2</v>
      </c>
      <c r="E104" s="91">
        <f>VLOOKUP($A104,'Data Vlaue (Cr)'!$C:$FB,75)</f>
        <v>2747</v>
      </c>
      <c r="F104" s="91">
        <f>VLOOKUP($A104,'Data Vlaue (Cr)'!$C:$FB,77)</f>
        <v>18</v>
      </c>
      <c r="G104" s="92">
        <f>VLOOKUP(A104,'Data Vlaue (Cr)'!C99:CB328,78,0)</f>
        <v>6.4999999999999997E-3</v>
      </c>
      <c r="H104" s="91">
        <f>VLOOKUP($A104,'Data Vlaue (Cr)'!$C:$FB,91)</f>
        <v>1065</v>
      </c>
      <c r="I104" s="91">
        <f>VLOOKUP($A104,'Data Vlaue (Cr)'!$C:$FB,93)</f>
        <v>36</v>
      </c>
      <c r="J104" s="92">
        <f>VLOOKUP($A104,'Data Vlaue (Cr)'!$C:$FB,94)</f>
        <v>3.4599999999999999E-2</v>
      </c>
      <c r="K104" s="91">
        <f>VLOOKUP($A104,'Data Vlaue (Cr)'!$C:$FB,95)</f>
        <v>673</v>
      </c>
      <c r="L104" s="91">
        <f>VLOOKUP($A104,'Data Vlaue (Cr)'!$C:$FB,97)</f>
        <v>6</v>
      </c>
      <c r="M104" s="92">
        <f>VLOOKUP($A104,'Data Vlaue (Cr)'!$C:$FB,98)</f>
        <v>8.8999999999999999E-3</v>
      </c>
      <c r="N104" s="91">
        <f>VLOOKUP($A104,'Data Vlaue (Cr)'!$C:$FB,79)</f>
        <v>2030</v>
      </c>
      <c r="O104" s="92">
        <f>VLOOKUP($A104,'Data Vlaue (Cr)'!$C:$FB,82)</f>
        <v>-1.2800000000000001E-2</v>
      </c>
    </row>
    <row r="105" spans="1:15" x14ac:dyDescent="0.25">
      <c r="A105" s="97" t="str">
        <f>'Data Vlaue (Cr)'!C100</f>
        <v>IEX</v>
      </c>
      <c r="B105" s="142">
        <f>VLOOKUP(A105,'Data Vlaue (Cr)'!C100:CW329,99,0)</f>
        <v>3896</v>
      </c>
      <c r="C105" s="90">
        <f>VLOOKUP(A105,'Data Vlaue (Cr)'!C100:CY329,101,0)</f>
        <v>1357</v>
      </c>
      <c r="D105" s="139">
        <f>VLOOKUP(A105,'Data Vlaue (Cr)'!C100:CZ329,102,0)</f>
        <v>0.53480000000000005</v>
      </c>
      <c r="E105" s="91">
        <f>VLOOKUP($A105,'Data Vlaue (Cr)'!$C:$FB,75)</f>
        <v>985</v>
      </c>
      <c r="F105" s="91">
        <f>VLOOKUP($A105,'Data Vlaue (Cr)'!$C:$FB,77)</f>
        <v>198</v>
      </c>
      <c r="G105" s="92">
        <f>VLOOKUP(A105,'Data Vlaue (Cr)'!C100:CB329,78,0)</f>
        <v>0.25109999999999999</v>
      </c>
      <c r="H105" s="91">
        <f>VLOOKUP($A105,'Data Vlaue (Cr)'!$C:$FB,91)</f>
        <v>881</v>
      </c>
      <c r="I105" s="91">
        <f>VLOOKUP($A105,'Data Vlaue (Cr)'!$C:$FB,93)</f>
        <v>237</v>
      </c>
      <c r="J105" s="92">
        <f>VLOOKUP($A105,'Data Vlaue (Cr)'!$C:$FB,94)</f>
        <v>0.36859999999999998</v>
      </c>
      <c r="K105" s="91">
        <f>VLOOKUP($A105,'Data Vlaue (Cr)'!$C:$FB,95)</f>
        <v>2030</v>
      </c>
      <c r="L105" s="91">
        <f>VLOOKUP($A105,'Data Vlaue (Cr)'!$C:$FB,97)</f>
        <v>923</v>
      </c>
      <c r="M105" s="92">
        <f>VLOOKUP($A105,'Data Vlaue (Cr)'!$C:$FB,98)</f>
        <v>0.83309999999999995</v>
      </c>
      <c r="N105" s="91">
        <f>VLOOKUP($A105,'Data Vlaue (Cr)'!$C:$FB,79)</f>
        <v>822</v>
      </c>
      <c r="O105" s="92">
        <f>VLOOKUP($A105,'Data Vlaue (Cr)'!$C:$FB,82)</f>
        <v>0.1588</v>
      </c>
    </row>
    <row r="106" spans="1:15" x14ac:dyDescent="0.25">
      <c r="A106" s="97" t="str">
        <f>'Data Vlaue (Cr)'!C101</f>
        <v>IGL</v>
      </c>
      <c r="B106" s="142">
        <f>VLOOKUP(A106,'Data Vlaue (Cr)'!C101:CW330,99,0)</f>
        <v>939</v>
      </c>
      <c r="C106" s="90">
        <f>VLOOKUP(A106,'Data Vlaue (Cr)'!C101:CY330,101,0)</f>
        <v>70</v>
      </c>
      <c r="D106" s="139">
        <f>VLOOKUP(A106,'Data Vlaue (Cr)'!C101:CZ330,102,0)</f>
        <v>8.0399999999999999E-2</v>
      </c>
      <c r="E106" s="91">
        <f>VLOOKUP($A106,'Data Vlaue (Cr)'!$C:$FB,75)</f>
        <v>401</v>
      </c>
      <c r="F106" s="91">
        <f>VLOOKUP($A106,'Data Vlaue (Cr)'!$C:$FB,77)</f>
        <v>29</v>
      </c>
      <c r="G106" s="92">
        <f>VLOOKUP(A106,'Data Vlaue (Cr)'!C101:CB330,78,0)</f>
        <v>7.8799999999999995E-2</v>
      </c>
      <c r="H106" s="91">
        <f>VLOOKUP($A106,'Data Vlaue (Cr)'!$C:$FB,91)</f>
        <v>320</v>
      </c>
      <c r="I106" s="91">
        <f>VLOOKUP($A106,'Data Vlaue (Cr)'!$C:$FB,93)</f>
        <v>11</v>
      </c>
      <c r="J106" s="92">
        <f>VLOOKUP($A106,'Data Vlaue (Cr)'!$C:$FB,94)</f>
        <v>3.5999999999999997E-2</v>
      </c>
      <c r="K106" s="91">
        <f>VLOOKUP($A106,'Data Vlaue (Cr)'!$C:$FB,95)</f>
        <v>219</v>
      </c>
      <c r="L106" s="91">
        <f>VLOOKUP($A106,'Data Vlaue (Cr)'!$C:$FB,97)</f>
        <v>30</v>
      </c>
      <c r="M106" s="92">
        <f>VLOOKUP($A106,'Data Vlaue (Cr)'!$C:$FB,98)</f>
        <v>0.15609999999999999</v>
      </c>
      <c r="N106" s="91">
        <f>VLOOKUP($A106,'Data Vlaue (Cr)'!$C:$FB,79)</f>
        <v>322</v>
      </c>
      <c r="O106" s="92">
        <f>VLOOKUP($A106,'Data Vlaue (Cr)'!$C:$FB,82)</f>
        <v>4.36E-2</v>
      </c>
    </row>
    <row r="107" spans="1:15" x14ac:dyDescent="0.25">
      <c r="A107" s="97" t="str">
        <f>'Data Vlaue (Cr)'!C102</f>
        <v>IIFL</v>
      </c>
      <c r="B107" s="142">
        <f>VLOOKUP(A107,'Data Vlaue (Cr)'!C102:CW331,99,0)</f>
        <v>1253</v>
      </c>
      <c r="C107" s="90">
        <f>VLOOKUP(A107,'Data Vlaue (Cr)'!C102:CY331,101,0)</f>
        <v>-49</v>
      </c>
      <c r="D107" s="139">
        <f>VLOOKUP(A107,'Data Vlaue (Cr)'!C102:CZ331,102,0)</f>
        <v>-3.7699999999999997E-2</v>
      </c>
      <c r="E107" s="91">
        <f>VLOOKUP($A107,'Data Vlaue (Cr)'!$C:$FB,75)</f>
        <v>865</v>
      </c>
      <c r="F107" s="91">
        <f>VLOOKUP($A107,'Data Vlaue (Cr)'!$C:$FB,77)</f>
        <v>-14</v>
      </c>
      <c r="G107" s="92">
        <f>VLOOKUP(A107,'Data Vlaue (Cr)'!C102:CB331,78,0)</f>
        <v>-1.5800000000000002E-2</v>
      </c>
      <c r="H107" s="91">
        <f>VLOOKUP($A107,'Data Vlaue (Cr)'!$C:$FB,91)</f>
        <v>215</v>
      </c>
      <c r="I107" s="91">
        <f>VLOOKUP($A107,'Data Vlaue (Cr)'!$C:$FB,93)</f>
        <v>-16</v>
      </c>
      <c r="J107" s="92">
        <f>VLOOKUP($A107,'Data Vlaue (Cr)'!$C:$FB,94)</f>
        <v>-6.8199999999999997E-2</v>
      </c>
      <c r="K107" s="91">
        <f>VLOOKUP($A107,'Data Vlaue (Cr)'!$C:$FB,95)</f>
        <v>173</v>
      </c>
      <c r="L107" s="91">
        <f>VLOOKUP($A107,'Data Vlaue (Cr)'!$C:$FB,97)</f>
        <v>-20</v>
      </c>
      <c r="M107" s="92">
        <f>VLOOKUP($A107,'Data Vlaue (Cr)'!$C:$FB,98)</f>
        <v>-0.10150000000000001</v>
      </c>
      <c r="N107" s="91">
        <f>VLOOKUP($A107,'Data Vlaue (Cr)'!$C:$FB,79)</f>
        <v>816</v>
      </c>
      <c r="O107" s="92">
        <f>VLOOKUP($A107,'Data Vlaue (Cr)'!$C:$FB,82)</f>
        <v>-2.1299999999999999E-2</v>
      </c>
    </row>
    <row r="108" spans="1:15" x14ac:dyDescent="0.25">
      <c r="A108" s="97" t="str">
        <f>'Data Vlaue (Cr)'!C103</f>
        <v>INDHOTEL</v>
      </c>
      <c r="B108" s="142">
        <f>VLOOKUP(A108,'Data Vlaue (Cr)'!C103:CW332,99,0)</f>
        <v>3560</v>
      </c>
      <c r="C108" s="90">
        <f>VLOOKUP(A108,'Data Vlaue (Cr)'!C103:CY332,101,0)</f>
        <v>79</v>
      </c>
      <c r="D108" s="139">
        <f>VLOOKUP(A108,'Data Vlaue (Cr)'!C103:CZ332,102,0)</f>
        <v>2.2599999999999999E-2</v>
      </c>
      <c r="E108" s="91">
        <f>VLOOKUP($A108,'Data Vlaue (Cr)'!$C:$FB,75)</f>
        <v>2203</v>
      </c>
      <c r="F108" s="91">
        <f>VLOOKUP($A108,'Data Vlaue (Cr)'!$C:$FB,77)</f>
        <v>55</v>
      </c>
      <c r="G108" s="92">
        <f>VLOOKUP(A108,'Data Vlaue (Cr)'!C103:CB332,78,0)</f>
        <v>2.5600000000000001E-2</v>
      </c>
      <c r="H108" s="91">
        <f>VLOOKUP($A108,'Data Vlaue (Cr)'!$C:$FB,91)</f>
        <v>837</v>
      </c>
      <c r="I108" s="91">
        <f>VLOOKUP($A108,'Data Vlaue (Cr)'!$C:$FB,93)</f>
        <v>42</v>
      </c>
      <c r="J108" s="92">
        <f>VLOOKUP($A108,'Data Vlaue (Cr)'!$C:$FB,94)</f>
        <v>5.3499999999999999E-2</v>
      </c>
      <c r="K108" s="91">
        <f>VLOOKUP($A108,'Data Vlaue (Cr)'!$C:$FB,95)</f>
        <v>520</v>
      </c>
      <c r="L108" s="91">
        <f>VLOOKUP($A108,'Data Vlaue (Cr)'!$C:$FB,97)</f>
        <v>-19</v>
      </c>
      <c r="M108" s="92">
        <f>VLOOKUP($A108,'Data Vlaue (Cr)'!$C:$FB,98)</f>
        <v>-3.5000000000000003E-2</v>
      </c>
      <c r="N108" s="91">
        <f>VLOOKUP($A108,'Data Vlaue (Cr)'!$C:$FB,79)</f>
        <v>2030</v>
      </c>
      <c r="O108" s="92">
        <f>VLOOKUP($A108,'Data Vlaue (Cr)'!$C:$FB,82)</f>
        <v>1.2500000000000001E-2</v>
      </c>
    </row>
    <row r="109" spans="1:15" x14ac:dyDescent="0.25">
      <c r="A109" s="97" t="str">
        <f>'Data Vlaue (Cr)'!C104</f>
        <v>INDIANB</v>
      </c>
      <c r="B109" s="142">
        <f>VLOOKUP(A109,'Data Vlaue (Cr)'!C104:CW333,99,0)</f>
        <v>706</v>
      </c>
      <c r="C109" s="90">
        <f>VLOOKUP(A109,'Data Vlaue (Cr)'!C104:CY333,101,0)</f>
        <v>2</v>
      </c>
      <c r="D109" s="139">
        <f>VLOOKUP(A109,'Data Vlaue (Cr)'!C104:CZ333,102,0)</f>
        <v>2.0999999999999999E-3</v>
      </c>
      <c r="E109" s="91">
        <f>VLOOKUP($A109,'Data Vlaue (Cr)'!$C:$FB,75)</f>
        <v>419</v>
      </c>
      <c r="F109" s="91">
        <f>VLOOKUP($A109,'Data Vlaue (Cr)'!$C:$FB,77)</f>
        <v>3</v>
      </c>
      <c r="G109" s="92">
        <f>VLOOKUP(A109,'Data Vlaue (Cr)'!C104:CB333,78,0)</f>
        <v>7.7000000000000002E-3</v>
      </c>
      <c r="H109" s="91">
        <f>VLOOKUP($A109,'Data Vlaue (Cr)'!$C:$FB,91)</f>
        <v>172</v>
      </c>
      <c r="I109" s="91">
        <f>VLOOKUP($A109,'Data Vlaue (Cr)'!$C:$FB,93)</f>
        <v>-3</v>
      </c>
      <c r="J109" s="92">
        <f>VLOOKUP($A109,'Data Vlaue (Cr)'!$C:$FB,94)</f>
        <v>-1.4800000000000001E-2</v>
      </c>
      <c r="K109" s="91">
        <f>VLOOKUP($A109,'Data Vlaue (Cr)'!$C:$FB,95)</f>
        <v>115</v>
      </c>
      <c r="L109" s="91">
        <f>VLOOKUP($A109,'Data Vlaue (Cr)'!$C:$FB,97)</f>
        <v>1</v>
      </c>
      <c r="M109" s="92">
        <f>VLOOKUP($A109,'Data Vlaue (Cr)'!$C:$FB,98)</f>
        <v>7.7000000000000002E-3</v>
      </c>
      <c r="N109" s="91">
        <f>VLOOKUP($A109,'Data Vlaue (Cr)'!$C:$FB,79)</f>
        <v>390</v>
      </c>
      <c r="O109" s="92">
        <f>VLOOKUP($A109,'Data Vlaue (Cr)'!$C:$FB,82)</f>
        <v>-9.2999999999999992E-3</v>
      </c>
    </row>
    <row r="110" spans="1:15" x14ac:dyDescent="0.25">
      <c r="A110" s="97" t="str">
        <f>'Data Vlaue (Cr)'!C105</f>
        <v>INDIAVIX</v>
      </c>
      <c r="B110" s="142">
        <f>VLOOKUP(A110,'Data Vlaue (Cr)'!C105:CW334,99,0)</f>
        <v>0</v>
      </c>
      <c r="C110" s="90">
        <f>VLOOKUP(A110,'Data Vlaue (Cr)'!C105:CY334,101,0)</f>
        <v>0</v>
      </c>
      <c r="D110" s="139">
        <f>VLOOKUP(A110,'Data Vlaue (Cr)'!C105:CZ334,102,0)</f>
        <v>0</v>
      </c>
      <c r="E110" s="91">
        <f>VLOOKUP($A110,'Data Vlaue (Cr)'!$C:$FB,75)</f>
        <v>0</v>
      </c>
      <c r="F110" s="91">
        <f>VLOOKUP($A110,'Data Vlaue (Cr)'!$C:$FB,77)</f>
        <v>0</v>
      </c>
      <c r="G110" s="92">
        <f>VLOOKUP(A110,'Data Vlaue (Cr)'!C105:CB334,78,0)</f>
        <v>0</v>
      </c>
      <c r="H110" s="91">
        <f>VLOOKUP($A110,'Data Vlaue (Cr)'!$C:$FB,91)</f>
        <v>0</v>
      </c>
      <c r="I110" s="91">
        <f>VLOOKUP($A110,'Data Vlaue (Cr)'!$C:$FB,93)</f>
        <v>0</v>
      </c>
      <c r="J110" s="92">
        <f>VLOOKUP($A110,'Data Vlaue (Cr)'!$C:$FB,94)</f>
        <v>0</v>
      </c>
      <c r="K110" s="91">
        <f>VLOOKUP($A110,'Data Vlaue (Cr)'!$C:$FB,95)</f>
        <v>0</v>
      </c>
      <c r="L110" s="91">
        <f>VLOOKUP($A110,'Data Vlaue (Cr)'!$C:$FB,97)</f>
        <v>0</v>
      </c>
      <c r="M110" s="92">
        <f>VLOOKUP($A110,'Data Vlaue (Cr)'!$C:$FB,98)</f>
        <v>0</v>
      </c>
      <c r="N110" s="91">
        <f>VLOOKUP($A110,'Data Vlaue (Cr)'!$C:$FB,79)</f>
        <v>0</v>
      </c>
      <c r="O110" s="92">
        <f>VLOOKUP($A110,'Data Vlaue (Cr)'!$C:$FB,82)</f>
        <v>0</v>
      </c>
    </row>
    <row r="111" spans="1:15" x14ac:dyDescent="0.25">
      <c r="A111" s="97" t="str">
        <f>'Data Vlaue (Cr)'!C106</f>
        <v>INDIGO</v>
      </c>
      <c r="B111" s="142">
        <f>VLOOKUP(A111,'Data Vlaue (Cr)'!C106:CW335,99,0)</f>
        <v>8018</v>
      </c>
      <c r="C111" s="90">
        <f>VLOOKUP(A111,'Data Vlaue (Cr)'!C106:CY335,101,0)</f>
        <v>49</v>
      </c>
      <c r="D111" s="139">
        <f>VLOOKUP(A111,'Data Vlaue (Cr)'!C106:CZ335,102,0)</f>
        <v>6.1000000000000004E-3</v>
      </c>
      <c r="E111" s="91">
        <f>VLOOKUP($A111,'Data Vlaue (Cr)'!$C:$FB,75)</f>
        <v>4434</v>
      </c>
      <c r="F111" s="91">
        <f>VLOOKUP($A111,'Data Vlaue (Cr)'!$C:$FB,77)</f>
        <v>41</v>
      </c>
      <c r="G111" s="92">
        <f>VLOOKUP(A111,'Data Vlaue (Cr)'!C106:CB335,78,0)</f>
        <v>9.2999999999999992E-3</v>
      </c>
      <c r="H111" s="91">
        <f>VLOOKUP($A111,'Data Vlaue (Cr)'!$C:$FB,91)</f>
        <v>1973</v>
      </c>
      <c r="I111" s="91">
        <f>VLOOKUP($A111,'Data Vlaue (Cr)'!$C:$FB,93)</f>
        <v>-21</v>
      </c>
      <c r="J111" s="92">
        <f>VLOOKUP($A111,'Data Vlaue (Cr)'!$C:$FB,94)</f>
        <v>-1.0699999999999999E-2</v>
      </c>
      <c r="K111" s="91">
        <f>VLOOKUP($A111,'Data Vlaue (Cr)'!$C:$FB,95)</f>
        <v>1612</v>
      </c>
      <c r="L111" s="91">
        <f>VLOOKUP($A111,'Data Vlaue (Cr)'!$C:$FB,97)</f>
        <v>29</v>
      </c>
      <c r="M111" s="92">
        <f>VLOOKUP($A111,'Data Vlaue (Cr)'!$C:$FB,98)</f>
        <v>1.8599999999999998E-2</v>
      </c>
      <c r="N111" s="91">
        <f>VLOOKUP($A111,'Data Vlaue (Cr)'!$C:$FB,79)</f>
        <v>4227</v>
      </c>
      <c r="O111" s="92">
        <f>VLOOKUP($A111,'Data Vlaue (Cr)'!$C:$FB,82)</f>
        <v>-4.8999999999999998E-3</v>
      </c>
    </row>
    <row r="112" spans="1:15" x14ac:dyDescent="0.25">
      <c r="A112" s="97" t="str">
        <f>'Data Vlaue (Cr)'!C107</f>
        <v>INDUSINDBK</v>
      </c>
      <c r="B112" s="142">
        <f>VLOOKUP(A112,'Data Vlaue (Cr)'!C107:CW336,99,0)</f>
        <v>6299</v>
      </c>
      <c r="C112" s="90">
        <f>VLOOKUP(A112,'Data Vlaue (Cr)'!C107:CY336,101,0)</f>
        <v>230</v>
      </c>
      <c r="D112" s="139">
        <f>VLOOKUP(A112,'Data Vlaue (Cr)'!C107:CZ336,102,0)</f>
        <v>3.7900000000000003E-2</v>
      </c>
      <c r="E112" s="91">
        <f>VLOOKUP($A112,'Data Vlaue (Cr)'!$C:$FB,75)</f>
        <v>3639</v>
      </c>
      <c r="F112" s="91">
        <f>VLOOKUP($A112,'Data Vlaue (Cr)'!$C:$FB,77)</f>
        <v>122</v>
      </c>
      <c r="G112" s="92">
        <f>VLOOKUP(A112,'Data Vlaue (Cr)'!C107:CB336,78,0)</f>
        <v>3.4799999999999998E-2</v>
      </c>
      <c r="H112" s="91">
        <f>VLOOKUP($A112,'Data Vlaue (Cr)'!$C:$FB,91)</f>
        <v>1748</v>
      </c>
      <c r="I112" s="91">
        <f>VLOOKUP($A112,'Data Vlaue (Cr)'!$C:$FB,93)</f>
        <v>116</v>
      </c>
      <c r="J112" s="92">
        <f>VLOOKUP($A112,'Data Vlaue (Cr)'!$C:$FB,94)</f>
        <v>7.1199999999999999E-2</v>
      </c>
      <c r="K112" s="91">
        <f>VLOOKUP($A112,'Data Vlaue (Cr)'!$C:$FB,95)</f>
        <v>911</v>
      </c>
      <c r="L112" s="91">
        <f>VLOOKUP($A112,'Data Vlaue (Cr)'!$C:$FB,97)</f>
        <v>-9</v>
      </c>
      <c r="M112" s="92">
        <f>VLOOKUP($A112,'Data Vlaue (Cr)'!$C:$FB,98)</f>
        <v>-9.4000000000000004E-3</v>
      </c>
      <c r="N112" s="91">
        <f>VLOOKUP($A112,'Data Vlaue (Cr)'!$C:$FB,79)</f>
        <v>3037</v>
      </c>
      <c r="O112" s="92">
        <f>VLOOKUP($A112,'Data Vlaue (Cr)'!$C:$FB,82)</f>
        <v>-1.2200000000000001E-2</v>
      </c>
    </row>
    <row r="113" spans="1:15" x14ac:dyDescent="0.25">
      <c r="A113" s="97" t="str">
        <f>'Data Vlaue (Cr)'!C108</f>
        <v>INDUSTOWER</v>
      </c>
      <c r="B113" s="142">
        <f>VLOOKUP(A113,'Data Vlaue (Cr)'!C108:CW337,99,0)</f>
        <v>3496</v>
      </c>
      <c r="C113" s="90">
        <f>VLOOKUP(A113,'Data Vlaue (Cr)'!C108:CY337,101,0)</f>
        <v>30</v>
      </c>
      <c r="D113" s="139">
        <f>VLOOKUP(A113,'Data Vlaue (Cr)'!C108:CZ337,102,0)</f>
        <v>8.6E-3</v>
      </c>
      <c r="E113" s="91">
        <f>VLOOKUP($A113,'Data Vlaue (Cr)'!$C:$FB,75)</f>
        <v>2481</v>
      </c>
      <c r="F113" s="91">
        <f>VLOOKUP($A113,'Data Vlaue (Cr)'!$C:$FB,77)</f>
        <v>6</v>
      </c>
      <c r="G113" s="92">
        <f>VLOOKUP(A113,'Data Vlaue (Cr)'!C108:CB337,78,0)</f>
        <v>2.3E-3</v>
      </c>
      <c r="H113" s="91">
        <f>VLOOKUP($A113,'Data Vlaue (Cr)'!$C:$FB,91)</f>
        <v>643</v>
      </c>
      <c r="I113" s="91">
        <f>VLOOKUP($A113,'Data Vlaue (Cr)'!$C:$FB,93)</f>
        <v>11</v>
      </c>
      <c r="J113" s="92">
        <f>VLOOKUP($A113,'Data Vlaue (Cr)'!$C:$FB,94)</f>
        <v>1.7600000000000001E-2</v>
      </c>
      <c r="K113" s="91">
        <f>VLOOKUP($A113,'Data Vlaue (Cr)'!$C:$FB,95)</f>
        <v>373</v>
      </c>
      <c r="L113" s="91">
        <f>VLOOKUP($A113,'Data Vlaue (Cr)'!$C:$FB,97)</f>
        <v>13</v>
      </c>
      <c r="M113" s="92">
        <f>VLOOKUP($A113,'Data Vlaue (Cr)'!$C:$FB,98)</f>
        <v>3.5999999999999997E-2</v>
      </c>
      <c r="N113" s="91">
        <f>VLOOKUP($A113,'Data Vlaue (Cr)'!$C:$FB,79)</f>
        <v>2368</v>
      </c>
      <c r="O113" s="92">
        <f>VLOOKUP($A113,'Data Vlaue (Cr)'!$C:$FB,82)</f>
        <v>-7.9000000000000008E-3</v>
      </c>
    </row>
    <row r="114" spans="1:15" x14ac:dyDescent="0.25">
      <c r="A114" s="97" t="str">
        <f>'Data Vlaue (Cr)'!C109</f>
        <v>INFY</v>
      </c>
      <c r="B114" s="142">
        <f>VLOOKUP(A114,'Data Vlaue (Cr)'!C109:CW338,99,0)</f>
        <v>18912</v>
      </c>
      <c r="C114" s="90">
        <f>VLOOKUP(A114,'Data Vlaue (Cr)'!C109:CY338,101,0)</f>
        <v>893</v>
      </c>
      <c r="D114" s="139">
        <f>VLOOKUP(A114,'Data Vlaue (Cr)'!C109:CZ338,102,0)</f>
        <v>4.9599999999999998E-2</v>
      </c>
      <c r="E114" s="91">
        <f>VLOOKUP($A114,'Data Vlaue (Cr)'!$C:$FB,75)</f>
        <v>11980</v>
      </c>
      <c r="F114" s="91">
        <f>VLOOKUP($A114,'Data Vlaue (Cr)'!$C:$FB,77)</f>
        <v>331</v>
      </c>
      <c r="G114" s="92">
        <f>VLOOKUP(A114,'Data Vlaue (Cr)'!C109:CB338,78,0)</f>
        <v>2.8400000000000002E-2</v>
      </c>
      <c r="H114" s="91">
        <f>VLOOKUP($A114,'Data Vlaue (Cr)'!$C:$FB,91)</f>
        <v>4519</v>
      </c>
      <c r="I114" s="91">
        <f>VLOOKUP($A114,'Data Vlaue (Cr)'!$C:$FB,93)</f>
        <v>341</v>
      </c>
      <c r="J114" s="92">
        <f>VLOOKUP($A114,'Data Vlaue (Cr)'!$C:$FB,94)</f>
        <v>8.1699999999999995E-2</v>
      </c>
      <c r="K114" s="91">
        <f>VLOOKUP($A114,'Data Vlaue (Cr)'!$C:$FB,95)</f>
        <v>2413</v>
      </c>
      <c r="L114" s="91">
        <f>VLOOKUP($A114,'Data Vlaue (Cr)'!$C:$FB,97)</f>
        <v>221</v>
      </c>
      <c r="M114" s="92">
        <f>VLOOKUP($A114,'Data Vlaue (Cr)'!$C:$FB,98)</f>
        <v>0.1008</v>
      </c>
      <c r="N114" s="91">
        <f>VLOOKUP($A114,'Data Vlaue (Cr)'!$C:$FB,79)</f>
        <v>10731</v>
      </c>
      <c r="O114" s="92">
        <f>VLOOKUP($A114,'Data Vlaue (Cr)'!$C:$FB,82)</f>
        <v>2.0500000000000001E-2</v>
      </c>
    </row>
    <row r="115" spans="1:15" x14ac:dyDescent="0.25">
      <c r="A115" s="97" t="str">
        <f>'Data Vlaue (Cr)'!C110</f>
        <v>INOXWIND</v>
      </c>
      <c r="B115" s="142">
        <f>VLOOKUP(A115,'Data Vlaue (Cr)'!C110:CW339,99,0)</f>
        <v>1235</v>
      </c>
      <c r="C115" s="90">
        <f>VLOOKUP(A115,'Data Vlaue (Cr)'!C110:CY339,101,0)</f>
        <v>3</v>
      </c>
      <c r="D115" s="139">
        <f>VLOOKUP(A115,'Data Vlaue (Cr)'!C110:CZ339,102,0)</f>
        <v>2.3E-3</v>
      </c>
      <c r="E115" s="91">
        <f>VLOOKUP($A115,'Data Vlaue (Cr)'!$C:$FB,75)</f>
        <v>756</v>
      </c>
      <c r="F115" s="91">
        <f>VLOOKUP($A115,'Data Vlaue (Cr)'!$C:$FB,77)</f>
        <v>10</v>
      </c>
      <c r="G115" s="92">
        <f>VLOOKUP(A115,'Data Vlaue (Cr)'!C110:CB339,78,0)</f>
        <v>1.3899999999999999E-2</v>
      </c>
      <c r="H115" s="91">
        <f>VLOOKUP($A115,'Data Vlaue (Cr)'!$C:$FB,91)</f>
        <v>315</v>
      </c>
      <c r="I115" s="91">
        <f>VLOOKUP($A115,'Data Vlaue (Cr)'!$C:$FB,93)</f>
        <v>-18</v>
      </c>
      <c r="J115" s="92">
        <f>VLOOKUP($A115,'Data Vlaue (Cr)'!$C:$FB,94)</f>
        <v>-5.3699999999999998E-2</v>
      </c>
      <c r="K115" s="91">
        <f>VLOOKUP($A115,'Data Vlaue (Cr)'!$C:$FB,95)</f>
        <v>164</v>
      </c>
      <c r="L115" s="91">
        <f>VLOOKUP($A115,'Data Vlaue (Cr)'!$C:$FB,97)</f>
        <v>10</v>
      </c>
      <c r="M115" s="92">
        <f>VLOOKUP($A115,'Data Vlaue (Cr)'!$C:$FB,98)</f>
        <v>6.7599999999999993E-2</v>
      </c>
      <c r="N115" s="91">
        <f>VLOOKUP($A115,'Data Vlaue (Cr)'!$C:$FB,79)</f>
        <v>633</v>
      </c>
      <c r="O115" s="92">
        <f>VLOOKUP($A115,'Data Vlaue (Cr)'!$C:$FB,82)</f>
        <v>3.5999999999999999E-3</v>
      </c>
    </row>
    <row r="116" spans="1:15" x14ac:dyDescent="0.25">
      <c r="A116" s="97" t="str">
        <f>'Data Vlaue (Cr)'!C111</f>
        <v>IOC</v>
      </c>
      <c r="B116" s="142">
        <f>VLOOKUP(A116,'Data Vlaue (Cr)'!C111:CW340,99,0)</f>
        <v>3143</v>
      </c>
      <c r="C116" s="90">
        <f>VLOOKUP(A116,'Data Vlaue (Cr)'!C111:CY340,101,0)</f>
        <v>-3</v>
      </c>
      <c r="D116" s="139">
        <f>VLOOKUP(A116,'Data Vlaue (Cr)'!C111:CZ340,102,0)</f>
        <v>-8.9999999999999998E-4</v>
      </c>
      <c r="E116" s="91">
        <f>VLOOKUP($A116,'Data Vlaue (Cr)'!$C:$FB,75)</f>
        <v>1411</v>
      </c>
      <c r="F116" s="91">
        <f>VLOOKUP($A116,'Data Vlaue (Cr)'!$C:$FB,77)</f>
        <v>-6</v>
      </c>
      <c r="G116" s="92">
        <f>VLOOKUP(A116,'Data Vlaue (Cr)'!C111:CB340,78,0)</f>
        <v>-4.1999999999999997E-3</v>
      </c>
      <c r="H116" s="91">
        <f>VLOOKUP($A116,'Data Vlaue (Cr)'!$C:$FB,91)</f>
        <v>1025</v>
      </c>
      <c r="I116" s="91">
        <f>VLOOKUP($A116,'Data Vlaue (Cr)'!$C:$FB,93)</f>
        <v>-3</v>
      </c>
      <c r="J116" s="92">
        <f>VLOOKUP($A116,'Data Vlaue (Cr)'!$C:$FB,94)</f>
        <v>-3.2000000000000002E-3</v>
      </c>
      <c r="K116" s="91">
        <f>VLOOKUP($A116,'Data Vlaue (Cr)'!$C:$FB,95)</f>
        <v>708</v>
      </c>
      <c r="L116" s="91">
        <f>VLOOKUP($A116,'Data Vlaue (Cr)'!$C:$FB,97)</f>
        <v>6</v>
      </c>
      <c r="M116" s="92">
        <f>VLOOKUP($A116,'Data Vlaue (Cr)'!$C:$FB,98)</f>
        <v>9.1000000000000004E-3</v>
      </c>
      <c r="N116" s="91">
        <f>VLOOKUP($A116,'Data Vlaue (Cr)'!$C:$FB,79)</f>
        <v>1243</v>
      </c>
      <c r="O116" s="92">
        <f>VLOOKUP($A116,'Data Vlaue (Cr)'!$C:$FB,82)</f>
        <v>-2.4500000000000001E-2</v>
      </c>
    </row>
    <row r="117" spans="1:15" x14ac:dyDescent="0.25">
      <c r="A117" s="97" t="str">
        <f>'Data Vlaue (Cr)'!C112</f>
        <v>IRB</v>
      </c>
      <c r="B117" s="142">
        <f>VLOOKUP(A117,'Data Vlaue (Cr)'!C112:CW341,99,0)</f>
        <v>710</v>
      </c>
      <c r="C117" s="90">
        <f>VLOOKUP(A117,'Data Vlaue (Cr)'!C112:CY341,101,0)</f>
        <v>-21</v>
      </c>
      <c r="D117" s="139">
        <f>VLOOKUP(A117,'Data Vlaue (Cr)'!C112:CZ341,102,0)</f>
        <v>-2.92E-2</v>
      </c>
      <c r="E117" s="91">
        <f>VLOOKUP($A117,'Data Vlaue (Cr)'!$C:$FB,75)</f>
        <v>478</v>
      </c>
      <c r="F117" s="91">
        <f>VLOOKUP($A117,'Data Vlaue (Cr)'!$C:$FB,77)</f>
        <v>5</v>
      </c>
      <c r="G117" s="92">
        <f>VLOOKUP(A117,'Data Vlaue (Cr)'!C112:CB341,78,0)</f>
        <v>0.01</v>
      </c>
      <c r="H117" s="91">
        <f>VLOOKUP($A117,'Data Vlaue (Cr)'!$C:$FB,91)</f>
        <v>162</v>
      </c>
      <c r="I117" s="91">
        <f>VLOOKUP($A117,'Data Vlaue (Cr)'!$C:$FB,93)</f>
        <v>-26</v>
      </c>
      <c r="J117" s="92">
        <f>VLOOKUP($A117,'Data Vlaue (Cr)'!$C:$FB,94)</f>
        <v>-0.1404</v>
      </c>
      <c r="K117" s="91">
        <f>VLOOKUP($A117,'Data Vlaue (Cr)'!$C:$FB,95)</f>
        <v>70</v>
      </c>
      <c r="L117" s="91">
        <f>VLOOKUP($A117,'Data Vlaue (Cr)'!$C:$FB,97)</f>
        <v>0</v>
      </c>
      <c r="M117" s="92">
        <f>VLOOKUP($A117,'Data Vlaue (Cr)'!$C:$FB,98)</f>
        <v>5.7000000000000002E-3</v>
      </c>
      <c r="N117" s="91">
        <f>VLOOKUP($A117,'Data Vlaue (Cr)'!$C:$FB,79)</f>
        <v>426</v>
      </c>
      <c r="O117" s="92">
        <f>VLOOKUP($A117,'Data Vlaue (Cr)'!$C:$FB,82)</f>
        <v>5.1999999999999998E-3</v>
      </c>
    </row>
    <row r="118" spans="1:15" x14ac:dyDescent="0.25">
      <c r="A118" s="97" t="str">
        <f>'Data Vlaue (Cr)'!C113</f>
        <v>IRCTC</v>
      </c>
      <c r="B118" s="142">
        <f>VLOOKUP(A118,'Data Vlaue (Cr)'!C113:CW342,99,0)</f>
        <v>2191</v>
      </c>
      <c r="C118" s="90">
        <f>VLOOKUP(A118,'Data Vlaue (Cr)'!C113:CY342,101,0)</f>
        <v>66</v>
      </c>
      <c r="D118" s="139">
        <f>VLOOKUP(A118,'Data Vlaue (Cr)'!C113:CZ342,102,0)</f>
        <v>3.1E-2</v>
      </c>
      <c r="E118" s="91">
        <f>VLOOKUP($A118,'Data Vlaue (Cr)'!$C:$FB,75)</f>
        <v>1120</v>
      </c>
      <c r="F118" s="91">
        <f>VLOOKUP($A118,'Data Vlaue (Cr)'!$C:$FB,77)</f>
        <v>26</v>
      </c>
      <c r="G118" s="92">
        <f>VLOOKUP(A118,'Data Vlaue (Cr)'!C113:CB342,78,0)</f>
        <v>2.3599999999999999E-2</v>
      </c>
      <c r="H118" s="91">
        <f>VLOOKUP($A118,'Data Vlaue (Cr)'!$C:$FB,91)</f>
        <v>631</v>
      </c>
      <c r="I118" s="91">
        <f>VLOOKUP($A118,'Data Vlaue (Cr)'!$C:$FB,93)</f>
        <v>18</v>
      </c>
      <c r="J118" s="92">
        <f>VLOOKUP($A118,'Data Vlaue (Cr)'!$C:$FB,94)</f>
        <v>2.9100000000000001E-2</v>
      </c>
      <c r="K118" s="91">
        <f>VLOOKUP($A118,'Data Vlaue (Cr)'!$C:$FB,95)</f>
        <v>439</v>
      </c>
      <c r="L118" s="91">
        <f>VLOOKUP($A118,'Data Vlaue (Cr)'!$C:$FB,97)</f>
        <v>22</v>
      </c>
      <c r="M118" s="92">
        <f>VLOOKUP($A118,'Data Vlaue (Cr)'!$C:$FB,98)</f>
        <v>5.33E-2</v>
      </c>
      <c r="N118" s="91">
        <f>VLOOKUP($A118,'Data Vlaue (Cr)'!$C:$FB,79)</f>
        <v>930</v>
      </c>
      <c r="O118" s="92">
        <f>VLOOKUP($A118,'Data Vlaue (Cr)'!$C:$FB,82)</f>
        <v>-1.2699999999999999E-2</v>
      </c>
    </row>
    <row r="119" spans="1:15" x14ac:dyDescent="0.25">
      <c r="A119" s="97" t="str">
        <f>'Data Vlaue (Cr)'!C114</f>
        <v>IREDA</v>
      </c>
      <c r="B119" s="142">
        <f>VLOOKUP(A119,'Data Vlaue (Cr)'!C114:CW343,99,0)</f>
        <v>1600</v>
      </c>
      <c r="C119" s="90">
        <f>VLOOKUP(A119,'Data Vlaue (Cr)'!C114:CY343,101,0)</f>
        <v>14</v>
      </c>
      <c r="D119" s="139">
        <f>VLOOKUP(A119,'Data Vlaue (Cr)'!C114:CZ343,102,0)</f>
        <v>8.8000000000000005E-3</v>
      </c>
      <c r="E119" s="91">
        <f>VLOOKUP($A119,'Data Vlaue (Cr)'!$C:$FB,75)</f>
        <v>755</v>
      </c>
      <c r="F119" s="91">
        <f>VLOOKUP($A119,'Data Vlaue (Cr)'!$C:$FB,77)</f>
        <v>23</v>
      </c>
      <c r="G119" s="92">
        <f>VLOOKUP(A119,'Data Vlaue (Cr)'!C114:CB343,78,0)</f>
        <v>3.1199999999999999E-2</v>
      </c>
      <c r="H119" s="91">
        <f>VLOOKUP($A119,'Data Vlaue (Cr)'!$C:$FB,91)</f>
        <v>571</v>
      </c>
      <c r="I119" s="91">
        <f>VLOOKUP($A119,'Data Vlaue (Cr)'!$C:$FB,93)</f>
        <v>-11</v>
      </c>
      <c r="J119" s="92">
        <f>VLOOKUP($A119,'Data Vlaue (Cr)'!$C:$FB,94)</f>
        <v>-1.9400000000000001E-2</v>
      </c>
      <c r="K119" s="91">
        <f>VLOOKUP($A119,'Data Vlaue (Cr)'!$C:$FB,95)</f>
        <v>274</v>
      </c>
      <c r="L119" s="91">
        <f>VLOOKUP($A119,'Data Vlaue (Cr)'!$C:$FB,97)</f>
        <v>2</v>
      </c>
      <c r="M119" s="92">
        <f>VLOOKUP($A119,'Data Vlaue (Cr)'!$C:$FB,98)</f>
        <v>9.1000000000000004E-3</v>
      </c>
      <c r="N119" s="91">
        <f>VLOOKUP($A119,'Data Vlaue (Cr)'!$C:$FB,79)</f>
        <v>573</v>
      </c>
      <c r="O119" s="92">
        <f>VLOOKUP($A119,'Data Vlaue (Cr)'!$C:$FB,82)</f>
        <v>1.14E-2</v>
      </c>
    </row>
    <row r="120" spans="1:15" x14ac:dyDescent="0.25">
      <c r="A120" s="97" t="str">
        <f>'Data Vlaue (Cr)'!C115</f>
        <v>IRFC</v>
      </c>
      <c r="B120" s="142">
        <f>VLOOKUP(A120,'Data Vlaue (Cr)'!C115:CW344,99,0)</f>
        <v>1614</v>
      </c>
      <c r="C120" s="90">
        <f>VLOOKUP(A120,'Data Vlaue (Cr)'!C115:CY344,101,0)</f>
        <v>300</v>
      </c>
      <c r="D120" s="139">
        <f>VLOOKUP(A120,'Data Vlaue (Cr)'!C115:CZ344,102,0)</f>
        <v>0.22800000000000001</v>
      </c>
      <c r="E120" s="91">
        <f>VLOOKUP($A120,'Data Vlaue (Cr)'!$C:$FB,75)</f>
        <v>712</v>
      </c>
      <c r="F120" s="91">
        <f>VLOOKUP($A120,'Data Vlaue (Cr)'!$C:$FB,77)</f>
        <v>83</v>
      </c>
      <c r="G120" s="92">
        <f>VLOOKUP(A120,'Data Vlaue (Cr)'!C115:CB344,78,0)</f>
        <v>0.13250000000000001</v>
      </c>
      <c r="H120" s="91">
        <f>VLOOKUP($A120,'Data Vlaue (Cr)'!$C:$FB,91)</f>
        <v>627</v>
      </c>
      <c r="I120" s="91">
        <f>VLOOKUP($A120,'Data Vlaue (Cr)'!$C:$FB,93)</f>
        <v>148</v>
      </c>
      <c r="J120" s="92">
        <f>VLOOKUP($A120,'Data Vlaue (Cr)'!$C:$FB,94)</f>
        <v>0.30819999999999997</v>
      </c>
      <c r="K120" s="91">
        <f>VLOOKUP($A120,'Data Vlaue (Cr)'!$C:$FB,95)</f>
        <v>276</v>
      </c>
      <c r="L120" s="91">
        <f>VLOOKUP($A120,'Data Vlaue (Cr)'!$C:$FB,97)</f>
        <v>69</v>
      </c>
      <c r="M120" s="92">
        <f>VLOOKUP($A120,'Data Vlaue (Cr)'!$C:$FB,98)</f>
        <v>0.33239999999999997</v>
      </c>
      <c r="N120" s="91">
        <f>VLOOKUP($A120,'Data Vlaue (Cr)'!$C:$FB,79)</f>
        <v>565</v>
      </c>
      <c r="O120" s="92">
        <f>VLOOKUP($A120,'Data Vlaue (Cr)'!$C:$FB,82)</f>
        <v>8.8200000000000001E-2</v>
      </c>
    </row>
    <row r="121" spans="1:15" x14ac:dyDescent="0.25">
      <c r="A121" s="97" t="str">
        <f>'Data Vlaue (Cr)'!C116</f>
        <v>ITC</v>
      </c>
      <c r="B121" s="142">
        <f>VLOOKUP(A121,'Data Vlaue (Cr)'!C116:CW345,99,0)</f>
        <v>8235</v>
      </c>
      <c r="C121" s="90">
        <f>VLOOKUP(A121,'Data Vlaue (Cr)'!C116:CY345,101,0)</f>
        <v>93</v>
      </c>
      <c r="D121" s="139">
        <f>VLOOKUP(A121,'Data Vlaue (Cr)'!C116:CZ345,102,0)</f>
        <v>1.14E-2</v>
      </c>
      <c r="E121" s="91">
        <f>VLOOKUP($A121,'Data Vlaue (Cr)'!$C:$FB,75)</f>
        <v>4742</v>
      </c>
      <c r="F121" s="91">
        <f>VLOOKUP($A121,'Data Vlaue (Cr)'!$C:$FB,77)</f>
        <v>6</v>
      </c>
      <c r="G121" s="92">
        <f>VLOOKUP(A121,'Data Vlaue (Cr)'!C116:CB345,78,0)</f>
        <v>1.2999999999999999E-3</v>
      </c>
      <c r="H121" s="91">
        <f>VLOOKUP($A121,'Data Vlaue (Cr)'!$C:$FB,91)</f>
        <v>2218</v>
      </c>
      <c r="I121" s="91">
        <f>VLOOKUP($A121,'Data Vlaue (Cr)'!$C:$FB,93)</f>
        <v>51</v>
      </c>
      <c r="J121" s="92">
        <f>VLOOKUP($A121,'Data Vlaue (Cr)'!$C:$FB,94)</f>
        <v>2.3400000000000001E-2</v>
      </c>
      <c r="K121" s="91">
        <f>VLOOKUP($A121,'Data Vlaue (Cr)'!$C:$FB,95)</f>
        <v>1276</v>
      </c>
      <c r="L121" s="91">
        <f>VLOOKUP($A121,'Data Vlaue (Cr)'!$C:$FB,97)</f>
        <v>36</v>
      </c>
      <c r="M121" s="92">
        <f>VLOOKUP($A121,'Data Vlaue (Cr)'!$C:$FB,98)</f>
        <v>2.9000000000000001E-2</v>
      </c>
      <c r="N121" s="91">
        <f>VLOOKUP($A121,'Data Vlaue (Cr)'!$C:$FB,79)</f>
        <v>4002</v>
      </c>
      <c r="O121" s="92">
        <f>VLOOKUP($A121,'Data Vlaue (Cr)'!$C:$FB,82)</f>
        <v>-3.49E-2</v>
      </c>
    </row>
    <row r="122" spans="1:15" x14ac:dyDescent="0.25">
      <c r="A122" s="97" t="str">
        <f>'Data Vlaue (Cr)'!C117</f>
        <v>JINDALSTEL</v>
      </c>
      <c r="B122" s="142">
        <f>VLOOKUP(A122,'Data Vlaue (Cr)'!C117:CW346,99,0)</f>
        <v>2523</v>
      </c>
      <c r="C122" s="90">
        <f>VLOOKUP(A122,'Data Vlaue (Cr)'!C117:CY346,101,0)</f>
        <v>-33</v>
      </c>
      <c r="D122" s="139">
        <f>VLOOKUP(A122,'Data Vlaue (Cr)'!C117:CZ346,102,0)</f>
        <v>-1.3100000000000001E-2</v>
      </c>
      <c r="E122" s="91">
        <f>VLOOKUP($A122,'Data Vlaue (Cr)'!$C:$FB,75)</f>
        <v>1666</v>
      </c>
      <c r="F122" s="91">
        <f>VLOOKUP($A122,'Data Vlaue (Cr)'!$C:$FB,77)</f>
        <v>-49</v>
      </c>
      <c r="G122" s="92">
        <f>VLOOKUP(A122,'Data Vlaue (Cr)'!C117:CB346,78,0)</f>
        <v>-2.8500000000000001E-2</v>
      </c>
      <c r="H122" s="91">
        <f>VLOOKUP($A122,'Data Vlaue (Cr)'!$C:$FB,91)</f>
        <v>469</v>
      </c>
      <c r="I122" s="91">
        <f>VLOOKUP($A122,'Data Vlaue (Cr)'!$C:$FB,93)</f>
        <v>4</v>
      </c>
      <c r="J122" s="92">
        <f>VLOOKUP($A122,'Data Vlaue (Cr)'!$C:$FB,94)</f>
        <v>9.1000000000000004E-3</v>
      </c>
      <c r="K122" s="91">
        <f>VLOOKUP($A122,'Data Vlaue (Cr)'!$C:$FB,95)</f>
        <v>388</v>
      </c>
      <c r="L122" s="91">
        <f>VLOOKUP($A122,'Data Vlaue (Cr)'!$C:$FB,97)</f>
        <v>11</v>
      </c>
      <c r="M122" s="92">
        <f>VLOOKUP($A122,'Data Vlaue (Cr)'!$C:$FB,98)</f>
        <v>2.98E-2</v>
      </c>
      <c r="N122" s="91">
        <f>VLOOKUP($A122,'Data Vlaue (Cr)'!$C:$FB,79)</f>
        <v>1600</v>
      </c>
      <c r="O122" s="92">
        <f>VLOOKUP($A122,'Data Vlaue (Cr)'!$C:$FB,82)</f>
        <v>-3.3000000000000002E-2</v>
      </c>
    </row>
    <row r="123" spans="1:15" x14ac:dyDescent="0.25">
      <c r="A123" s="97" t="str">
        <f>'Data Vlaue (Cr)'!C118</f>
        <v>JIOFIN</v>
      </c>
      <c r="B123" s="142">
        <f>VLOOKUP(A123,'Data Vlaue (Cr)'!C118:CW347,99,0)</f>
        <v>8285</v>
      </c>
      <c r="C123" s="90">
        <f>VLOOKUP(A123,'Data Vlaue (Cr)'!C118:CY347,101,0)</f>
        <v>305</v>
      </c>
      <c r="D123" s="139">
        <f>VLOOKUP(A123,'Data Vlaue (Cr)'!C118:CZ347,102,0)</f>
        <v>3.8199999999999998E-2</v>
      </c>
      <c r="E123" s="91">
        <f>VLOOKUP($A123,'Data Vlaue (Cr)'!$C:$FB,75)</f>
        <v>3682</v>
      </c>
      <c r="F123" s="91">
        <f>VLOOKUP($A123,'Data Vlaue (Cr)'!$C:$FB,77)</f>
        <v>45</v>
      </c>
      <c r="G123" s="92">
        <f>VLOOKUP(A123,'Data Vlaue (Cr)'!C118:CB347,78,0)</f>
        <v>1.23E-2</v>
      </c>
      <c r="H123" s="91">
        <f>VLOOKUP($A123,'Data Vlaue (Cr)'!$C:$FB,91)</f>
        <v>3038</v>
      </c>
      <c r="I123" s="91">
        <f>VLOOKUP($A123,'Data Vlaue (Cr)'!$C:$FB,93)</f>
        <v>197</v>
      </c>
      <c r="J123" s="92">
        <f>VLOOKUP($A123,'Data Vlaue (Cr)'!$C:$FB,94)</f>
        <v>6.93E-2</v>
      </c>
      <c r="K123" s="91">
        <f>VLOOKUP($A123,'Data Vlaue (Cr)'!$C:$FB,95)</f>
        <v>1565</v>
      </c>
      <c r="L123" s="91">
        <f>VLOOKUP($A123,'Data Vlaue (Cr)'!$C:$FB,97)</f>
        <v>63</v>
      </c>
      <c r="M123" s="92">
        <f>VLOOKUP($A123,'Data Vlaue (Cr)'!$C:$FB,98)</f>
        <v>4.2299999999999997E-2</v>
      </c>
      <c r="N123" s="91">
        <f>VLOOKUP($A123,'Data Vlaue (Cr)'!$C:$FB,79)</f>
        <v>2471</v>
      </c>
      <c r="O123" s="92">
        <f>VLOOKUP($A123,'Data Vlaue (Cr)'!$C:$FB,82)</f>
        <v>-2.8400000000000002E-2</v>
      </c>
    </row>
    <row r="124" spans="1:15" x14ac:dyDescent="0.25">
      <c r="A124" s="97" t="str">
        <f>'Data Vlaue (Cr)'!C119</f>
        <v>JSL</v>
      </c>
      <c r="B124" s="142">
        <f>VLOOKUP(A124,'Data Vlaue (Cr)'!C119:CW348,99,0)</f>
        <v>716</v>
      </c>
      <c r="C124" s="90">
        <f>VLOOKUP(A124,'Data Vlaue (Cr)'!C119:CY348,101,0)</f>
        <v>-4</v>
      </c>
      <c r="D124" s="139">
        <f>VLOOKUP(A124,'Data Vlaue (Cr)'!C119:CZ348,102,0)</f>
        <v>-5.7000000000000002E-3</v>
      </c>
      <c r="E124" s="91">
        <f>VLOOKUP($A124,'Data Vlaue (Cr)'!$C:$FB,75)</f>
        <v>507</v>
      </c>
      <c r="F124" s="91">
        <f>VLOOKUP($A124,'Data Vlaue (Cr)'!$C:$FB,77)</f>
        <v>2</v>
      </c>
      <c r="G124" s="92">
        <f>VLOOKUP(A124,'Data Vlaue (Cr)'!C119:CB348,78,0)</f>
        <v>3.7000000000000002E-3</v>
      </c>
      <c r="H124" s="91">
        <f>VLOOKUP($A124,'Data Vlaue (Cr)'!$C:$FB,91)</f>
        <v>133</v>
      </c>
      <c r="I124" s="91">
        <f>VLOOKUP($A124,'Data Vlaue (Cr)'!$C:$FB,93)</f>
        <v>-1</v>
      </c>
      <c r="J124" s="92">
        <f>VLOOKUP($A124,'Data Vlaue (Cr)'!$C:$FB,94)</f>
        <v>-9.1999999999999998E-3</v>
      </c>
      <c r="K124" s="91">
        <f>VLOOKUP($A124,'Data Vlaue (Cr)'!$C:$FB,95)</f>
        <v>77</v>
      </c>
      <c r="L124" s="91">
        <f>VLOOKUP($A124,'Data Vlaue (Cr)'!$C:$FB,97)</f>
        <v>-5</v>
      </c>
      <c r="M124" s="92">
        <f>VLOOKUP($A124,'Data Vlaue (Cr)'!$C:$FB,98)</f>
        <v>-5.8500000000000003E-2</v>
      </c>
      <c r="N124" s="91">
        <f>VLOOKUP($A124,'Data Vlaue (Cr)'!$C:$FB,79)</f>
        <v>435</v>
      </c>
      <c r="O124" s="92">
        <f>VLOOKUP($A124,'Data Vlaue (Cr)'!$C:$FB,82)</f>
        <v>-6.0000000000000001E-3</v>
      </c>
    </row>
    <row r="125" spans="1:15" x14ac:dyDescent="0.25">
      <c r="A125" s="97" t="str">
        <f>'Data Vlaue (Cr)'!C120</f>
        <v>JSWENERGY</v>
      </c>
      <c r="B125" s="142">
        <f>VLOOKUP(A125,'Data Vlaue (Cr)'!C120:CW349,99,0)</f>
        <v>3387</v>
      </c>
      <c r="C125" s="90">
        <f>VLOOKUP(A125,'Data Vlaue (Cr)'!C120:CY349,101,0)</f>
        <v>20</v>
      </c>
      <c r="D125" s="139">
        <f>VLOOKUP(A125,'Data Vlaue (Cr)'!C120:CZ349,102,0)</f>
        <v>5.7999999999999996E-3</v>
      </c>
      <c r="E125" s="91">
        <f>VLOOKUP($A125,'Data Vlaue (Cr)'!$C:$FB,75)</f>
        <v>2484</v>
      </c>
      <c r="F125" s="91">
        <f>VLOOKUP($A125,'Data Vlaue (Cr)'!$C:$FB,77)</f>
        <v>13</v>
      </c>
      <c r="G125" s="92">
        <f>VLOOKUP(A125,'Data Vlaue (Cr)'!C120:CB349,78,0)</f>
        <v>5.1999999999999998E-3</v>
      </c>
      <c r="H125" s="91">
        <f>VLOOKUP($A125,'Data Vlaue (Cr)'!$C:$FB,91)</f>
        <v>599</v>
      </c>
      <c r="I125" s="91">
        <f>VLOOKUP($A125,'Data Vlaue (Cr)'!$C:$FB,93)</f>
        <v>10</v>
      </c>
      <c r="J125" s="92">
        <f>VLOOKUP($A125,'Data Vlaue (Cr)'!$C:$FB,94)</f>
        <v>1.6400000000000001E-2</v>
      </c>
      <c r="K125" s="91">
        <f>VLOOKUP($A125,'Data Vlaue (Cr)'!$C:$FB,95)</f>
        <v>304</v>
      </c>
      <c r="L125" s="91">
        <f>VLOOKUP($A125,'Data Vlaue (Cr)'!$C:$FB,97)</f>
        <v>-3</v>
      </c>
      <c r="M125" s="92">
        <f>VLOOKUP($A125,'Data Vlaue (Cr)'!$C:$FB,98)</f>
        <v>-0.01</v>
      </c>
      <c r="N125" s="91">
        <f>VLOOKUP($A125,'Data Vlaue (Cr)'!$C:$FB,79)</f>
        <v>2339</v>
      </c>
      <c r="O125" s="92">
        <f>VLOOKUP($A125,'Data Vlaue (Cr)'!$C:$FB,82)</f>
        <v>-4.7999999999999996E-3</v>
      </c>
    </row>
    <row r="126" spans="1:15" x14ac:dyDescent="0.25">
      <c r="A126" s="97" t="str">
        <f>'Data Vlaue (Cr)'!C121</f>
        <v>JSWSTEEL</v>
      </c>
      <c r="B126" s="142">
        <f>VLOOKUP(A126,'Data Vlaue (Cr)'!C121:CW350,99,0)</f>
        <v>5617</v>
      </c>
      <c r="C126" s="90">
        <f>VLOOKUP(A126,'Data Vlaue (Cr)'!C121:CY350,101,0)</f>
        <v>-177</v>
      </c>
      <c r="D126" s="139">
        <f>VLOOKUP(A126,'Data Vlaue (Cr)'!C121:CZ350,102,0)</f>
        <v>-3.0499999999999999E-2</v>
      </c>
      <c r="E126" s="91">
        <f>VLOOKUP($A126,'Data Vlaue (Cr)'!$C:$FB,75)</f>
        <v>4017</v>
      </c>
      <c r="F126" s="91">
        <f>VLOOKUP($A126,'Data Vlaue (Cr)'!$C:$FB,77)</f>
        <v>-14</v>
      </c>
      <c r="G126" s="92">
        <f>VLOOKUP(A126,'Data Vlaue (Cr)'!C121:CB350,78,0)</f>
        <v>-3.3999999999999998E-3</v>
      </c>
      <c r="H126" s="91">
        <f>VLOOKUP($A126,'Data Vlaue (Cr)'!$C:$FB,91)</f>
        <v>974</v>
      </c>
      <c r="I126" s="91">
        <f>VLOOKUP($A126,'Data Vlaue (Cr)'!$C:$FB,93)</f>
        <v>-117</v>
      </c>
      <c r="J126" s="92">
        <f>VLOOKUP($A126,'Data Vlaue (Cr)'!$C:$FB,94)</f>
        <v>-0.1071</v>
      </c>
      <c r="K126" s="91">
        <f>VLOOKUP($A126,'Data Vlaue (Cr)'!$C:$FB,95)</f>
        <v>626</v>
      </c>
      <c r="L126" s="91">
        <f>VLOOKUP($A126,'Data Vlaue (Cr)'!$C:$FB,97)</f>
        <v>-46</v>
      </c>
      <c r="M126" s="92">
        <f>VLOOKUP($A126,'Data Vlaue (Cr)'!$C:$FB,98)</f>
        <v>-6.8900000000000003E-2</v>
      </c>
      <c r="N126" s="91">
        <f>VLOOKUP($A126,'Data Vlaue (Cr)'!$C:$FB,79)</f>
        <v>3857</v>
      </c>
      <c r="O126" s="92">
        <f>VLOOKUP($A126,'Data Vlaue (Cr)'!$C:$FB,82)</f>
        <v>-6.4000000000000003E-3</v>
      </c>
    </row>
    <row r="127" spans="1:15" x14ac:dyDescent="0.25">
      <c r="A127" s="97" t="str">
        <f>'Data Vlaue (Cr)'!C122</f>
        <v>JUBLFOOD</v>
      </c>
      <c r="B127" s="142">
        <f>VLOOKUP(A127,'Data Vlaue (Cr)'!C122:CW351,99,0)</f>
        <v>2262</v>
      </c>
      <c r="C127" s="90">
        <f>VLOOKUP(A127,'Data Vlaue (Cr)'!C122:CY351,101,0)</f>
        <v>28</v>
      </c>
      <c r="D127" s="139">
        <f>VLOOKUP(A127,'Data Vlaue (Cr)'!C122:CZ351,102,0)</f>
        <v>1.2500000000000001E-2</v>
      </c>
      <c r="E127" s="91">
        <f>VLOOKUP($A127,'Data Vlaue (Cr)'!$C:$FB,75)</f>
        <v>1455</v>
      </c>
      <c r="F127" s="91">
        <f>VLOOKUP($A127,'Data Vlaue (Cr)'!$C:$FB,77)</f>
        <v>-2</v>
      </c>
      <c r="G127" s="92">
        <f>VLOOKUP(A127,'Data Vlaue (Cr)'!C122:CB351,78,0)</f>
        <v>-1.4E-3</v>
      </c>
      <c r="H127" s="91">
        <f>VLOOKUP($A127,'Data Vlaue (Cr)'!$C:$FB,91)</f>
        <v>574</v>
      </c>
      <c r="I127" s="91">
        <f>VLOOKUP($A127,'Data Vlaue (Cr)'!$C:$FB,93)</f>
        <v>27</v>
      </c>
      <c r="J127" s="92">
        <f>VLOOKUP($A127,'Data Vlaue (Cr)'!$C:$FB,94)</f>
        <v>4.9700000000000001E-2</v>
      </c>
      <c r="K127" s="91">
        <f>VLOOKUP($A127,'Data Vlaue (Cr)'!$C:$FB,95)</f>
        <v>233</v>
      </c>
      <c r="L127" s="91">
        <f>VLOOKUP($A127,'Data Vlaue (Cr)'!$C:$FB,97)</f>
        <v>3</v>
      </c>
      <c r="M127" s="92">
        <f>VLOOKUP($A127,'Data Vlaue (Cr)'!$C:$FB,98)</f>
        <v>1.26E-2</v>
      </c>
      <c r="N127" s="91">
        <f>VLOOKUP($A127,'Data Vlaue (Cr)'!$C:$FB,79)</f>
        <v>1382</v>
      </c>
      <c r="O127" s="92">
        <f>VLOOKUP($A127,'Data Vlaue (Cr)'!$C:$FB,82)</f>
        <v>-1.47E-2</v>
      </c>
    </row>
    <row r="128" spans="1:15" x14ac:dyDescent="0.25">
      <c r="A128" s="97" t="str">
        <f>'Data Vlaue (Cr)'!C123</f>
        <v>KALYANKJIL</v>
      </c>
      <c r="B128" s="142">
        <f>VLOOKUP(A128,'Data Vlaue (Cr)'!C123:CW352,99,0)</f>
        <v>1905</v>
      </c>
      <c r="C128" s="90">
        <f>VLOOKUP(A128,'Data Vlaue (Cr)'!C123:CY352,101,0)</f>
        <v>-36</v>
      </c>
      <c r="D128" s="139">
        <f>VLOOKUP(A128,'Data Vlaue (Cr)'!C123:CZ352,102,0)</f>
        <v>-1.8700000000000001E-2</v>
      </c>
      <c r="E128" s="91">
        <f>VLOOKUP($A128,'Data Vlaue (Cr)'!$C:$FB,75)</f>
        <v>1313</v>
      </c>
      <c r="F128" s="91">
        <f>VLOOKUP($A128,'Data Vlaue (Cr)'!$C:$FB,77)</f>
        <v>-7</v>
      </c>
      <c r="G128" s="92">
        <f>VLOOKUP(A128,'Data Vlaue (Cr)'!C123:CB352,78,0)</f>
        <v>-5.1999999999999998E-3</v>
      </c>
      <c r="H128" s="91">
        <f>VLOOKUP($A128,'Data Vlaue (Cr)'!$C:$FB,91)</f>
        <v>355</v>
      </c>
      <c r="I128" s="91">
        <f>VLOOKUP($A128,'Data Vlaue (Cr)'!$C:$FB,93)</f>
        <v>-22</v>
      </c>
      <c r="J128" s="92">
        <f>VLOOKUP($A128,'Data Vlaue (Cr)'!$C:$FB,94)</f>
        <v>-5.9499999999999997E-2</v>
      </c>
      <c r="K128" s="91">
        <f>VLOOKUP($A128,'Data Vlaue (Cr)'!$C:$FB,95)</f>
        <v>237</v>
      </c>
      <c r="L128" s="91">
        <f>VLOOKUP($A128,'Data Vlaue (Cr)'!$C:$FB,97)</f>
        <v>-7</v>
      </c>
      <c r="M128" s="92">
        <f>VLOOKUP($A128,'Data Vlaue (Cr)'!$C:$FB,98)</f>
        <v>-2.86E-2</v>
      </c>
      <c r="N128" s="91">
        <f>VLOOKUP($A128,'Data Vlaue (Cr)'!$C:$FB,79)</f>
        <v>1213</v>
      </c>
      <c r="O128" s="92">
        <f>VLOOKUP($A128,'Data Vlaue (Cr)'!$C:$FB,82)</f>
        <v>-8.2000000000000007E-3</v>
      </c>
    </row>
    <row r="129" spans="1:15" x14ac:dyDescent="0.25">
      <c r="A129" s="97" t="str">
        <f>'Data Vlaue (Cr)'!C124</f>
        <v>KAYNES</v>
      </c>
      <c r="B129" s="142">
        <f>VLOOKUP(A129,'Data Vlaue (Cr)'!C124:CW353,99,0)</f>
        <v>852</v>
      </c>
      <c r="C129" s="90">
        <f>VLOOKUP(A129,'Data Vlaue (Cr)'!C124:CY353,101,0)</f>
        <v>8</v>
      </c>
      <c r="D129" s="139">
        <f>VLOOKUP(A129,'Data Vlaue (Cr)'!C124:CZ353,102,0)</f>
        <v>9.2999999999999992E-3</v>
      </c>
      <c r="E129" s="91">
        <f>VLOOKUP($A129,'Data Vlaue (Cr)'!$C:$FB,75)</f>
        <v>362</v>
      </c>
      <c r="F129" s="91">
        <f>VLOOKUP($A129,'Data Vlaue (Cr)'!$C:$FB,77)</f>
        <v>2</v>
      </c>
      <c r="G129" s="92">
        <f>VLOOKUP(A129,'Data Vlaue (Cr)'!C124:CB353,78,0)</f>
        <v>5.5999999999999999E-3</v>
      </c>
      <c r="H129" s="91">
        <f>VLOOKUP($A129,'Data Vlaue (Cr)'!$C:$FB,91)</f>
        <v>346</v>
      </c>
      <c r="I129" s="91">
        <f>VLOOKUP($A129,'Data Vlaue (Cr)'!$C:$FB,93)</f>
        <v>3</v>
      </c>
      <c r="J129" s="92">
        <f>VLOOKUP($A129,'Data Vlaue (Cr)'!$C:$FB,94)</f>
        <v>9.7999999999999997E-3</v>
      </c>
      <c r="K129" s="91">
        <f>VLOOKUP($A129,'Data Vlaue (Cr)'!$C:$FB,95)</f>
        <v>145</v>
      </c>
      <c r="L129" s="91">
        <f>VLOOKUP($A129,'Data Vlaue (Cr)'!$C:$FB,97)</f>
        <v>2</v>
      </c>
      <c r="M129" s="92">
        <f>VLOOKUP($A129,'Data Vlaue (Cr)'!$C:$FB,98)</f>
        <v>1.7600000000000001E-2</v>
      </c>
      <c r="N129" s="91">
        <f>VLOOKUP($A129,'Data Vlaue (Cr)'!$C:$FB,79)</f>
        <v>328</v>
      </c>
      <c r="O129" s="92">
        <f>VLOOKUP($A129,'Data Vlaue (Cr)'!$C:$FB,82)</f>
        <v>-1.34E-2</v>
      </c>
    </row>
    <row r="130" spans="1:15" x14ac:dyDescent="0.25">
      <c r="A130" s="97" t="str">
        <f>'Data Vlaue (Cr)'!C125</f>
        <v>KEI</v>
      </c>
      <c r="B130" s="142">
        <f>VLOOKUP(A130,'Data Vlaue (Cr)'!C125:CW354,99,0)</f>
        <v>1002</v>
      </c>
      <c r="C130" s="90">
        <f>VLOOKUP(A130,'Data Vlaue (Cr)'!C125:CY354,101,0)</f>
        <v>129</v>
      </c>
      <c r="D130" s="139">
        <f>VLOOKUP(A130,'Data Vlaue (Cr)'!C125:CZ354,102,0)</f>
        <v>0.14729999999999999</v>
      </c>
      <c r="E130" s="91">
        <f>VLOOKUP($A130,'Data Vlaue (Cr)'!$C:$FB,75)</f>
        <v>474</v>
      </c>
      <c r="F130" s="91">
        <f>VLOOKUP($A130,'Data Vlaue (Cr)'!$C:$FB,77)</f>
        <v>-3</v>
      </c>
      <c r="G130" s="92">
        <f>VLOOKUP(A130,'Data Vlaue (Cr)'!C125:CB354,78,0)</f>
        <v>-6.6E-3</v>
      </c>
      <c r="H130" s="91">
        <f>VLOOKUP($A130,'Data Vlaue (Cr)'!$C:$FB,91)</f>
        <v>326</v>
      </c>
      <c r="I130" s="91">
        <f>VLOOKUP($A130,'Data Vlaue (Cr)'!$C:$FB,93)</f>
        <v>83</v>
      </c>
      <c r="J130" s="92">
        <f>VLOOKUP($A130,'Data Vlaue (Cr)'!$C:$FB,94)</f>
        <v>0.34200000000000003</v>
      </c>
      <c r="K130" s="91">
        <f>VLOOKUP($A130,'Data Vlaue (Cr)'!$C:$FB,95)</f>
        <v>202</v>
      </c>
      <c r="L130" s="91">
        <f>VLOOKUP($A130,'Data Vlaue (Cr)'!$C:$FB,97)</f>
        <v>49</v>
      </c>
      <c r="M130" s="92">
        <f>VLOOKUP($A130,'Data Vlaue (Cr)'!$C:$FB,98)</f>
        <v>0.31709999999999999</v>
      </c>
      <c r="N130" s="91">
        <f>VLOOKUP($A130,'Data Vlaue (Cr)'!$C:$FB,79)</f>
        <v>429</v>
      </c>
      <c r="O130" s="92">
        <f>VLOOKUP($A130,'Data Vlaue (Cr)'!$C:$FB,82)</f>
        <v>-1.78E-2</v>
      </c>
    </row>
    <row r="131" spans="1:15" x14ac:dyDescent="0.25">
      <c r="A131" s="97" t="str">
        <f>'Data Vlaue (Cr)'!C126</f>
        <v>KFINTECH</v>
      </c>
      <c r="B131" s="142">
        <f>VLOOKUP(A131,'Data Vlaue (Cr)'!C126:CW355,99,0)</f>
        <v>287</v>
      </c>
      <c r="C131" s="90">
        <f>VLOOKUP(A131,'Data Vlaue (Cr)'!C126:CY355,101,0)</f>
        <v>-14</v>
      </c>
      <c r="D131" s="139">
        <f>VLOOKUP(A131,'Data Vlaue (Cr)'!C126:CZ355,102,0)</f>
        <v>-4.5600000000000002E-2</v>
      </c>
      <c r="E131" s="91">
        <f>VLOOKUP($A131,'Data Vlaue (Cr)'!$C:$FB,75)</f>
        <v>136</v>
      </c>
      <c r="F131" s="91">
        <f>VLOOKUP($A131,'Data Vlaue (Cr)'!$C:$FB,77)</f>
        <v>-11</v>
      </c>
      <c r="G131" s="92">
        <f>VLOOKUP(A131,'Data Vlaue (Cr)'!C126:CB355,78,0)</f>
        <v>-7.3300000000000004E-2</v>
      </c>
      <c r="H131" s="91">
        <f>VLOOKUP($A131,'Data Vlaue (Cr)'!$C:$FB,91)</f>
        <v>113</v>
      </c>
      <c r="I131" s="91">
        <f>VLOOKUP($A131,'Data Vlaue (Cr)'!$C:$FB,93)</f>
        <v>0</v>
      </c>
      <c r="J131" s="92">
        <f>VLOOKUP($A131,'Data Vlaue (Cr)'!$C:$FB,94)</f>
        <v>0</v>
      </c>
      <c r="K131" s="91">
        <f>VLOOKUP($A131,'Data Vlaue (Cr)'!$C:$FB,95)</f>
        <v>38</v>
      </c>
      <c r="L131" s="91">
        <f>VLOOKUP($A131,'Data Vlaue (Cr)'!$C:$FB,97)</f>
        <v>-3</v>
      </c>
      <c r="M131" s="92">
        <f>VLOOKUP($A131,'Data Vlaue (Cr)'!$C:$FB,98)</f>
        <v>-7.1400000000000005E-2</v>
      </c>
      <c r="N131" s="91">
        <f>VLOOKUP($A131,'Data Vlaue (Cr)'!$C:$FB,79)</f>
        <v>125</v>
      </c>
      <c r="O131" s="92">
        <f>VLOOKUP($A131,'Data Vlaue (Cr)'!$C:$FB,82)</f>
        <v>-9.1399999999999995E-2</v>
      </c>
    </row>
    <row r="132" spans="1:15" x14ac:dyDescent="0.25">
      <c r="A132" s="97" t="str">
        <f>'Data Vlaue (Cr)'!C127</f>
        <v>KOTAKBANK</v>
      </c>
      <c r="B132" s="142">
        <f>VLOOKUP(A132,'Data Vlaue (Cr)'!C127:CW356,99,0)</f>
        <v>10541</v>
      </c>
      <c r="C132" s="90">
        <f>VLOOKUP(A132,'Data Vlaue (Cr)'!C127:CY356,101,0)</f>
        <v>104</v>
      </c>
      <c r="D132" s="139">
        <f>VLOOKUP(A132,'Data Vlaue (Cr)'!C127:CZ356,102,0)</f>
        <v>9.9000000000000008E-3</v>
      </c>
      <c r="E132" s="91">
        <f>VLOOKUP($A132,'Data Vlaue (Cr)'!$C:$FB,75)</f>
        <v>7179</v>
      </c>
      <c r="F132" s="91">
        <f>VLOOKUP($A132,'Data Vlaue (Cr)'!$C:$FB,77)</f>
        <v>92</v>
      </c>
      <c r="G132" s="92">
        <f>VLOOKUP(A132,'Data Vlaue (Cr)'!C127:CB356,78,0)</f>
        <v>1.29E-2</v>
      </c>
      <c r="H132" s="91">
        <f>VLOOKUP($A132,'Data Vlaue (Cr)'!$C:$FB,91)</f>
        <v>1852</v>
      </c>
      <c r="I132" s="91">
        <f>VLOOKUP($A132,'Data Vlaue (Cr)'!$C:$FB,93)</f>
        <v>16</v>
      </c>
      <c r="J132" s="92">
        <f>VLOOKUP($A132,'Data Vlaue (Cr)'!$C:$FB,94)</f>
        <v>8.9999999999999993E-3</v>
      </c>
      <c r="K132" s="91">
        <f>VLOOKUP($A132,'Data Vlaue (Cr)'!$C:$FB,95)</f>
        <v>1510</v>
      </c>
      <c r="L132" s="91">
        <f>VLOOKUP($A132,'Data Vlaue (Cr)'!$C:$FB,97)</f>
        <v>-4</v>
      </c>
      <c r="M132" s="92">
        <f>VLOOKUP($A132,'Data Vlaue (Cr)'!$C:$FB,98)</f>
        <v>-2.8999999999999998E-3</v>
      </c>
      <c r="N132" s="91">
        <f>VLOOKUP($A132,'Data Vlaue (Cr)'!$C:$FB,79)</f>
        <v>5759</v>
      </c>
      <c r="O132" s="92">
        <f>VLOOKUP($A132,'Data Vlaue (Cr)'!$C:$FB,82)</f>
        <v>5.5999999999999999E-3</v>
      </c>
    </row>
    <row r="133" spans="1:15" x14ac:dyDescent="0.25">
      <c r="A133" s="97" t="str">
        <f>'Data Vlaue (Cr)'!C128</f>
        <v>KPITTECH</v>
      </c>
      <c r="B133" s="142">
        <f>VLOOKUP(A133,'Data Vlaue (Cr)'!C128:CW357,99,0)</f>
        <v>1335</v>
      </c>
      <c r="C133" s="90">
        <f>VLOOKUP(A133,'Data Vlaue (Cr)'!C128:CY357,101,0)</f>
        <v>26</v>
      </c>
      <c r="D133" s="139">
        <f>VLOOKUP(A133,'Data Vlaue (Cr)'!C128:CZ357,102,0)</f>
        <v>0.02</v>
      </c>
      <c r="E133" s="91">
        <f>VLOOKUP($A133,'Data Vlaue (Cr)'!$C:$FB,75)</f>
        <v>621</v>
      </c>
      <c r="F133" s="91">
        <f>VLOOKUP($A133,'Data Vlaue (Cr)'!$C:$FB,77)</f>
        <v>14</v>
      </c>
      <c r="G133" s="92">
        <f>VLOOKUP(A133,'Data Vlaue (Cr)'!C128:CB357,78,0)</f>
        <v>2.3199999999999998E-2</v>
      </c>
      <c r="H133" s="91">
        <f>VLOOKUP($A133,'Data Vlaue (Cr)'!$C:$FB,91)</f>
        <v>429</v>
      </c>
      <c r="I133" s="91">
        <f>VLOOKUP($A133,'Data Vlaue (Cr)'!$C:$FB,93)</f>
        <v>2</v>
      </c>
      <c r="J133" s="92">
        <f>VLOOKUP($A133,'Data Vlaue (Cr)'!$C:$FB,94)</f>
        <v>4.1999999999999997E-3</v>
      </c>
      <c r="K133" s="91">
        <f>VLOOKUP($A133,'Data Vlaue (Cr)'!$C:$FB,95)</f>
        <v>285</v>
      </c>
      <c r="L133" s="91">
        <f>VLOOKUP($A133,'Data Vlaue (Cr)'!$C:$FB,97)</f>
        <v>10</v>
      </c>
      <c r="M133" s="92">
        <f>VLOOKUP($A133,'Data Vlaue (Cr)'!$C:$FB,98)</f>
        <v>3.7499999999999999E-2</v>
      </c>
      <c r="N133" s="91">
        <f>VLOOKUP($A133,'Data Vlaue (Cr)'!$C:$FB,79)</f>
        <v>561</v>
      </c>
      <c r="O133" s="92">
        <f>VLOOKUP($A133,'Data Vlaue (Cr)'!$C:$FB,82)</f>
        <v>1.5299999999999999E-2</v>
      </c>
    </row>
    <row r="134" spans="1:15" x14ac:dyDescent="0.25">
      <c r="A134" s="97" t="str">
        <f>'Data Vlaue (Cr)'!C129</f>
        <v>LAURUSLABS</v>
      </c>
      <c r="B134" s="142">
        <f>VLOOKUP(A134,'Data Vlaue (Cr)'!C129:CW358,99,0)</f>
        <v>4740</v>
      </c>
      <c r="C134" s="90">
        <f>VLOOKUP(A134,'Data Vlaue (Cr)'!C129:CY358,101,0)</f>
        <v>-23</v>
      </c>
      <c r="D134" s="139">
        <f>VLOOKUP(A134,'Data Vlaue (Cr)'!C129:CZ358,102,0)</f>
        <v>-4.7999999999999996E-3</v>
      </c>
      <c r="E134" s="91">
        <f>VLOOKUP($A134,'Data Vlaue (Cr)'!$C:$FB,75)</f>
        <v>1785</v>
      </c>
      <c r="F134" s="91">
        <f>VLOOKUP($A134,'Data Vlaue (Cr)'!$C:$FB,77)</f>
        <v>-21</v>
      </c>
      <c r="G134" s="92">
        <f>VLOOKUP(A134,'Data Vlaue (Cr)'!C129:CB358,78,0)</f>
        <v>-1.1599999999999999E-2</v>
      </c>
      <c r="H134" s="91">
        <f>VLOOKUP($A134,'Data Vlaue (Cr)'!$C:$FB,91)</f>
        <v>1370</v>
      </c>
      <c r="I134" s="91">
        <f>VLOOKUP($A134,'Data Vlaue (Cr)'!$C:$FB,93)</f>
        <v>3</v>
      </c>
      <c r="J134" s="92">
        <f>VLOOKUP($A134,'Data Vlaue (Cr)'!$C:$FB,94)</f>
        <v>1.9E-3</v>
      </c>
      <c r="K134" s="91">
        <f>VLOOKUP($A134,'Data Vlaue (Cr)'!$C:$FB,95)</f>
        <v>1585</v>
      </c>
      <c r="L134" s="91">
        <f>VLOOKUP($A134,'Data Vlaue (Cr)'!$C:$FB,97)</f>
        <v>-4</v>
      </c>
      <c r="M134" s="92">
        <f>VLOOKUP($A134,'Data Vlaue (Cr)'!$C:$FB,98)</f>
        <v>-2.8E-3</v>
      </c>
      <c r="N134" s="91">
        <f>VLOOKUP($A134,'Data Vlaue (Cr)'!$C:$FB,79)</f>
        <v>1650</v>
      </c>
      <c r="O134" s="92">
        <f>VLOOKUP($A134,'Data Vlaue (Cr)'!$C:$FB,82)</f>
        <v>-1.43E-2</v>
      </c>
    </row>
    <row r="135" spans="1:15" x14ac:dyDescent="0.25">
      <c r="A135" s="97" t="str">
        <f>'Data Vlaue (Cr)'!C130</f>
        <v>LICHSGFIN</v>
      </c>
      <c r="B135" s="142">
        <f>VLOOKUP(A135,'Data Vlaue (Cr)'!C130:CW359,99,0)</f>
        <v>2724</v>
      </c>
      <c r="C135" s="90">
        <f>VLOOKUP(A135,'Data Vlaue (Cr)'!C130:CY359,101,0)</f>
        <v>42</v>
      </c>
      <c r="D135" s="139">
        <f>VLOOKUP(A135,'Data Vlaue (Cr)'!C130:CZ359,102,0)</f>
        <v>1.5599999999999999E-2</v>
      </c>
      <c r="E135" s="91">
        <f>VLOOKUP($A135,'Data Vlaue (Cr)'!$C:$FB,75)</f>
        <v>1761</v>
      </c>
      <c r="F135" s="91">
        <f>VLOOKUP($A135,'Data Vlaue (Cr)'!$C:$FB,77)</f>
        <v>34</v>
      </c>
      <c r="G135" s="92">
        <f>VLOOKUP(A135,'Data Vlaue (Cr)'!C130:CB359,78,0)</f>
        <v>1.9800000000000002E-2</v>
      </c>
      <c r="H135" s="91">
        <f>VLOOKUP($A135,'Data Vlaue (Cr)'!$C:$FB,91)</f>
        <v>520</v>
      </c>
      <c r="I135" s="91">
        <f>VLOOKUP($A135,'Data Vlaue (Cr)'!$C:$FB,93)</f>
        <v>12</v>
      </c>
      <c r="J135" s="92">
        <f>VLOOKUP($A135,'Data Vlaue (Cr)'!$C:$FB,94)</f>
        <v>2.3099999999999999E-2</v>
      </c>
      <c r="K135" s="91">
        <f>VLOOKUP($A135,'Data Vlaue (Cr)'!$C:$FB,95)</f>
        <v>443</v>
      </c>
      <c r="L135" s="91">
        <f>VLOOKUP($A135,'Data Vlaue (Cr)'!$C:$FB,97)</f>
        <v>-4</v>
      </c>
      <c r="M135" s="92">
        <f>VLOOKUP($A135,'Data Vlaue (Cr)'!$C:$FB,98)</f>
        <v>-9.2999999999999992E-3</v>
      </c>
      <c r="N135" s="91">
        <f>VLOOKUP($A135,'Data Vlaue (Cr)'!$C:$FB,79)</f>
        <v>1188</v>
      </c>
      <c r="O135" s="92">
        <f>VLOOKUP($A135,'Data Vlaue (Cr)'!$C:$FB,82)</f>
        <v>-3.3399999999999999E-2</v>
      </c>
    </row>
    <row r="136" spans="1:15" x14ac:dyDescent="0.25">
      <c r="A136" s="97" t="str">
        <f>'Data Vlaue (Cr)'!C131</f>
        <v>LICI</v>
      </c>
      <c r="B136" s="142">
        <f>VLOOKUP(A136,'Data Vlaue (Cr)'!C131:CW360,99,0)</f>
        <v>1485</v>
      </c>
      <c r="C136" s="90">
        <f>VLOOKUP(A136,'Data Vlaue (Cr)'!C131:CY360,101,0)</f>
        <v>11</v>
      </c>
      <c r="D136" s="139">
        <f>VLOOKUP(A136,'Data Vlaue (Cr)'!C131:CZ360,102,0)</f>
        <v>7.7000000000000002E-3</v>
      </c>
      <c r="E136" s="91">
        <f>VLOOKUP($A136,'Data Vlaue (Cr)'!$C:$FB,75)</f>
        <v>766</v>
      </c>
      <c r="F136" s="91">
        <f>VLOOKUP($A136,'Data Vlaue (Cr)'!$C:$FB,77)</f>
        <v>6</v>
      </c>
      <c r="G136" s="92">
        <f>VLOOKUP(A136,'Data Vlaue (Cr)'!C131:CB360,78,0)</f>
        <v>8.3999999999999995E-3</v>
      </c>
      <c r="H136" s="91">
        <f>VLOOKUP($A136,'Data Vlaue (Cr)'!$C:$FB,91)</f>
        <v>493</v>
      </c>
      <c r="I136" s="91">
        <f>VLOOKUP($A136,'Data Vlaue (Cr)'!$C:$FB,93)</f>
        <v>-1</v>
      </c>
      <c r="J136" s="92">
        <f>VLOOKUP($A136,'Data Vlaue (Cr)'!$C:$FB,94)</f>
        <v>-1.8E-3</v>
      </c>
      <c r="K136" s="91">
        <f>VLOOKUP($A136,'Data Vlaue (Cr)'!$C:$FB,95)</f>
        <v>226</v>
      </c>
      <c r="L136" s="91">
        <f>VLOOKUP($A136,'Data Vlaue (Cr)'!$C:$FB,97)</f>
        <v>6</v>
      </c>
      <c r="M136" s="92">
        <f>VLOOKUP($A136,'Data Vlaue (Cr)'!$C:$FB,98)</f>
        <v>2.69E-2</v>
      </c>
      <c r="N136" s="91">
        <f>VLOOKUP($A136,'Data Vlaue (Cr)'!$C:$FB,79)</f>
        <v>690</v>
      </c>
      <c r="O136" s="92">
        <f>VLOOKUP($A136,'Data Vlaue (Cr)'!$C:$FB,82)</f>
        <v>-3.7000000000000002E-3</v>
      </c>
    </row>
    <row r="137" spans="1:15" x14ac:dyDescent="0.25">
      <c r="A137" s="97" t="str">
        <f>'Data Vlaue (Cr)'!C132</f>
        <v>LODHA</v>
      </c>
      <c r="B137" s="142">
        <f>VLOOKUP(A137,'Data Vlaue (Cr)'!C132:CW361,99,0)</f>
        <v>1158</v>
      </c>
      <c r="C137" s="90">
        <f>VLOOKUP(A137,'Data Vlaue (Cr)'!C132:CY361,101,0)</f>
        <v>13</v>
      </c>
      <c r="D137" s="139">
        <f>VLOOKUP(A137,'Data Vlaue (Cr)'!C132:CZ361,102,0)</f>
        <v>1.1299999999999999E-2</v>
      </c>
      <c r="E137" s="91">
        <f>VLOOKUP($A137,'Data Vlaue (Cr)'!$C:$FB,75)</f>
        <v>791</v>
      </c>
      <c r="F137" s="91">
        <f>VLOOKUP($A137,'Data Vlaue (Cr)'!$C:$FB,77)</f>
        <v>0</v>
      </c>
      <c r="G137" s="92">
        <f>VLOOKUP(A137,'Data Vlaue (Cr)'!C132:CB361,78,0)</f>
        <v>2.0000000000000001E-4</v>
      </c>
      <c r="H137" s="91">
        <f>VLOOKUP($A137,'Data Vlaue (Cr)'!$C:$FB,91)</f>
        <v>220</v>
      </c>
      <c r="I137" s="91">
        <f>VLOOKUP($A137,'Data Vlaue (Cr)'!$C:$FB,93)</f>
        <v>15</v>
      </c>
      <c r="J137" s="92">
        <f>VLOOKUP($A137,'Data Vlaue (Cr)'!$C:$FB,94)</f>
        <v>7.22E-2</v>
      </c>
      <c r="K137" s="91">
        <f>VLOOKUP($A137,'Data Vlaue (Cr)'!$C:$FB,95)</f>
        <v>147</v>
      </c>
      <c r="L137" s="91">
        <f>VLOOKUP($A137,'Data Vlaue (Cr)'!$C:$FB,97)</f>
        <v>-2</v>
      </c>
      <c r="M137" s="92">
        <f>VLOOKUP($A137,'Data Vlaue (Cr)'!$C:$FB,98)</f>
        <v>-1.35E-2</v>
      </c>
      <c r="N137" s="91">
        <f>VLOOKUP($A137,'Data Vlaue (Cr)'!$C:$FB,79)</f>
        <v>772</v>
      </c>
      <c r="O137" s="92">
        <f>VLOOKUP($A137,'Data Vlaue (Cr)'!$C:$FB,82)</f>
        <v>-1.6999999999999999E-3</v>
      </c>
    </row>
    <row r="138" spans="1:15" x14ac:dyDescent="0.25">
      <c r="A138" s="97" t="str">
        <f>'Data Vlaue (Cr)'!C133</f>
        <v>LT</v>
      </c>
      <c r="B138" s="142">
        <f>VLOOKUP(A138,'Data Vlaue (Cr)'!C133:CW362,99,0)</f>
        <v>10663</v>
      </c>
      <c r="C138" s="90">
        <f>VLOOKUP(A138,'Data Vlaue (Cr)'!C133:CY362,101,0)</f>
        <v>207</v>
      </c>
      <c r="D138" s="139">
        <f>VLOOKUP(A138,'Data Vlaue (Cr)'!C133:CZ362,102,0)</f>
        <v>1.9800000000000002E-2</v>
      </c>
      <c r="E138" s="91">
        <f>VLOOKUP($A138,'Data Vlaue (Cr)'!$C:$FB,75)</f>
        <v>6147</v>
      </c>
      <c r="F138" s="91">
        <f>VLOOKUP($A138,'Data Vlaue (Cr)'!$C:$FB,77)</f>
        <v>122</v>
      </c>
      <c r="G138" s="92">
        <f>VLOOKUP(A138,'Data Vlaue (Cr)'!C133:CB362,78,0)</f>
        <v>2.0299999999999999E-2</v>
      </c>
      <c r="H138" s="91">
        <f>VLOOKUP($A138,'Data Vlaue (Cr)'!$C:$FB,91)</f>
        <v>3249</v>
      </c>
      <c r="I138" s="91">
        <f>VLOOKUP($A138,'Data Vlaue (Cr)'!$C:$FB,93)</f>
        <v>48</v>
      </c>
      <c r="J138" s="92">
        <f>VLOOKUP($A138,'Data Vlaue (Cr)'!$C:$FB,94)</f>
        <v>1.49E-2</v>
      </c>
      <c r="K138" s="91">
        <f>VLOOKUP($A138,'Data Vlaue (Cr)'!$C:$FB,95)</f>
        <v>1266</v>
      </c>
      <c r="L138" s="91">
        <f>VLOOKUP($A138,'Data Vlaue (Cr)'!$C:$FB,97)</f>
        <v>38</v>
      </c>
      <c r="M138" s="92">
        <f>VLOOKUP($A138,'Data Vlaue (Cr)'!$C:$FB,98)</f>
        <v>3.0499999999999999E-2</v>
      </c>
      <c r="N138" s="91">
        <f>VLOOKUP($A138,'Data Vlaue (Cr)'!$C:$FB,79)</f>
        <v>5196</v>
      </c>
      <c r="O138" s="92">
        <f>VLOOKUP($A138,'Data Vlaue (Cr)'!$C:$FB,82)</f>
        <v>-8.5000000000000006E-3</v>
      </c>
    </row>
    <row r="139" spans="1:15" x14ac:dyDescent="0.25">
      <c r="A139" s="97" t="str">
        <f>'Data Vlaue (Cr)'!C134</f>
        <v>LTF</v>
      </c>
      <c r="B139" s="142">
        <f>VLOOKUP(A139,'Data Vlaue (Cr)'!C134:CW363,99,0)</f>
        <v>2765</v>
      </c>
      <c r="C139" s="90">
        <f>VLOOKUP(A139,'Data Vlaue (Cr)'!C134:CY363,101,0)</f>
        <v>-68</v>
      </c>
      <c r="D139" s="139">
        <f>VLOOKUP(A139,'Data Vlaue (Cr)'!C134:CZ363,102,0)</f>
        <v>-2.41E-2</v>
      </c>
      <c r="E139" s="91">
        <f>VLOOKUP($A139,'Data Vlaue (Cr)'!$C:$FB,75)</f>
        <v>1361</v>
      </c>
      <c r="F139" s="91">
        <f>VLOOKUP($A139,'Data Vlaue (Cr)'!$C:$FB,77)</f>
        <v>66</v>
      </c>
      <c r="G139" s="92">
        <f>VLOOKUP(A139,'Data Vlaue (Cr)'!C134:CB363,78,0)</f>
        <v>5.0900000000000001E-2</v>
      </c>
      <c r="H139" s="91">
        <f>VLOOKUP($A139,'Data Vlaue (Cr)'!$C:$FB,91)</f>
        <v>831</v>
      </c>
      <c r="I139" s="91">
        <f>VLOOKUP($A139,'Data Vlaue (Cr)'!$C:$FB,93)</f>
        <v>-24</v>
      </c>
      <c r="J139" s="92">
        <f>VLOOKUP($A139,'Data Vlaue (Cr)'!$C:$FB,94)</f>
        <v>-2.7900000000000001E-2</v>
      </c>
      <c r="K139" s="91">
        <f>VLOOKUP($A139,'Data Vlaue (Cr)'!$C:$FB,95)</f>
        <v>572</v>
      </c>
      <c r="L139" s="91">
        <f>VLOOKUP($A139,'Data Vlaue (Cr)'!$C:$FB,97)</f>
        <v>-111</v>
      </c>
      <c r="M139" s="92">
        <f>VLOOKUP($A139,'Data Vlaue (Cr)'!$C:$FB,98)</f>
        <v>-0.16189999999999999</v>
      </c>
      <c r="N139" s="91">
        <f>VLOOKUP($A139,'Data Vlaue (Cr)'!$C:$FB,79)</f>
        <v>1085</v>
      </c>
      <c r="O139" s="92">
        <f>VLOOKUP($A139,'Data Vlaue (Cr)'!$C:$FB,82)</f>
        <v>8.6999999999999994E-3</v>
      </c>
    </row>
    <row r="140" spans="1:15" x14ac:dyDescent="0.25">
      <c r="A140" s="97" t="str">
        <f>'Data Vlaue (Cr)'!C135</f>
        <v>LTIM</v>
      </c>
      <c r="B140" s="142">
        <f>VLOOKUP(A140,'Data Vlaue (Cr)'!C135:CW364,99,0)</f>
        <v>2479</v>
      </c>
      <c r="C140" s="90">
        <f>VLOOKUP(A140,'Data Vlaue (Cr)'!C135:CY364,101,0)</f>
        <v>-180</v>
      </c>
      <c r="D140" s="139">
        <f>VLOOKUP(A140,'Data Vlaue (Cr)'!C135:CZ364,102,0)</f>
        <v>-6.7599999999999993E-2</v>
      </c>
      <c r="E140" s="91">
        <f>VLOOKUP($A140,'Data Vlaue (Cr)'!$C:$FB,75)</f>
        <v>1468</v>
      </c>
      <c r="F140" s="91">
        <f>VLOOKUP($A140,'Data Vlaue (Cr)'!$C:$FB,77)</f>
        <v>-41</v>
      </c>
      <c r="G140" s="92">
        <f>VLOOKUP(A140,'Data Vlaue (Cr)'!C135:CB364,78,0)</f>
        <v>-2.7400000000000001E-2</v>
      </c>
      <c r="H140" s="91">
        <f>VLOOKUP($A140,'Data Vlaue (Cr)'!$C:$FB,91)</f>
        <v>626</v>
      </c>
      <c r="I140" s="91">
        <f>VLOOKUP($A140,'Data Vlaue (Cr)'!$C:$FB,93)</f>
        <v>-94</v>
      </c>
      <c r="J140" s="92">
        <f>VLOOKUP($A140,'Data Vlaue (Cr)'!$C:$FB,94)</f>
        <v>-0.13009999999999999</v>
      </c>
      <c r="K140" s="91">
        <f>VLOOKUP($A140,'Data Vlaue (Cr)'!$C:$FB,95)</f>
        <v>385</v>
      </c>
      <c r="L140" s="91">
        <f>VLOOKUP($A140,'Data Vlaue (Cr)'!$C:$FB,97)</f>
        <v>-45</v>
      </c>
      <c r="M140" s="92">
        <f>VLOOKUP($A140,'Data Vlaue (Cr)'!$C:$FB,98)</f>
        <v>-0.104</v>
      </c>
      <c r="N140" s="91">
        <f>VLOOKUP($A140,'Data Vlaue (Cr)'!$C:$FB,79)</f>
        <v>1311</v>
      </c>
      <c r="O140" s="92">
        <f>VLOOKUP($A140,'Data Vlaue (Cr)'!$C:$FB,82)</f>
        <v>-3.7400000000000003E-2</v>
      </c>
    </row>
    <row r="141" spans="1:15" x14ac:dyDescent="0.25">
      <c r="A141" s="97" t="str">
        <f>'Data Vlaue (Cr)'!C136</f>
        <v>LUPIN</v>
      </c>
      <c r="B141" s="142">
        <f>VLOOKUP(A141,'Data Vlaue (Cr)'!C136:CW365,99,0)</f>
        <v>3543</v>
      </c>
      <c r="C141" s="90">
        <f>VLOOKUP(A141,'Data Vlaue (Cr)'!C136:CY365,101,0)</f>
        <v>88</v>
      </c>
      <c r="D141" s="139">
        <f>VLOOKUP(A141,'Data Vlaue (Cr)'!C136:CZ365,102,0)</f>
        <v>2.53E-2</v>
      </c>
      <c r="E141" s="91">
        <f>VLOOKUP($A141,'Data Vlaue (Cr)'!$C:$FB,75)</f>
        <v>2302</v>
      </c>
      <c r="F141" s="91">
        <f>VLOOKUP($A141,'Data Vlaue (Cr)'!$C:$FB,77)</f>
        <v>30</v>
      </c>
      <c r="G141" s="92">
        <f>VLOOKUP(A141,'Data Vlaue (Cr)'!C136:CB365,78,0)</f>
        <v>1.3100000000000001E-2</v>
      </c>
      <c r="H141" s="91">
        <f>VLOOKUP($A141,'Data Vlaue (Cr)'!$C:$FB,91)</f>
        <v>755</v>
      </c>
      <c r="I141" s="91">
        <f>VLOOKUP($A141,'Data Vlaue (Cr)'!$C:$FB,93)</f>
        <v>23</v>
      </c>
      <c r="J141" s="92">
        <f>VLOOKUP($A141,'Data Vlaue (Cr)'!$C:$FB,94)</f>
        <v>3.1800000000000002E-2</v>
      </c>
      <c r="K141" s="91">
        <f>VLOOKUP($A141,'Data Vlaue (Cr)'!$C:$FB,95)</f>
        <v>486</v>
      </c>
      <c r="L141" s="91">
        <f>VLOOKUP($A141,'Data Vlaue (Cr)'!$C:$FB,97)</f>
        <v>35</v>
      </c>
      <c r="M141" s="92">
        <f>VLOOKUP($A141,'Data Vlaue (Cr)'!$C:$FB,98)</f>
        <v>7.6600000000000001E-2</v>
      </c>
      <c r="N141" s="91">
        <f>VLOOKUP($A141,'Data Vlaue (Cr)'!$C:$FB,79)</f>
        <v>2133</v>
      </c>
      <c r="O141" s="92">
        <f>VLOOKUP($A141,'Data Vlaue (Cr)'!$C:$FB,82)</f>
        <v>-2.0999999999999999E-3</v>
      </c>
    </row>
    <row r="142" spans="1:15" x14ac:dyDescent="0.25">
      <c r="A142" s="97" t="str">
        <f>'Data Vlaue (Cr)'!C137</f>
        <v>M&amp;M</v>
      </c>
      <c r="B142" s="142">
        <f>VLOOKUP(A142,'Data Vlaue (Cr)'!C137:CW366,99,0)</f>
        <v>10842</v>
      </c>
      <c r="C142" s="90">
        <f>VLOOKUP(A142,'Data Vlaue (Cr)'!C137:CY366,101,0)</f>
        <v>-4</v>
      </c>
      <c r="D142" s="139">
        <f>VLOOKUP(A142,'Data Vlaue (Cr)'!C137:CZ366,102,0)</f>
        <v>-2.9999999999999997E-4</v>
      </c>
      <c r="E142" s="91">
        <f>VLOOKUP($A142,'Data Vlaue (Cr)'!$C:$FB,75)</f>
        <v>7727</v>
      </c>
      <c r="F142" s="91">
        <f>VLOOKUP($A142,'Data Vlaue (Cr)'!$C:$FB,77)</f>
        <v>45</v>
      </c>
      <c r="G142" s="92">
        <f>VLOOKUP(A142,'Data Vlaue (Cr)'!C137:CB366,78,0)</f>
        <v>5.8999999999999999E-3</v>
      </c>
      <c r="H142" s="91">
        <f>VLOOKUP($A142,'Data Vlaue (Cr)'!$C:$FB,91)</f>
        <v>1945</v>
      </c>
      <c r="I142" s="91">
        <f>VLOOKUP($A142,'Data Vlaue (Cr)'!$C:$FB,93)</f>
        <v>-34</v>
      </c>
      <c r="J142" s="92">
        <f>VLOOKUP($A142,'Data Vlaue (Cr)'!$C:$FB,94)</f>
        <v>-1.7000000000000001E-2</v>
      </c>
      <c r="K142" s="91">
        <f>VLOOKUP($A142,'Data Vlaue (Cr)'!$C:$FB,95)</f>
        <v>1170</v>
      </c>
      <c r="L142" s="91">
        <f>VLOOKUP($A142,'Data Vlaue (Cr)'!$C:$FB,97)</f>
        <v>-15</v>
      </c>
      <c r="M142" s="92">
        <f>VLOOKUP($A142,'Data Vlaue (Cr)'!$C:$FB,98)</f>
        <v>-1.2699999999999999E-2</v>
      </c>
      <c r="N142" s="91">
        <f>VLOOKUP($A142,'Data Vlaue (Cr)'!$C:$FB,79)</f>
        <v>7010</v>
      </c>
      <c r="O142" s="92">
        <f>VLOOKUP($A142,'Data Vlaue (Cr)'!$C:$FB,82)</f>
        <v>-3.3E-3</v>
      </c>
    </row>
    <row r="143" spans="1:15" x14ac:dyDescent="0.25">
      <c r="A143" s="97" t="str">
        <f>'Data Vlaue (Cr)'!C138</f>
        <v>M&amp;MFIN</v>
      </c>
      <c r="B143" s="142">
        <f>VLOOKUP(A143,'Data Vlaue (Cr)'!C138:CW367,99,0)</f>
        <v>1059</v>
      </c>
      <c r="C143" s="90">
        <f>VLOOKUP(A143,'Data Vlaue (Cr)'!C138:CY367,101,0)</f>
        <v>76</v>
      </c>
      <c r="D143" s="139">
        <f>VLOOKUP(A143,'Data Vlaue (Cr)'!C138:CZ367,102,0)</f>
        <v>7.7399999999999997E-2</v>
      </c>
      <c r="E143" s="91">
        <f>VLOOKUP($A143,'Data Vlaue (Cr)'!$C:$FB,75)</f>
        <v>568</v>
      </c>
      <c r="F143" s="91">
        <f>VLOOKUP($A143,'Data Vlaue (Cr)'!$C:$FB,77)</f>
        <v>-13</v>
      </c>
      <c r="G143" s="92">
        <f>VLOOKUP(A143,'Data Vlaue (Cr)'!C138:CB367,78,0)</f>
        <v>-2.29E-2</v>
      </c>
      <c r="H143" s="91">
        <f>VLOOKUP($A143,'Data Vlaue (Cr)'!$C:$FB,91)</f>
        <v>316</v>
      </c>
      <c r="I143" s="91">
        <f>VLOOKUP($A143,'Data Vlaue (Cr)'!$C:$FB,93)</f>
        <v>76</v>
      </c>
      <c r="J143" s="92">
        <f>VLOOKUP($A143,'Data Vlaue (Cr)'!$C:$FB,94)</f>
        <v>0.31419999999999998</v>
      </c>
      <c r="K143" s="91">
        <f>VLOOKUP($A143,'Data Vlaue (Cr)'!$C:$FB,95)</f>
        <v>174</v>
      </c>
      <c r="L143" s="91">
        <f>VLOOKUP($A143,'Data Vlaue (Cr)'!$C:$FB,97)</f>
        <v>14</v>
      </c>
      <c r="M143" s="92">
        <f>VLOOKUP($A143,'Data Vlaue (Cr)'!$C:$FB,98)</f>
        <v>8.6099999999999996E-2</v>
      </c>
      <c r="N143" s="91">
        <f>VLOOKUP($A143,'Data Vlaue (Cr)'!$C:$FB,79)</f>
        <v>568</v>
      </c>
      <c r="O143" s="92">
        <f>VLOOKUP($A143,'Data Vlaue (Cr)'!$C:$FB,82)</f>
        <v>-2.29E-2</v>
      </c>
    </row>
    <row r="144" spans="1:15" x14ac:dyDescent="0.25">
      <c r="A144" s="97" t="str">
        <f>'Data Vlaue (Cr)'!C139</f>
        <v>MANAPPURAM</v>
      </c>
      <c r="B144" s="142">
        <f>VLOOKUP(A144,'Data Vlaue (Cr)'!C139:CW368,99,0)</f>
        <v>1361</v>
      </c>
      <c r="C144" s="90">
        <f>VLOOKUP(A144,'Data Vlaue (Cr)'!C139:CY368,101,0)</f>
        <v>-53</v>
      </c>
      <c r="D144" s="139">
        <f>VLOOKUP(A144,'Data Vlaue (Cr)'!C139:CZ368,102,0)</f>
        <v>-3.7600000000000001E-2</v>
      </c>
      <c r="E144" s="91">
        <f>VLOOKUP($A144,'Data Vlaue (Cr)'!$C:$FB,75)</f>
        <v>640</v>
      </c>
      <c r="F144" s="91">
        <f>VLOOKUP($A144,'Data Vlaue (Cr)'!$C:$FB,77)</f>
        <v>-25</v>
      </c>
      <c r="G144" s="92">
        <f>VLOOKUP(A144,'Data Vlaue (Cr)'!C139:CB368,78,0)</f>
        <v>-3.7999999999999999E-2</v>
      </c>
      <c r="H144" s="91">
        <f>VLOOKUP($A144,'Data Vlaue (Cr)'!$C:$FB,91)</f>
        <v>437</v>
      </c>
      <c r="I144" s="91">
        <f>VLOOKUP($A144,'Data Vlaue (Cr)'!$C:$FB,93)</f>
        <v>-22</v>
      </c>
      <c r="J144" s="92">
        <f>VLOOKUP($A144,'Data Vlaue (Cr)'!$C:$FB,94)</f>
        <v>-4.8000000000000001E-2</v>
      </c>
      <c r="K144" s="91">
        <f>VLOOKUP($A144,'Data Vlaue (Cr)'!$C:$FB,95)</f>
        <v>284</v>
      </c>
      <c r="L144" s="91">
        <f>VLOOKUP($A144,'Data Vlaue (Cr)'!$C:$FB,97)</f>
        <v>-6</v>
      </c>
      <c r="M144" s="92">
        <f>VLOOKUP($A144,'Data Vlaue (Cr)'!$C:$FB,98)</f>
        <v>-0.02</v>
      </c>
      <c r="N144" s="91">
        <f>VLOOKUP($A144,'Data Vlaue (Cr)'!$C:$FB,79)</f>
        <v>592</v>
      </c>
      <c r="O144" s="92">
        <f>VLOOKUP($A144,'Data Vlaue (Cr)'!$C:$FB,82)</f>
        <v>-4.4400000000000002E-2</v>
      </c>
    </row>
    <row r="145" spans="1:15" x14ac:dyDescent="0.25">
      <c r="A145" s="97" t="str">
        <f>'Data Vlaue (Cr)'!C140</f>
        <v>MANKIND</v>
      </c>
      <c r="B145" s="142">
        <f>VLOOKUP(A145,'Data Vlaue (Cr)'!C140:CW369,99,0)</f>
        <v>768</v>
      </c>
      <c r="C145" s="90">
        <f>VLOOKUP(A145,'Data Vlaue (Cr)'!C140:CY369,101,0)</f>
        <v>-55</v>
      </c>
      <c r="D145" s="139">
        <f>VLOOKUP(A145,'Data Vlaue (Cr)'!C140:CZ369,102,0)</f>
        <v>-6.6299999999999998E-2</v>
      </c>
      <c r="E145" s="91">
        <f>VLOOKUP($A145,'Data Vlaue (Cr)'!$C:$FB,75)</f>
        <v>357</v>
      </c>
      <c r="F145" s="91">
        <f>VLOOKUP($A145,'Data Vlaue (Cr)'!$C:$FB,77)</f>
        <v>-12</v>
      </c>
      <c r="G145" s="92">
        <f>VLOOKUP(A145,'Data Vlaue (Cr)'!C140:CB369,78,0)</f>
        <v>-3.1800000000000002E-2</v>
      </c>
      <c r="H145" s="91">
        <f>VLOOKUP($A145,'Data Vlaue (Cr)'!$C:$FB,91)</f>
        <v>265</v>
      </c>
      <c r="I145" s="91">
        <f>VLOOKUP($A145,'Data Vlaue (Cr)'!$C:$FB,93)</f>
        <v>-30</v>
      </c>
      <c r="J145" s="92">
        <f>VLOOKUP($A145,'Data Vlaue (Cr)'!$C:$FB,94)</f>
        <v>-0.1002</v>
      </c>
      <c r="K145" s="91">
        <f>VLOOKUP($A145,'Data Vlaue (Cr)'!$C:$FB,95)</f>
        <v>145</v>
      </c>
      <c r="L145" s="91">
        <f>VLOOKUP($A145,'Data Vlaue (Cr)'!$C:$FB,97)</f>
        <v>-13</v>
      </c>
      <c r="M145" s="92">
        <f>VLOOKUP($A145,'Data Vlaue (Cr)'!$C:$FB,98)</f>
        <v>-8.3699999999999997E-2</v>
      </c>
      <c r="N145" s="91">
        <f>VLOOKUP($A145,'Data Vlaue (Cr)'!$C:$FB,79)</f>
        <v>336</v>
      </c>
      <c r="O145" s="92">
        <f>VLOOKUP($A145,'Data Vlaue (Cr)'!$C:$FB,82)</f>
        <v>-3.6700000000000003E-2</v>
      </c>
    </row>
    <row r="146" spans="1:15" x14ac:dyDescent="0.25">
      <c r="A146" s="97" t="str">
        <f>'Data Vlaue (Cr)'!C141</f>
        <v>MARICO</v>
      </c>
      <c r="B146" s="142">
        <f>VLOOKUP(A146,'Data Vlaue (Cr)'!C141:CW370,99,0)</f>
        <v>2282</v>
      </c>
      <c r="C146" s="90">
        <f>VLOOKUP(A146,'Data Vlaue (Cr)'!C141:CY370,101,0)</f>
        <v>-32</v>
      </c>
      <c r="D146" s="139">
        <f>VLOOKUP(A146,'Data Vlaue (Cr)'!C141:CZ370,102,0)</f>
        <v>-1.37E-2</v>
      </c>
      <c r="E146" s="91">
        <f>VLOOKUP($A146,'Data Vlaue (Cr)'!$C:$FB,75)</f>
        <v>1436</v>
      </c>
      <c r="F146" s="91">
        <f>VLOOKUP($A146,'Data Vlaue (Cr)'!$C:$FB,77)</f>
        <v>-22</v>
      </c>
      <c r="G146" s="92">
        <f>VLOOKUP(A146,'Data Vlaue (Cr)'!C141:CB370,78,0)</f>
        <v>-1.49E-2</v>
      </c>
      <c r="H146" s="91">
        <f>VLOOKUP($A146,'Data Vlaue (Cr)'!$C:$FB,91)</f>
        <v>547</v>
      </c>
      <c r="I146" s="91">
        <f>VLOOKUP($A146,'Data Vlaue (Cr)'!$C:$FB,93)</f>
        <v>-6</v>
      </c>
      <c r="J146" s="92">
        <f>VLOOKUP($A146,'Data Vlaue (Cr)'!$C:$FB,94)</f>
        <v>-1.15E-2</v>
      </c>
      <c r="K146" s="91">
        <f>VLOOKUP($A146,'Data Vlaue (Cr)'!$C:$FB,95)</f>
        <v>300</v>
      </c>
      <c r="L146" s="91">
        <f>VLOOKUP($A146,'Data Vlaue (Cr)'!$C:$FB,97)</f>
        <v>-4</v>
      </c>
      <c r="M146" s="92">
        <f>VLOOKUP($A146,'Data Vlaue (Cr)'!$C:$FB,98)</f>
        <v>-1.1900000000000001E-2</v>
      </c>
      <c r="N146" s="91">
        <f>VLOOKUP($A146,'Data Vlaue (Cr)'!$C:$FB,79)</f>
        <v>1373</v>
      </c>
      <c r="O146" s="92">
        <f>VLOOKUP($A146,'Data Vlaue (Cr)'!$C:$FB,82)</f>
        <v>-1.7399999999999999E-2</v>
      </c>
    </row>
    <row r="147" spans="1:15" x14ac:dyDescent="0.25">
      <c r="A147" s="97" t="str">
        <f>'Data Vlaue (Cr)'!C142</f>
        <v>MARUTI</v>
      </c>
      <c r="B147" s="142">
        <f>VLOOKUP(A147,'Data Vlaue (Cr)'!C142:CW371,99,0)</f>
        <v>9052</v>
      </c>
      <c r="C147" s="90">
        <f>VLOOKUP(A147,'Data Vlaue (Cr)'!C142:CY371,101,0)</f>
        <v>-32</v>
      </c>
      <c r="D147" s="139">
        <f>VLOOKUP(A147,'Data Vlaue (Cr)'!C142:CZ371,102,0)</f>
        <v>-3.5000000000000001E-3</v>
      </c>
      <c r="E147" s="91">
        <f>VLOOKUP($A147,'Data Vlaue (Cr)'!$C:$FB,75)</f>
        <v>3802</v>
      </c>
      <c r="F147" s="91">
        <f>VLOOKUP($A147,'Data Vlaue (Cr)'!$C:$FB,77)</f>
        <v>-31</v>
      </c>
      <c r="G147" s="92">
        <f>VLOOKUP(A147,'Data Vlaue (Cr)'!C142:CB371,78,0)</f>
        <v>-8.0000000000000002E-3</v>
      </c>
      <c r="H147" s="91">
        <f>VLOOKUP($A147,'Data Vlaue (Cr)'!$C:$FB,91)</f>
        <v>4001</v>
      </c>
      <c r="I147" s="91">
        <f>VLOOKUP($A147,'Data Vlaue (Cr)'!$C:$FB,93)</f>
        <v>-45</v>
      </c>
      <c r="J147" s="92">
        <f>VLOOKUP($A147,'Data Vlaue (Cr)'!$C:$FB,94)</f>
        <v>-1.11E-2</v>
      </c>
      <c r="K147" s="91">
        <f>VLOOKUP($A147,'Data Vlaue (Cr)'!$C:$FB,95)</f>
        <v>1249</v>
      </c>
      <c r="L147" s="91">
        <f>VLOOKUP($A147,'Data Vlaue (Cr)'!$C:$FB,97)</f>
        <v>43</v>
      </c>
      <c r="M147" s="92">
        <f>VLOOKUP($A147,'Data Vlaue (Cr)'!$C:$FB,98)</f>
        <v>3.5900000000000001E-2</v>
      </c>
      <c r="N147" s="91">
        <f>VLOOKUP($A147,'Data Vlaue (Cr)'!$C:$FB,79)</f>
        <v>3542</v>
      </c>
      <c r="O147" s="92">
        <f>VLOOKUP($A147,'Data Vlaue (Cr)'!$C:$FB,82)</f>
        <v>-1.03E-2</v>
      </c>
    </row>
    <row r="148" spans="1:15" x14ac:dyDescent="0.25">
      <c r="A148" s="97" t="str">
        <f>'Data Vlaue (Cr)'!C143</f>
        <v>MAXHEALTH</v>
      </c>
      <c r="B148" s="142">
        <f>VLOOKUP(A148,'Data Vlaue (Cr)'!C143:CW372,99,0)</f>
        <v>1997</v>
      </c>
      <c r="C148" s="90">
        <f>VLOOKUP(A148,'Data Vlaue (Cr)'!C143:CY372,101,0)</f>
        <v>-18</v>
      </c>
      <c r="D148" s="139">
        <f>VLOOKUP(A148,'Data Vlaue (Cr)'!C143:CZ372,102,0)</f>
        <v>-8.8000000000000005E-3</v>
      </c>
      <c r="E148" s="91">
        <f>VLOOKUP($A148,'Data Vlaue (Cr)'!$C:$FB,75)</f>
        <v>1436</v>
      </c>
      <c r="F148" s="91">
        <f>VLOOKUP($A148,'Data Vlaue (Cr)'!$C:$FB,77)</f>
        <v>6</v>
      </c>
      <c r="G148" s="92">
        <f>VLOOKUP(A148,'Data Vlaue (Cr)'!C143:CB372,78,0)</f>
        <v>4.0000000000000001E-3</v>
      </c>
      <c r="H148" s="91">
        <f>VLOOKUP($A148,'Data Vlaue (Cr)'!$C:$FB,91)</f>
        <v>409</v>
      </c>
      <c r="I148" s="91">
        <f>VLOOKUP($A148,'Data Vlaue (Cr)'!$C:$FB,93)</f>
        <v>-21</v>
      </c>
      <c r="J148" s="92">
        <f>VLOOKUP($A148,'Data Vlaue (Cr)'!$C:$FB,94)</f>
        <v>-4.8399999999999999E-2</v>
      </c>
      <c r="K148" s="91">
        <f>VLOOKUP($A148,'Data Vlaue (Cr)'!$C:$FB,95)</f>
        <v>152</v>
      </c>
      <c r="L148" s="91">
        <f>VLOOKUP($A148,'Data Vlaue (Cr)'!$C:$FB,97)</f>
        <v>-3</v>
      </c>
      <c r="M148" s="92">
        <f>VLOOKUP($A148,'Data Vlaue (Cr)'!$C:$FB,98)</f>
        <v>-1.78E-2</v>
      </c>
      <c r="N148" s="91">
        <f>VLOOKUP($A148,'Data Vlaue (Cr)'!$C:$FB,79)</f>
        <v>1379</v>
      </c>
      <c r="O148" s="92">
        <f>VLOOKUP($A148,'Data Vlaue (Cr)'!$C:$FB,82)</f>
        <v>4.1000000000000003E-3</v>
      </c>
    </row>
    <row r="149" spans="1:15" x14ac:dyDescent="0.25">
      <c r="A149" s="97" t="str">
        <f>'Data Vlaue (Cr)'!C144</f>
        <v>MAZDOCK</v>
      </c>
      <c r="B149" s="142">
        <f>VLOOKUP(A149,'Data Vlaue (Cr)'!C144:CW373,99,0)</f>
        <v>2319</v>
      </c>
      <c r="C149" s="90">
        <f>VLOOKUP(A149,'Data Vlaue (Cr)'!C144:CY373,101,0)</f>
        <v>114</v>
      </c>
      <c r="D149" s="139">
        <f>VLOOKUP(A149,'Data Vlaue (Cr)'!C144:CZ373,102,0)</f>
        <v>5.1799999999999999E-2</v>
      </c>
      <c r="E149" s="91">
        <f>VLOOKUP($A149,'Data Vlaue (Cr)'!$C:$FB,75)</f>
        <v>1077</v>
      </c>
      <c r="F149" s="91">
        <f>VLOOKUP($A149,'Data Vlaue (Cr)'!$C:$FB,77)</f>
        <v>25</v>
      </c>
      <c r="G149" s="92">
        <f>VLOOKUP(A149,'Data Vlaue (Cr)'!C144:CB373,78,0)</f>
        <v>2.3800000000000002E-2</v>
      </c>
      <c r="H149" s="91">
        <f>VLOOKUP($A149,'Data Vlaue (Cr)'!$C:$FB,91)</f>
        <v>876</v>
      </c>
      <c r="I149" s="91">
        <f>VLOOKUP($A149,'Data Vlaue (Cr)'!$C:$FB,93)</f>
        <v>80</v>
      </c>
      <c r="J149" s="92">
        <f>VLOOKUP($A149,'Data Vlaue (Cr)'!$C:$FB,94)</f>
        <v>0.1009</v>
      </c>
      <c r="K149" s="91">
        <f>VLOOKUP($A149,'Data Vlaue (Cr)'!$C:$FB,95)</f>
        <v>366</v>
      </c>
      <c r="L149" s="91">
        <f>VLOOKUP($A149,'Data Vlaue (Cr)'!$C:$FB,97)</f>
        <v>9</v>
      </c>
      <c r="M149" s="92">
        <f>VLOOKUP($A149,'Data Vlaue (Cr)'!$C:$FB,98)</f>
        <v>2.5100000000000001E-2</v>
      </c>
      <c r="N149" s="91">
        <f>VLOOKUP($A149,'Data Vlaue (Cr)'!$C:$FB,79)</f>
        <v>941</v>
      </c>
      <c r="O149" s="92">
        <f>VLOOKUP($A149,'Data Vlaue (Cr)'!$C:$FB,82)</f>
        <v>-7.0000000000000001E-3</v>
      </c>
    </row>
    <row r="150" spans="1:15" x14ac:dyDescent="0.25">
      <c r="A150" s="97" t="str">
        <f>'Data Vlaue (Cr)'!C145</f>
        <v>MCX</v>
      </c>
      <c r="B150" s="142">
        <f>VLOOKUP(A150,'Data Vlaue (Cr)'!C145:CW374,99,0)</f>
        <v>6650</v>
      </c>
      <c r="C150" s="90">
        <f>VLOOKUP(A150,'Data Vlaue (Cr)'!C145:CY374,101,0)</f>
        <v>327</v>
      </c>
      <c r="D150" s="139">
        <f>VLOOKUP(A150,'Data Vlaue (Cr)'!C145:CZ374,102,0)</f>
        <v>5.16E-2</v>
      </c>
      <c r="E150" s="91">
        <f>VLOOKUP($A150,'Data Vlaue (Cr)'!$C:$FB,75)</f>
        <v>2248</v>
      </c>
      <c r="F150" s="91">
        <f>VLOOKUP($A150,'Data Vlaue (Cr)'!$C:$FB,77)</f>
        <v>69</v>
      </c>
      <c r="G150" s="92">
        <f>VLOOKUP(A150,'Data Vlaue (Cr)'!C145:CB374,78,0)</f>
        <v>3.1800000000000002E-2</v>
      </c>
      <c r="H150" s="91">
        <f>VLOOKUP($A150,'Data Vlaue (Cr)'!$C:$FB,91)</f>
        <v>2860</v>
      </c>
      <c r="I150" s="91">
        <f>VLOOKUP($A150,'Data Vlaue (Cr)'!$C:$FB,93)</f>
        <v>233</v>
      </c>
      <c r="J150" s="92">
        <f>VLOOKUP($A150,'Data Vlaue (Cr)'!$C:$FB,94)</f>
        <v>8.8700000000000001E-2</v>
      </c>
      <c r="K150" s="91">
        <f>VLOOKUP($A150,'Data Vlaue (Cr)'!$C:$FB,95)</f>
        <v>1543</v>
      </c>
      <c r="L150" s="91">
        <f>VLOOKUP($A150,'Data Vlaue (Cr)'!$C:$FB,97)</f>
        <v>24</v>
      </c>
      <c r="M150" s="92">
        <f>VLOOKUP($A150,'Data Vlaue (Cr)'!$C:$FB,98)</f>
        <v>1.6E-2</v>
      </c>
      <c r="N150" s="91">
        <f>VLOOKUP($A150,'Data Vlaue (Cr)'!$C:$FB,79)</f>
        <v>1991</v>
      </c>
      <c r="O150" s="92">
        <f>VLOOKUP($A150,'Data Vlaue (Cr)'!$C:$FB,82)</f>
        <v>4.3E-3</v>
      </c>
    </row>
    <row r="151" spans="1:15" x14ac:dyDescent="0.25">
      <c r="A151" s="97" t="str">
        <f>'Data Vlaue (Cr)'!C146</f>
        <v>MFSL</v>
      </c>
      <c r="B151" s="142">
        <f>VLOOKUP(A151,'Data Vlaue (Cr)'!C146:CW375,99,0)</f>
        <v>1434</v>
      </c>
      <c r="C151" s="90">
        <f>VLOOKUP(A151,'Data Vlaue (Cr)'!C146:CY375,101,0)</f>
        <v>22</v>
      </c>
      <c r="D151" s="139">
        <f>VLOOKUP(A151,'Data Vlaue (Cr)'!C146:CZ375,102,0)</f>
        <v>1.54E-2</v>
      </c>
      <c r="E151" s="91">
        <f>VLOOKUP($A151,'Data Vlaue (Cr)'!$C:$FB,75)</f>
        <v>947</v>
      </c>
      <c r="F151" s="91">
        <f>VLOOKUP($A151,'Data Vlaue (Cr)'!$C:$FB,77)</f>
        <v>33</v>
      </c>
      <c r="G151" s="92">
        <f>VLOOKUP(A151,'Data Vlaue (Cr)'!C146:CB375,78,0)</f>
        <v>3.56E-2</v>
      </c>
      <c r="H151" s="91">
        <f>VLOOKUP($A151,'Data Vlaue (Cr)'!$C:$FB,91)</f>
        <v>267</v>
      </c>
      <c r="I151" s="91">
        <f>VLOOKUP($A151,'Data Vlaue (Cr)'!$C:$FB,93)</f>
        <v>-8</v>
      </c>
      <c r="J151" s="92">
        <f>VLOOKUP($A151,'Data Vlaue (Cr)'!$C:$FB,94)</f>
        <v>-2.8199999999999999E-2</v>
      </c>
      <c r="K151" s="91">
        <f>VLOOKUP($A151,'Data Vlaue (Cr)'!$C:$FB,95)</f>
        <v>220</v>
      </c>
      <c r="L151" s="91">
        <f>VLOOKUP($A151,'Data Vlaue (Cr)'!$C:$FB,97)</f>
        <v>-3</v>
      </c>
      <c r="M151" s="92">
        <f>VLOOKUP($A151,'Data Vlaue (Cr)'!$C:$FB,98)</f>
        <v>-1.35E-2</v>
      </c>
      <c r="N151" s="91">
        <f>VLOOKUP($A151,'Data Vlaue (Cr)'!$C:$FB,79)</f>
        <v>893</v>
      </c>
      <c r="O151" s="92">
        <f>VLOOKUP($A151,'Data Vlaue (Cr)'!$C:$FB,82)</f>
        <v>6.6E-3</v>
      </c>
    </row>
    <row r="152" spans="1:15" x14ac:dyDescent="0.25">
      <c r="A152" s="97" t="str">
        <f>'Data Vlaue (Cr)'!C147</f>
        <v>MGL</v>
      </c>
      <c r="B152" s="142">
        <f>VLOOKUP(A152,'Data Vlaue (Cr)'!C147:CW376,99,0)</f>
        <v>1066</v>
      </c>
      <c r="C152" s="90">
        <f>VLOOKUP(A152,'Data Vlaue (Cr)'!C147:CY376,101,0)</f>
        <v>318</v>
      </c>
      <c r="D152" s="139">
        <f>VLOOKUP(A152,'Data Vlaue (Cr)'!C147:CZ376,102,0)</f>
        <v>0.42470000000000002</v>
      </c>
      <c r="E152" s="91">
        <f>VLOOKUP($A152,'Data Vlaue (Cr)'!$C:$FB,75)</f>
        <v>283</v>
      </c>
      <c r="F152" s="91">
        <f>VLOOKUP($A152,'Data Vlaue (Cr)'!$C:$FB,77)</f>
        <v>6</v>
      </c>
      <c r="G152" s="92">
        <f>VLOOKUP(A152,'Data Vlaue (Cr)'!C147:CB376,78,0)</f>
        <v>2.35E-2</v>
      </c>
      <c r="H152" s="91">
        <f>VLOOKUP($A152,'Data Vlaue (Cr)'!$C:$FB,91)</f>
        <v>532</v>
      </c>
      <c r="I152" s="91">
        <f>VLOOKUP($A152,'Data Vlaue (Cr)'!$C:$FB,93)</f>
        <v>264</v>
      </c>
      <c r="J152" s="92">
        <f>VLOOKUP($A152,'Data Vlaue (Cr)'!$C:$FB,94)</f>
        <v>0.98270000000000002</v>
      </c>
      <c r="K152" s="91">
        <f>VLOOKUP($A152,'Data Vlaue (Cr)'!$C:$FB,95)</f>
        <v>251</v>
      </c>
      <c r="L152" s="91">
        <f>VLOOKUP($A152,'Data Vlaue (Cr)'!$C:$FB,97)</f>
        <v>48</v>
      </c>
      <c r="M152" s="92">
        <f>VLOOKUP($A152,'Data Vlaue (Cr)'!$C:$FB,98)</f>
        <v>0.23380000000000001</v>
      </c>
      <c r="N152" s="91">
        <f>VLOOKUP($A152,'Data Vlaue (Cr)'!$C:$FB,79)</f>
        <v>283</v>
      </c>
      <c r="O152" s="92">
        <f>VLOOKUP($A152,'Data Vlaue (Cr)'!$C:$FB,82)</f>
        <v>2.35E-2</v>
      </c>
    </row>
    <row r="153" spans="1:15" x14ac:dyDescent="0.25">
      <c r="A153" s="97" t="str">
        <f>'Data Vlaue (Cr)'!C148</f>
        <v>MIDCPNIFTY</v>
      </c>
      <c r="B153" s="142">
        <f>VLOOKUP(A153,'Data Vlaue (Cr)'!C148:CW377,99,0)</f>
        <v>31220</v>
      </c>
      <c r="C153" s="90">
        <f>VLOOKUP(A153,'Data Vlaue (Cr)'!C148:CY377,101,0)</f>
        <v>2783</v>
      </c>
      <c r="D153" s="139">
        <f>VLOOKUP(A153,'Data Vlaue (Cr)'!C148:CZ377,102,0)</f>
        <v>9.7900000000000001E-2</v>
      </c>
      <c r="E153" s="91">
        <f>VLOOKUP($A153,'Data Vlaue (Cr)'!$C:$FB,75)</f>
        <v>3036</v>
      </c>
      <c r="F153" s="91">
        <f>VLOOKUP($A153,'Data Vlaue (Cr)'!$C:$FB,77)</f>
        <v>-52</v>
      </c>
      <c r="G153" s="92">
        <f>VLOOKUP(A153,'Data Vlaue (Cr)'!C148:CB377,78,0)</f>
        <v>-1.7000000000000001E-2</v>
      </c>
      <c r="H153" s="91">
        <f>VLOOKUP($A153,'Data Vlaue (Cr)'!$C:$FB,91)</f>
        <v>15701</v>
      </c>
      <c r="I153" s="91">
        <f>VLOOKUP($A153,'Data Vlaue (Cr)'!$C:$FB,93)</f>
        <v>2273</v>
      </c>
      <c r="J153" s="92">
        <f>VLOOKUP($A153,'Data Vlaue (Cr)'!$C:$FB,94)</f>
        <v>0.16930000000000001</v>
      </c>
      <c r="K153" s="91">
        <f>VLOOKUP($A153,'Data Vlaue (Cr)'!$C:$FB,95)</f>
        <v>12482</v>
      </c>
      <c r="L153" s="91">
        <f>VLOOKUP($A153,'Data Vlaue (Cr)'!$C:$FB,97)</f>
        <v>562</v>
      </c>
      <c r="M153" s="92">
        <f>VLOOKUP($A153,'Data Vlaue (Cr)'!$C:$FB,98)</f>
        <v>4.7199999999999999E-2</v>
      </c>
      <c r="N153" s="91">
        <f>VLOOKUP($A153,'Data Vlaue (Cr)'!$C:$FB,79)</f>
        <v>2836</v>
      </c>
      <c r="O153" s="92">
        <f>VLOOKUP($A153,'Data Vlaue (Cr)'!$C:$FB,82)</f>
        <v>-2.3300000000000001E-2</v>
      </c>
    </row>
    <row r="154" spans="1:15" x14ac:dyDescent="0.25">
      <c r="A154" s="97" t="str">
        <f>'Data Vlaue (Cr)'!C149</f>
        <v>MOTHERSON</v>
      </c>
      <c r="B154" s="142">
        <f>VLOOKUP(A154,'Data Vlaue (Cr)'!C149:CW378,99,0)</f>
        <v>2143</v>
      </c>
      <c r="C154" s="90">
        <f>VLOOKUP(A154,'Data Vlaue (Cr)'!C149:CY378,101,0)</f>
        <v>71</v>
      </c>
      <c r="D154" s="139">
        <f>VLOOKUP(A154,'Data Vlaue (Cr)'!C149:CZ378,102,0)</f>
        <v>3.4099999999999998E-2</v>
      </c>
      <c r="E154" s="91">
        <f>VLOOKUP($A154,'Data Vlaue (Cr)'!$C:$FB,75)</f>
        <v>1447</v>
      </c>
      <c r="F154" s="91">
        <f>VLOOKUP($A154,'Data Vlaue (Cr)'!$C:$FB,77)</f>
        <v>24</v>
      </c>
      <c r="G154" s="92">
        <f>VLOOKUP(A154,'Data Vlaue (Cr)'!C149:CB378,78,0)</f>
        <v>1.6899999999999998E-2</v>
      </c>
      <c r="H154" s="91">
        <f>VLOOKUP($A154,'Data Vlaue (Cr)'!$C:$FB,91)</f>
        <v>456</v>
      </c>
      <c r="I154" s="91">
        <f>VLOOKUP($A154,'Data Vlaue (Cr)'!$C:$FB,93)</f>
        <v>38</v>
      </c>
      <c r="J154" s="92">
        <f>VLOOKUP($A154,'Data Vlaue (Cr)'!$C:$FB,94)</f>
        <v>9.1899999999999996E-2</v>
      </c>
      <c r="K154" s="91">
        <f>VLOOKUP($A154,'Data Vlaue (Cr)'!$C:$FB,95)</f>
        <v>240</v>
      </c>
      <c r="L154" s="91">
        <f>VLOOKUP($A154,'Data Vlaue (Cr)'!$C:$FB,97)</f>
        <v>8</v>
      </c>
      <c r="M154" s="92">
        <f>VLOOKUP($A154,'Data Vlaue (Cr)'!$C:$FB,98)</f>
        <v>3.56E-2</v>
      </c>
      <c r="N154" s="91">
        <f>VLOOKUP($A154,'Data Vlaue (Cr)'!$C:$FB,79)</f>
        <v>1339</v>
      </c>
      <c r="O154" s="92">
        <f>VLOOKUP($A154,'Data Vlaue (Cr)'!$C:$FB,82)</f>
        <v>4.0000000000000002E-4</v>
      </c>
    </row>
    <row r="155" spans="1:15" x14ac:dyDescent="0.25">
      <c r="A155" s="97" t="str">
        <f>'Data Vlaue (Cr)'!C150</f>
        <v>MPHASIS</v>
      </c>
      <c r="B155" s="142">
        <f>VLOOKUP(A155,'Data Vlaue (Cr)'!C150:CW379,99,0)</f>
        <v>1798</v>
      </c>
      <c r="C155" s="90">
        <f>VLOOKUP(A155,'Data Vlaue (Cr)'!C150:CY379,101,0)</f>
        <v>-67</v>
      </c>
      <c r="D155" s="139">
        <f>VLOOKUP(A155,'Data Vlaue (Cr)'!C150:CZ379,102,0)</f>
        <v>-3.5799999999999998E-2</v>
      </c>
      <c r="E155" s="91">
        <f>VLOOKUP($A155,'Data Vlaue (Cr)'!$C:$FB,75)</f>
        <v>1258</v>
      </c>
      <c r="F155" s="91">
        <f>VLOOKUP($A155,'Data Vlaue (Cr)'!$C:$FB,77)</f>
        <v>-55</v>
      </c>
      <c r="G155" s="92">
        <f>VLOOKUP(A155,'Data Vlaue (Cr)'!C150:CB379,78,0)</f>
        <v>-4.2200000000000001E-2</v>
      </c>
      <c r="H155" s="91">
        <f>VLOOKUP($A155,'Data Vlaue (Cr)'!$C:$FB,91)</f>
        <v>275</v>
      </c>
      <c r="I155" s="91">
        <f>VLOOKUP($A155,'Data Vlaue (Cr)'!$C:$FB,93)</f>
        <v>-8</v>
      </c>
      <c r="J155" s="92">
        <f>VLOOKUP($A155,'Data Vlaue (Cr)'!$C:$FB,94)</f>
        <v>-2.7400000000000001E-2</v>
      </c>
      <c r="K155" s="91">
        <f>VLOOKUP($A155,'Data Vlaue (Cr)'!$C:$FB,95)</f>
        <v>265</v>
      </c>
      <c r="L155" s="91">
        <f>VLOOKUP($A155,'Data Vlaue (Cr)'!$C:$FB,97)</f>
        <v>-4</v>
      </c>
      <c r="M155" s="92">
        <f>VLOOKUP($A155,'Data Vlaue (Cr)'!$C:$FB,98)</f>
        <v>-1.37E-2</v>
      </c>
      <c r="N155" s="91">
        <f>VLOOKUP($A155,'Data Vlaue (Cr)'!$C:$FB,79)</f>
        <v>1232</v>
      </c>
      <c r="O155" s="92">
        <f>VLOOKUP($A155,'Data Vlaue (Cr)'!$C:$FB,82)</f>
        <v>-4.4299999999999999E-2</v>
      </c>
    </row>
    <row r="156" spans="1:15" x14ac:dyDescent="0.25">
      <c r="A156" s="97" t="str">
        <f>'Data Vlaue (Cr)'!C151</f>
        <v>MUTHOOTFIN</v>
      </c>
      <c r="B156" s="142">
        <f>VLOOKUP(A156,'Data Vlaue (Cr)'!C151:CW380,99,0)</f>
        <v>2321</v>
      </c>
      <c r="C156" s="90">
        <f>VLOOKUP(A156,'Data Vlaue (Cr)'!C151:CY380,101,0)</f>
        <v>9</v>
      </c>
      <c r="D156" s="139">
        <f>VLOOKUP(A156,'Data Vlaue (Cr)'!C151:CZ380,102,0)</f>
        <v>3.8E-3</v>
      </c>
      <c r="E156" s="91">
        <f>VLOOKUP($A156,'Data Vlaue (Cr)'!$C:$FB,75)</f>
        <v>1269</v>
      </c>
      <c r="F156" s="91">
        <f>VLOOKUP($A156,'Data Vlaue (Cr)'!$C:$FB,77)</f>
        <v>40</v>
      </c>
      <c r="G156" s="92">
        <f>VLOOKUP(A156,'Data Vlaue (Cr)'!C151:CB380,78,0)</f>
        <v>3.2199999999999999E-2</v>
      </c>
      <c r="H156" s="91">
        <f>VLOOKUP($A156,'Data Vlaue (Cr)'!$C:$FB,91)</f>
        <v>753</v>
      </c>
      <c r="I156" s="91">
        <f>VLOOKUP($A156,'Data Vlaue (Cr)'!$C:$FB,93)</f>
        <v>-23</v>
      </c>
      <c r="J156" s="92">
        <f>VLOOKUP($A156,'Data Vlaue (Cr)'!$C:$FB,94)</f>
        <v>-3.0200000000000001E-2</v>
      </c>
      <c r="K156" s="91">
        <f>VLOOKUP($A156,'Data Vlaue (Cr)'!$C:$FB,95)</f>
        <v>300</v>
      </c>
      <c r="L156" s="91">
        <f>VLOOKUP($A156,'Data Vlaue (Cr)'!$C:$FB,97)</f>
        <v>-7</v>
      </c>
      <c r="M156" s="92">
        <f>VLOOKUP($A156,'Data Vlaue (Cr)'!$C:$FB,98)</f>
        <v>-2.41E-2</v>
      </c>
      <c r="N156" s="91">
        <f>VLOOKUP($A156,'Data Vlaue (Cr)'!$C:$FB,79)</f>
        <v>1154</v>
      </c>
      <c r="O156" s="92">
        <f>VLOOKUP($A156,'Data Vlaue (Cr)'!$C:$FB,82)</f>
        <v>2.2100000000000002E-2</v>
      </c>
    </row>
    <row r="157" spans="1:15" x14ac:dyDescent="0.25">
      <c r="A157" s="97" t="str">
        <f>'Data Vlaue (Cr)'!C152</f>
        <v>NATIONALUM</v>
      </c>
      <c r="B157" s="142">
        <f>VLOOKUP(A157,'Data Vlaue (Cr)'!C152:CW381,99,0)</f>
        <v>2276</v>
      </c>
      <c r="C157" s="90">
        <f>VLOOKUP(A157,'Data Vlaue (Cr)'!C152:CY381,101,0)</f>
        <v>0</v>
      </c>
      <c r="D157" s="139">
        <f>VLOOKUP(A157,'Data Vlaue (Cr)'!C152:CZ381,102,0)</f>
        <v>1E-4</v>
      </c>
      <c r="E157" s="91">
        <f>VLOOKUP($A157,'Data Vlaue (Cr)'!$C:$FB,75)</f>
        <v>1390</v>
      </c>
      <c r="F157" s="91">
        <f>VLOOKUP($A157,'Data Vlaue (Cr)'!$C:$FB,77)</f>
        <v>19</v>
      </c>
      <c r="G157" s="92">
        <f>VLOOKUP(A157,'Data Vlaue (Cr)'!C152:CB381,78,0)</f>
        <v>1.37E-2</v>
      </c>
      <c r="H157" s="91">
        <f>VLOOKUP($A157,'Data Vlaue (Cr)'!$C:$FB,91)</f>
        <v>519</v>
      </c>
      <c r="I157" s="91">
        <f>VLOOKUP($A157,'Data Vlaue (Cr)'!$C:$FB,93)</f>
        <v>-24</v>
      </c>
      <c r="J157" s="92">
        <f>VLOOKUP($A157,'Data Vlaue (Cr)'!$C:$FB,94)</f>
        <v>-4.4400000000000002E-2</v>
      </c>
      <c r="K157" s="91">
        <f>VLOOKUP($A157,'Data Vlaue (Cr)'!$C:$FB,95)</f>
        <v>367</v>
      </c>
      <c r="L157" s="91">
        <f>VLOOKUP($A157,'Data Vlaue (Cr)'!$C:$FB,97)</f>
        <v>6</v>
      </c>
      <c r="M157" s="92">
        <f>VLOOKUP($A157,'Data Vlaue (Cr)'!$C:$FB,98)</f>
        <v>1.5299999999999999E-2</v>
      </c>
      <c r="N157" s="91">
        <f>VLOOKUP($A157,'Data Vlaue (Cr)'!$C:$FB,79)</f>
        <v>1249</v>
      </c>
      <c r="O157" s="92">
        <f>VLOOKUP($A157,'Data Vlaue (Cr)'!$C:$FB,82)</f>
        <v>-2.3999999999999998E-3</v>
      </c>
    </row>
    <row r="158" spans="1:15" x14ac:dyDescent="0.25">
      <c r="A158" s="97" t="str">
        <f>'Data Vlaue (Cr)'!C153</f>
        <v>NAUKRI</v>
      </c>
      <c r="B158" s="142">
        <f>VLOOKUP(A158,'Data Vlaue (Cr)'!C153:CW382,99,0)</f>
        <v>2419</v>
      </c>
      <c r="C158" s="90">
        <f>VLOOKUP(A158,'Data Vlaue (Cr)'!C153:CY382,101,0)</f>
        <v>-30</v>
      </c>
      <c r="D158" s="139">
        <f>VLOOKUP(A158,'Data Vlaue (Cr)'!C153:CZ382,102,0)</f>
        <v>-1.21E-2</v>
      </c>
      <c r="E158" s="91">
        <f>VLOOKUP($A158,'Data Vlaue (Cr)'!$C:$FB,75)</f>
        <v>1774</v>
      </c>
      <c r="F158" s="91">
        <f>VLOOKUP($A158,'Data Vlaue (Cr)'!$C:$FB,77)</f>
        <v>3</v>
      </c>
      <c r="G158" s="92">
        <f>VLOOKUP(A158,'Data Vlaue (Cr)'!C153:CB382,78,0)</f>
        <v>1.6000000000000001E-3</v>
      </c>
      <c r="H158" s="91">
        <f>VLOOKUP($A158,'Data Vlaue (Cr)'!$C:$FB,91)</f>
        <v>428</v>
      </c>
      <c r="I158" s="91">
        <f>VLOOKUP($A158,'Data Vlaue (Cr)'!$C:$FB,93)</f>
        <v>-37</v>
      </c>
      <c r="J158" s="92">
        <f>VLOOKUP($A158,'Data Vlaue (Cr)'!$C:$FB,94)</f>
        <v>-7.9500000000000001E-2</v>
      </c>
      <c r="K158" s="91">
        <f>VLOOKUP($A158,'Data Vlaue (Cr)'!$C:$FB,95)</f>
        <v>217</v>
      </c>
      <c r="L158" s="91">
        <f>VLOOKUP($A158,'Data Vlaue (Cr)'!$C:$FB,97)</f>
        <v>5</v>
      </c>
      <c r="M158" s="92">
        <f>VLOOKUP($A158,'Data Vlaue (Cr)'!$C:$FB,98)</f>
        <v>2.1899999999999999E-2</v>
      </c>
      <c r="N158" s="91">
        <f>VLOOKUP($A158,'Data Vlaue (Cr)'!$C:$FB,79)</f>
        <v>1711</v>
      </c>
      <c r="O158" s="92">
        <f>VLOOKUP($A158,'Data Vlaue (Cr)'!$C:$FB,82)</f>
        <v>-1.34E-2</v>
      </c>
    </row>
    <row r="159" spans="1:15" x14ac:dyDescent="0.25">
      <c r="A159" s="97" t="str">
        <f>'Data Vlaue (Cr)'!C154</f>
        <v>NBCC</v>
      </c>
      <c r="B159" s="142">
        <f>VLOOKUP(A159,'Data Vlaue (Cr)'!C154:CW383,99,0)</f>
        <v>1203</v>
      </c>
      <c r="C159" s="90">
        <f>VLOOKUP(A159,'Data Vlaue (Cr)'!C154:CY383,101,0)</f>
        <v>-11</v>
      </c>
      <c r="D159" s="139">
        <f>VLOOKUP(A159,'Data Vlaue (Cr)'!C154:CZ383,102,0)</f>
        <v>-9.4000000000000004E-3</v>
      </c>
      <c r="E159" s="91">
        <f>VLOOKUP($A159,'Data Vlaue (Cr)'!$C:$FB,75)</f>
        <v>686</v>
      </c>
      <c r="F159" s="91">
        <f>VLOOKUP($A159,'Data Vlaue (Cr)'!$C:$FB,77)</f>
        <v>-11</v>
      </c>
      <c r="G159" s="92">
        <f>VLOOKUP(A159,'Data Vlaue (Cr)'!C154:CB383,78,0)</f>
        <v>-1.6199999999999999E-2</v>
      </c>
      <c r="H159" s="91">
        <f>VLOOKUP($A159,'Data Vlaue (Cr)'!$C:$FB,91)</f>
        <v>347</v>
      </c>
      <c r="I159" s="91">
        <f>VLOOKUP($A159,'Data Vlaue (Cr)'!$C:$FB,93)</f>
        <v>2</v>
      </c>
      <c r="J159" s="92">
        <f>VLOOKUP($A159,'Data Vlaue (Cr)'!$C:$FB,94)</f>
        <v>6.8999999999999999E-3</v>
      </c>
      <c r="K159" s="91">
        <f>VLOOKUP($A159,'Data Vlaue (Cr)'!$C:$FB,95)</f>
        <v>170</v>
      </c>
      <c r="L159" s="91">
        <f>VLOOKUP($A159,'Data Vlaue (Cr)'!$C:$FB,97)</f>
        <v>-3</v>
      </c>
      <c r="M159" s="92">
        <f>VLOOKUP($A159,'Data Vlaue (Cr)'!$C:$FB,98)</f>
        <v>-1.47E-2</v>
      </c>
      <c r="N159" s="91">
        <f>VLOOKUP($A159,'Data Vlaue (Cr)'!$C:$FB,79)</f>
        <v>615</v>
      </c>
      <c r="O159" s="92">
        <f>VLOOKUP($A159,'Data Vlaue (Cr)'!$C:$FB,82)</f>
        <v>-2.6499999999999999E-2</v>
      </c>
    </row>
    <row r="160" spans="1:15" x14ac:dyDescent="0.25">
      <c r="A160" s="97" t="str">
        <f>'Data Vlaue (Cr)'!C155</f>
        <v>NCC</v>
      </c>
      <c r="B160" s="142">
        <f>VLOOKUP(A160,'Data Vlaue (Cr)'!C155:CW384,99,0)</f>
        <v>736</v>
      </c>
      <c r="C160" s="90">
        <f>VLOOKUP(A160,'Data Vlaue (Cr)'!C155:CY384,101,0)</f>
        <v>23</v>
      </c>
      <c r="D160" s="139">
        <f>VLOOKUP(A160,'Data Vlaue (Cr)'!C155:CZ384,102,0)</f>
        <v>3.2099999999999997E-2</v>
      </c>
      <c r="E160" s="91">
        <f>VLOOKUP($A160,'Data Vlaue (Cr)'!$C:$FB,75)</f>
        <v>371</v>
      </c>
      <c r="F160" s="91">
        <f>VLOOKUP($A160,'Data Vlaue (Cr)'!$C:$FB,77)</f>
        <v>2</v>
      </c>
      <c r="G160" s="92">
        <f>VLOOKUP(A160,'Data Vlaue (Cr)'!C155:CB384,78,0)</f>
        <v>5.0000000000000001E-3</v>
      </c>
      <c r="H160" s="91">
        <f>VLOOKUP($A160,'Data Vlaue (Cr)'!$C:$FB,91)</f>
        <v>257</v>
      </c>
      <c r="I160" s="91">
        <f>VLOOKUP($A160,'Data Vlaue (Cr)'!$C:$FB,93)</f>
        <v>17</v>
      </c>
      <c r="J160" s="92">
        <f>VLOOKUP($A160,'Data Vlaue (Cr)'!$C:$FB,94)</f>
        <v>7.1499999999999994E-2</v>
      </c>
      <c r="K160" s="91">
        <f>VLOOKUP($A160,'Data Vlaue (Cr)'!$C:$FB,95)</f>
        <v>108</v>
      </c>
      <c r="L160" s="91">
        <f>VLOOKUP($A160,'Data Vlaue (Cr)'!$C:$FB,97)</f>
        <v>4</v>
      </c>
      <c r="M160" s="92">
        <f>VLOOKUP($A160,'Data Vlaue (Cr)'!$C:$FB,98)</f>
        <v>3.7900000000000003E-2</v>
      </c>
      <c r="N160" s="91">
        <f>VLOOKUP($A160,'Data Vlaue (Cr)'!$C:$FB,79)</f>
        <v>313</v>
      </c>
      <c r="O160" s="92">
        <f>VLOOKUP($A160,'Data Vlaue (Cr)'!$C:$FB,82)</f>
        <v>-4.4999999999999997E-3</v>
      </c>
    </row>
    <row r="161" spans="1:15" x14ac:dyDescent="0.25">
      <c r="A161" s="97" t="str">
        <f>'Data Vlaue (Cr)'!C156</f>
        <v>NESTLEIND</v>
      </c>
      <c r="B161" s="142">
        <f>VLOOKUP(A161,'Data Vlaue (Cr)'!C156:CW385,99,0)</f>
        <v>3526</v>
      </c>
      <c r="C161" s="90">
        <f>VLOOKUP(A161,'Data Vlaue (Cr)'!C156:CY385,101,0)</f>
        <v>55</v>
      </c>
      <c r="D161" s="139">
        <f>VLOOKUP(A161,'Data Vlaue (Cr)'!C156:CZ385,102,0)</f>
        <v>1.5900000000000001E-2</v>
      </c>
      <c r="E161" s="91">
        <f>VLOOKUP($A161,'Data Vlaue (Cr)'!$C:$FB,75)</f>
        <v>2418</v>
      </c>
      <c r="F161" s="91">
        <f>VLOOKUP($A161,'Data Vlaue (Cr)'!$C:$FB,77)</f>
        <v>7</v>
      </c>
      <c r="G161" s="92">
        <f>VLOOKUP(A161,'Data Vlaue (Cr)'!C156:CB385,78,0)</f>
        <v>2.8999999999999998E-3</v>
      </c>
      <c r="H161" s="91">
        <f>VLOOKUP($A161,'Data Vlaue (Cr)'!$C:$FB,91)</f>
        <v>554</v>
      </c>
      <c r="I161" s="91">
        <f>VLOOKUP($A161,'Data Vlaue (Cr)'!$C:$FB,93)</f>
        <v>17</v>
      </c>
      <c r="J161" s="92">
        <f>VLOOKUP($A161,'Data Vlaue (Cr)'!$C:$FB,94)</f>
        <v>3.2099999999999997E-2</v>
      </c>
      <c r="K161" s="91">
        <f>VLOOKUP($A161,'Data Vlaue (Cr)'!$C:$FB,95)</f>
        <v>554</v>
      </c>
      <c r="L161" s="91">
        <f>VLOOKUP($A161,'Data Vlaue (Cr)'!$C:$FB,97)</f>
        <v>31</v>
      </c>
      <c r="M161" s="92">
        <f>VLOOKUP($A161,'Data Vlaue (Cr)'!$C:$FB,98)</f>
        <v>5.9499999999999997E-2</v>
      </c>
      <c r="N161" s="91">
        <f>VLOOKUP($A161,'Data Vlaue (Cr)'!$C:$FB,79)</f>
        <v>2311</v>
      </c>
      <c r="O161" s="92">
        <f>VLOOKUP($A161,'Data Vlaue (Cr)'!$C:$FB,82)</f>
        <v>-1.5E-3</v>
      </c>
    </row>
    <row r="162" spans="1:15" x14ac:dyDescent="0.25">
      <c r="A162" s="97" t="str">
        <f>'Data Vlaue (Cr)'!C157</f>
        <v>NHPC</v>
      </c>
      <c r="B162" s="142">
        <f>VLOOKUP(A162,'Data Vlaue (Cr)'!C157:CW386,99,0)</f>
        <v>912</v>
      </c>
      <c r="C162" s="90">
        <f>VLOOKUP(A162,'Data Vlaue (Cr)'!C157:CY386,101,0)</f>
        <v>-1</v>
      </c>
      <c r="D162" s="139">
        <f>VLOOKUP(A162,'Data Vlaue (Cr)'!C157:CZ386,102,0)</f>
        <v>-1.2999999999999999E-3</v>
      </c>
      <c r="E162" s="91">
        <f>VLOOKUP($A162,'Data Vlaue (Cr)'!$C:$FB,75)</f>
        <v>606</v>
      </c>
      <c r="F162" s="91">
        <f>VLOOKUP($A162,'Data Vlaue (Cr)'!$C:$FB,77)</f>
        <v>-2</v>
      </c>
      <c r="G162" s="92">
        <f>VLOOKUP(A162,'Data Vlaue (Cr)'!C157:CB386,78,0)</f>
        <v>-3.2000000000000002E-3</v>
      </c>
      <c r="H162" s="91">
        <f>VLOOKUP($A162,'Data Vlaue (Cr)'!$C:$FB,91)</f>
        <v>204</v>
      </c>
      <c r="I162" s="91">
        <f>VLOOKUP($A162,'Data Vlaue (Cr)'!$C:$FB,93)</f>
        <v>3</v>
      </c>
      <c r="J162" s="92">
        <f>VLOOKUP($A162,'Data Vlaue (Cr)'!$C:$FB,94)</f>
        <v>1.38E-2</v>
      </c>
      <c r="K162" s="91">
        <f>VLOOKUP($A162,'Data Vlaue (Cr)'!$C:$FB,95)</f>
        <v>102</v>
      </c>
      <c r="L162" s="91">
        <f>VLOOKUP($A162,'Data Vlaue (Cr)'!$C:$FB,97)</f>
        <v>-2</v>
      </c>
      <c r="M162" s="92">
        <f>VLOOKUP($A162,'Data Vlaue (Cr)'!$C:$FB,98)</f>
        <v>-1.9599999999999999E-2</v>
      </c>
      <c r="N162" s="91">
        <f>VLOOKUP($A162,'Data Vlaue (Cr)'!$C:$FB,79)</f>
        <v>562</v>
      </c>
      <c r="O162" s="92">
        <f>VLOOKUP($A162,'Data Vlaue (Cr)'!$C:$FB,82)</f>
        <v>-1.38E-2</v>
      </c>
    </row>
    <row r="163" spans="1:15" x14ac:dyDescent="0.25">
      <c r="A163" s="97" t="str">
        <f>'Data Vlaue (Cr)'!C158</f>
        <v>NIFTY</v>
      </c>
      <c r="B163" s="142">
        <f>VLOOKUP(A163,'Data Vlaue (Cr)'!C158:CW387,99,0)</f>
        <v>1267480</v>
      </c>
      <c r="C163" s="90">
        <f>VLOOKUP(A163,'Data Vlaue (Cr)'!C158:CY387,101,0)</f>
        <v>133735</v>
      </c>
      <c r="D163" s="139">
        <f>VLOOKUP(A163,'Data Vlaue (Cr)'!C158:CZ387,102,0)</f>
        <v>0.11799999999999999</v>
      </c>
      <c r="E163" s="91">
        <f>VLOOKUP($A163,'Data Vlaue (Cr)'!$C:$FB,75)</f>
        <v>47822</v>
      </c>
      <c r="F163" s="91">
        <f>VLOOKUP($A163,'Data Vlaue (Cr)'!$C:$FB,77)</f>
        <v>214</v>
      </c>
      <c r="G163" s="92">
        <f>VLOOKUP(A163,'Data Vlaue (Cr)'!C158:CB387,78,0)</f>
        <v>4.4999999999999997E-3</v>
      </c>
      <c r="H163" s="91">
        <f>VLOOKUP($A163,'Data Vlaue (Cr)'!$C:$FB,91)</f>
        <v>663842</v>
      </c>
      <c r="I163" s="91">
        <f>VLOOKUP($A163,'Data Vlaue (Cr)'!$C:$FB,93)</f>
        <v>108287</v>
      </c>
      <c r="J163" s="92">
        <f>VLOOKUP($A163,'Data Vlaue (Cr)'!$C:$FB,94)</f>
        <v>0.19489999999999999</v>
      </c>
      <c r="K163" s="91">
        <f>VLOOKUP($A163,'Data Vlaue (Cr)'!$C:$FB,95)</f>
        <v>555817</v>
      </c>
      <c r="L163" s="91">
        <f>VLOOKUP($A163,'Data Vlaue (Cr)'!$C:$FB,97)</f>
        <v>25234</v>
      </c>
      <c r="M163" s="92">
        <f>VLOOKUP($A163,'Data Vlaue (Cr)'!$C:$FB,98)</f>
        <v>4.7600000000000003E-2</v>
      </c>
      <c r="N163" s="91">
        <f>VLOOKUP($A163,'Data Vlaue (Cr)'!$C:$FB,79)</f>
        <v>33176</v>
      </c>
      <c r="O163" s="92">
        <f>VLOOKUP($A163,'Data Vlaue (Cr)'!$C:$FB,82)</f>
        <v>-4.7999999999999996E-3</v>
      </c>
    </row>
    <row r="164" spans="1:15" x14ac:dyDescent="0.25">
      <c r="A164" s="97" t="str">
        <f>'Data Vlaue (Cr)'!C159</f>
        <v>NIFTYNXT50</v>
      </c>
      <c r="B164" s="142">
        <f>VLOOKUP(A164,'Data Vlaue (Cr)'!C159:CW388,99,0)</f>
        <v>240</v>
      </c>
      <c r="C164" s="90">
        <f>VLOOKUP(A164,'Data Vlaue (Cr)'!C159:CY388,101,0)</f>
        <v>-16</v>
      </c>
      <c r="D164" s="139">
        <f>VLOOKUP(A164,'Data Vlaue (Cr)'!C159:CZ388,102,0)</f>
        <v>-6.4000000000000001E-2</v>
      </c>
      <c r="E164" s="91">
        <f>VLOOKUP($A164,'Data Vlaue (Cr)'!$C:$FB,75)</f>
        <v>148</v>
      </c>
      <c r="F164" s="91">
        <f>VLOOKUP($A164,'Data Vlaue (Cr)'!$C:$FB,77)</f>
        <v>-11</v>
      </c>
      <c r="G164" s="92">
        <f>VLOOKUP(A164,'Data Vlaue (Cr)'!C159:CB388,78,0)</f>
        <v>-6.6699999999999995E-2</v>
      </c>
      <c r="H164" s="91">
        <f>VLOOKUP($A164,'Data Vlaue (Cr)'!$C:$FB,91)</f>
        <v>68</v>
      </c>
      <c r="I164" s="91">
        <f>VLOOKUP($A164,'Data Vlaue (Cr)'!$C:$FB,93)</f>
        <v>-5</v>
      </c>
      <c r="J164" s="92">
        <f>VLOOKUP($A164,'Data Vlaue (Cr)'!$C:$FB,94)</f>
        <v>-7.4399999999999994E-2</v>
      </c>
      <c r="K164" s="91">
        <f>VLOOKUP($A164,'Data Vlaue (Cr)'!$C:$FB,95)</f>
        <v>24</v>
      </c>
      <c r="L164" s="91">
        <f>VLOOKUP($A164,'Data Vlaue (Cr)'!$C:$FB,97)</f>
        <v>0</v>
      </c>
      <c r="M164" s="92">
        <f>VLOOKUP($A164,'Data Vlaue (Cr)'!$C:$FB,98)</f>
        <v>-1.41E-2</v>
      </c>
      <c r="N164" s="91">
        <f>VLOOKUP($A164,'Data Vlaue (Cr)'!$C:$FB,79)</f>
        <v>122</v>
      </c>
      <c r="O164" s="92">
        <f>VLOOKUP($A164,'Data Vlaue (Cr)'!$C:$FB,82)</f>
        <v>-9.2499999999999999E-2</v>
      </c>
    </row>
    <row r="165" spans="1:15" x14ac:dyDescent="0.25">
      <c r="A165" s="97" t="str">
        <f>'Data Vlaue (Cr)'!C160</f>
        <v>NMDC</v>
      </c>
      <c r="B165" s="142">
        <f>VLOOKUP(A165,'Data Vlaue (Cr)'!C160:CW389,99,0)</f>
        <v>3723</v>
      </c>
      <c r="C165" s="90">
        <f>VLOOKUP(A165,'Data Vlaue (Cr)'!C160:CY389,101,0)</f>
        <v>30</v>
      </c>
      <c r="D165" s="139">
        <f>VLOOKUP(A165,'Data Vlaue (Cr)'!C160:CZ389,102,0)</f>
        <v>8.0000000000000002E-3</v>
      </c>
      <c r="E165" s="91">
        <f>VLOOKUP($A165,'Data Vlaue (Cr)'!$C:$FB,75)</f>
        <v>1997</v>
      </c>
      <c r="F165" s="91">
        <f>VLOOKUP($A165,'Data Vlaue (Cr)'!$C:$FB,77)</f>
        <v>35</v>
      </c>
      <c r="G165" s="92">
        <f>VLOOKUP(A165,'Data Vlaue (Cr)'!C160:CB389,78,0)</f>
        <v>1.7899999999999999E-2</v>
      </c>
      <c r="H165" s="91">
        <f>VLOOKUP($A165,'Data Vlaue (Cr)'!$C:$FB,91)</f>
        <v>991</v>
      </c>
      <c r="I165" s="91">
        <f>VLOOKUP($A165,'Data Vlaue (Cr)'!$C:$FB,93)</f>
        <v>-2</v>
      </c>
      <c r="J165" s="92">
        <f>VLOOKUP($A165,'Data Vlaue (Cr)'!$C:$FB,94)</f>
        <v>-1.9E-3</v>
      </c>
      <c r="K165" s="91">
        <f>VLOOKUP($A165,'Data Vlaue (Cr)'!$C:$FB,95)</f>
        <v>736</v>
      </c>
      <c r="L165" s="91">
        <f>VLOOKUP($A165,'Data Vlaue (Cr)'!$C:$FB,97)</f>
        <v>-4</v>
      </c>
      <c r="M165" s="92">
        <f>VLOOKUP($A165,'Data Vlaue (Cr)'!$C:$FB,98)</f>
        <v>-4.7999999999999996E-3</v>
      </c>
      <c r="N165" s="91">
        <f>VLOOKUP($A165,'Data Vlaue (Cr)'!$C:$FB,79)</f>
        <v>1709</v>
      </c>
      <c r="O165" s="92">
        <f>VLOOKUP($A165,'Data Vlaue (Cr)'!$C:$FB,82)</f>
        <v>-8.5000000000000006E-3</v>
      </c>
    </row>
    <row r="166" spans="1:15" x14ac:dyDescent="0.25">
      <c r="A166" s="97" t="str">
        <f>'Data Vlaue (Cr)'!C161</f>
        <v>NTPC</v>
      </c>
      <c r="B166" s="142">
        <f>VLOOKUP(A166,'Data Vlaue (Cr)'!C161:CW390,99,0)</f>
        <v>7621</v>
      </c>
      <c r="C166" s="90">
        <f>VLOOKUP(A166,'Data Vlaue (Cr)'!C161:CY390,101,0)</f>
        <v>43</v>
      </c>
      <c r="D166" s="139">
        <f>VLOOKUP(A166,'Data Vlaue (Cr)'!C161:CZ390,102,0)</f>
        <v>5.7000000000000002E-3</v>
      </c>
      <c r="E166" s="91">
        <f>VLOOKUP($A166,'Data Vlaue (Cr)'!$C:$FB,75)</f>
        <v>3957</v>
      </c>
      <c r="F166" s="91">
        <f>VLOOKUP($A166,'Data Vlaue (Cr)'!$C:$FB,77)</f>
        <v>-20</v>
      </c>
      <c r="G166" s="92">
        <f>VLOOKUP(A166,'Data Vlaue (Cr)'!C161:CB390,78,0)</f>
        <v>-5.1000000000000004E-3</v>
      </c>
      <c r="H166" s="91">
        <f>VLOOKUP($A166,'Data Vlaue (Cr)'!$C:$FB,91)</f>
        <v>2764</v>
      </c>
      <c r="I166" s="91">
        <f>VLOOKUP($A166,'Data Vlaue (Cr)'!$C:$FB,93)</f>
        <v>32</v>
      </c>
      <c r="J166" s="92">
        <f>VLOOKUP($A166,'Data Vlaue (Cr)'!$C:$FB,94)</f>
        <v>1.18E-2</v>
      </c>
      <c r="K166" s="91">
        <f>VLOOKUP($A166,'Data Vlaue (Cr)'!$C:$FB,95)</f>
        <v>900</v>
      </c>
      <c r="L166" s="91">
        <f>VLOOKUP($A166,'Data Vlaue (Cr)'!$C:$FB,97)</f>
        <v>31</v>
      </c>
      <c r="M166" s="92">
        <f>VLOOKUP($A166,'Data Vlaue (Cr)'!$C:$FB,98)</f>
        <v>3.5799999999999998E-2</v>
      </c>
      <c r="N166" s="91">
        <f>VLOOKUP($A166,'Data Vlaue (Cr)'!$C:$FB,79)</f>
        <v>2932</v>
      </c>
      <c r="O166" s="92">
        <f>VLOOKUP($A166,'Data Vlaue (Cr)'!$C:$FB,82)</f>
        <v>-1.04E-2</v>
      </c>
    </row>
    <row r="167" spans="1:15" x14ac:dyDescent="0.25">
      <c r="A167" s="97" t="str">
        <f>'Data Vlaue (Cr)'!C162</f>
        <v>NYKAA</v>
      </c>
      <c r="B167" s="142">
        <f>VLOOKUP(A167,'Data Vlaue (Cr)'!C162:CW391,99,0)</f>
        <v>1866</v>
      </c>
      <c r="C167" s="90">
        <f>VLOOKUP(A167,'Data Vlaue (Cr)'!C162:CY391,101,0)</f>
        <v>266</v>
      </c>
      <c r="D167" s="139">
        <f>VLOOKUP(A167,'Data Vlaue (Cr)'!C162:CZ391,102,0)</f>
        <v>0.16600000000000001</v>
      </c>
      <c r="E167" s="91">
        <f>VLOOKUP($A167,'Data Vlaue (Cr)'!$C:$FB,75)</f>
        <v>1144</v>
      </c>
      <c r="F167" s="91">
        <f>VLOOKUP($A167,'Data Vlaue (Cr)'!$C:$FB,77)</f>
        <v>56</v>
      </c>
      <c r="G167" s="92">
        <f>VLOOKUP(A167,'Data Vlaue (Cr)'!C162:CB391,78,0)</f>
        <v>5.11E-2</v>
      </c>
      <c r="H167" s="91">
        <f>VLOOKUP($A167,'Data Vlaue (Cr)'!$C:$FB,91)</f>
        <v>470</v>
      </c>
      <c r="I167" s="91">
        <f>VLOOKUP($A167,'Data Vlaue (Cr)'!$C:$FB,93)</f>
        <v>181</v>
      </c>
      <c r="J167" s="92">
        <f>VLOOKUP($A167,'Data Vlaue (Cr)'!$C:$FB,94)</f>
        <v>0.62780000000000002</v>
      </c>
      <c r="K167" s="91">
        <f>VLOOKUP($A167,'Data Vlaue (Cr)'!$C:$FB,95)</f>
        <v>252</v>
      </c>
      <c r="L167" s="91">
        <f>VLOOKUP($A167,'Data Vlaue (Cr)'!$C:$FB,97)</f>
        <v>29</v>
      </c>
      <c r="M167" s="92">
        <f>VLOOKUP($A167,'Data Vlaue (Cr)'!$C:$FB,98)</f>
        <v>0.12889999999999999</v>
      </c>
      <c r="N167" s="91">
        <f>VLOOKUP($A167,'Data Vlaue (Cr)'!$C:$FB,79)</f>
        <v>1081</v>
      </c>
      <c r="O167" s="92">
        <f>VLOOKUP($A167,'Data Vlaue (Cr)'!$C:$FB,82)</f>
        <v>4.5100000000000001E-2</v>
      </c>
    </row>
    <row r="168" spans="1:15" x14ac:dyDescent="0.25">
      <c r="A168" s="97" t="str">
        <f>'Data Vlaue (Cr)'!C163</f>
        <v>OBEROIRLTY</v>
      </c>
      <c r="B168" s="142">
        <f>VLOOKUP(A168,'Data Vlaue (Cr)'!C163:CW392,99,0)</f>
        <v>1674</v>
      </c>
      <c r="C168" s="90">
        <f>VLOOKUP(A168,'Data Vlaue (Cr)'!C163:CY392,101,0)</f>
        <v>30</v>
      </c>
      <c r="D168" s="139">
        <f>VLOOKUP(A168,'Data Vlaue (Cr)'!C163:CZ392,102,0)</f>
        <v>1.7999999999999999E-2</v>
      </c>
      <c r="E168" s="91">
        <f>VLOOKUP($A168,'Data Vlaue (Cr)'!$C:$FB,75)</f>
        <v>921</v>
      </c>
      <c r="F168" s="91">
        <f>VLOOKUP($A168,'Data Vlaue (Cr)'!$C:$FB,77)</f>
        <v>29</v>
      </c>
      <c r="G168" s="92">
        <f>VLOOKUP(A168,'Data Vlaue (Cr)'!C163:CB392,78,0)</f>
        <v>3.3099999999999997E-2</v>
      </c>
      <c r="H168" s="91">
        <f>VLOOKUP($A168,'Data Vlaue (Cr)'!$C:$FB,91)</f>
        <v>469</v>
      </c>
      <c r="I168" s="91">
        <f>VLOOKUP($A168,'Data Vlaue (Cr)'!$C:$FB,93)</f>
        <v>7</v>
      </c>
      <c r="J168" s="92">
        <f>VLOOKUP($A168,'Data Vlaue (Cr)'!$C:$FB,94)</f>
        <v>1.4800000000000001E-2</v>
      </c>
      <c r="K168" s="91">
        <f>VLOOKUP($A168,'Data Vlaue (Cr)'!$C:$FB,95)</f>
        <v>284</v>
      </c>
      <c r="L168" s="91">
        <f>VLOOKUP($A168,'Data Vlaue (Cr)'!$C:$FB,97)</f>
        <v>-7</v>
      </c>
      <c r="M168" s="92">
        <f>VLOOKUP($A168,'Data Vlaue (Cr)'!$C:$FB,98)</f>
        <v>-2.3099999999999999E-2</v>
      </c>
      <c r="N168" s="91">
        <f>VLOOKUP($A168,'Data Vlaue (Cr)'!$C:$FB,79)</f>
        <v>857</v>
      </c>
      <c r="O168" s="92">
        <f>VLOOKUP($A168,'Data Vlaue (Cr)'!$C:$FB,82)</f>
        <v>1.4500000000000001E-2</v>
      </c>
    </row>
    <row r="169" spans="1:15" x14ac:dyDescent="0.25">
      <c r="A169" s="97" t="str">
        <f>'Data Vlaue (Cr)'!C164</f>
        <v>OFSS</v>
      </c>
      <c r="B169" s="142">
        <f>VLOOKUP(A169,'Data Vlaue (Cr)'!C164:CW393,99,0)</f>
        <v>1925</v>
      </c>
      <c r="C169" s="90">
        <f>VLOOKUP(A169,'Data Vlaue (Cr)'!C164:CY393,101,0)</f>
        <v>76</v>
      </c>
      <c r="D169" s="139">
        <f>VLOOKUP(A169,'Data Vlaue (Cr)'!C164:CZ393,102,0)</f>
        <v>4.1000000000000002E-2</v>
      </c>
      <c r="E169" s="91">
        <f>VLOOKUP($A169,'Data Vlaue (Cr)'!$C:$FB,75)</f>
        <v>1008</v>
      </c>
      <c r="F169" s="91">
        <f>VLOOKUP($A169,'Data Vlaue (Cr)'!$C:$FB,77)</f>
        <v>44</v>
      </c>
      <c r="G169" s="92">
        <f>VLOOKUP(A169,'Data Vlaue (Cr)'!C164:CB393,78,0)</f>
        <v>4.6100000000000002E-2</v>
      </c>
      <c r="H169" s="91">
        <f>VLOOKUP($A169,'Data Vlaue (Cr)'!$C:$FB,91)</f>
        <v>604</v>
      </c>
      <c r="I169" s="91">
        <f>VLOOKUP($A169,'Data Vlaue (Cr)'!$C:$FB,93)</f>
        <v>34</v>
      </c>
      <c r="J169" s="92">
        <f>VLOOKUP($A169,'Data Vlaue (Cr)'!$C:$FB,94)</f>
        <v>5.9499999999999997E-2</v>
      </c>
      <c r="K169" s="91">
        <f>VLOOKUP($A169,'Data Vlaue (Cr)'!$C:$FB,95)</f>
        <v>313</v>
      </c>
      <c r="L169" s="91">
        <f>VLOOKUP($A169,'Data Vlaue (Cr)'!$C:$FB,97)</f>
        <v>-3</v>
      </c>
      <c r="M169" s="92">
        <f>VLOOKUP($A169,'Data Vlaue (Cr)'!$C:$FB,98)</f>
        <v>-8.0999999999999996E-3</v>
      </c>
      <c r="N169" s="91">
        <f>VLOOKUP($A169,'Data Vlaue (Cr)'!$C:$FB,79)</f>
        <v>936</v>
      </c>
      <c r="O169" s="92">
        <f>VLOOKUP($A169,'Data Vlaue (Cr)'!$C:$FB,82)</f>
        <v>3.2300000000000002E-2</v>
      </c>
    </row>
    <row r="170" spans="1:15" x14ac:dyDescent="0.25">
      <c r="A170" s="97" t="str">
        <f>'Data Vlaue (Cr)'!C165</f>
        <v>OIL</v>
      </c>
      <c r="B170" s="142">
        <f>VLOOKUP(A170,'Data Vlaue (Cr)'!C165:CW394,99,0)</f>
        <v>1269</v>
      </c>
      <c r="C170" s="90">
        <f>VLOOKUP(A170,'Data Vlaue (Cr)'!C165:CY394,101,0)</f>
        <v>5</v>
      </c>
      <c r="D170" s="139">
        <f>VLOOKUP(A170,'Data Vlaue (Cr)'!C165:CZ394,102,0)</f>
        <v>4.1999999999999997E-3</v>
      </c>
      <c r="E170" s="91">
        <f>VLOOKUP($A170,'Data Vlaue (Cr)'!$C:$FB,75)</f>
        <v>704</v>
      </c>
      <c r="F170" s="91">
        <f>VLOOKUP($A170,'Data Vlaue (Cr)'!$C:$FB,77)</f>
        <v>4</v>
      </c>
      <c r="G170" s="92">
        <f>VLOOKUP(A170,'Data Vlaue (Cr)'!C165:CB394,78,0)</f>
        <v>5.5999999999999999E-3</v>
      </c>
      <c r="H170" s="91">
        <f>VLOOKUP($A170,'Data Vlaue (Cr)'!$C:$FB,91)</f>
        <v>358</v>
      </c>
      <c r="I170" s="91">
        <f>VLOOKUP($A170,'Data Vlaue (Cr)'!$C:$FB,93)</f>
        <v>8</v>
      </c>
      <c r="J170" s="92">
        <f>VLOOKUP($A170,'Data Vlaue (Cr)'!$C:$FB,94)</f>
        <v>2.2800000000000001E-2</v>
      </c>
      <c r="K170" s="91">
        <f>VLOOKUP($A170,'Data Vlaue (Cr)'!$C:$FB,95)</f>
        <v>207</v>
      </c>
      <c r="L170" s="91">
        <f>VLOOKUP($A170,'Data Vlaue (Cr)'!$C:$FB,97)</f>
        <v>-7</v>
      </c>
      <c r="M170" s="92">
        <f>VLOOKUP($A170,'Data Vlaue (Cr)'!$C:$FB,98)</f>
        <v>-3.1099999999999999E-2</v>
      </c>
      <c r="N170" s="91">
        <f>VLOOKUP($A170,'Data Vlaue (Cr)'!$C:$FB,79)</f>
        <v>632</v>
      </c>
      <c r="O170" s="92">
        <f>VLOOKUP($A170,'Data Vlaue (Cr)'!$C:$FB,82)</f>
        <v>3.5000000000000001E-3</v>
      </c>
    </row>
    <row r="171" spans="1:15" x14ac:dyDescent="0.25">
      <c r="A171" s="97" t="str">
        <f>'Data Vlaue (Cr)'!C166</f>
        <v>ONGC</v>
      </c>
      <c r="B171" s="142">
        <f>VLOOKUP(A171,'Data Vlaue (Cr)'!C166:CW395,99,0)</f>
        <v>4956</v>
      </c>
      <c r="C171" s="90">
        <f>VLOOKUP(A171,'Data Vlaue (Cr)'!C166:CY395,101,0)</f>
        <v>-35</v>
      </c>
      <c r="D171" s="139">
        <f>VLOOKUP(A171,'Data Vlaue (Cr)'!C166:CZ395,102,0)</f>
        <v>-7.0000000000000001E-3</v>
      </c>
      <c r="E171" s="91">
        <f>VLOOKUP($A171,'Data Vlaue (Cr)'!$C:$FB,75)</f>
        <v>2449</v>
      </c>
      <c r="F171" s="91">
        <f>VLOOKUP($A171,'Data Vlaue (Cr)'!$C:$FB,77)</f>
        <v>-12</v>
      </c>
      <c r="G171" s="92">
        <f>VLOOKUP(A171,'Data Vlaue (Cr)'!C166:CB395,78,0)</f>
        <v>-4.7999999999999996E-3</v>
      </c>
      <c r="H171" s="91">
        <f>VLOOKUP($A171,'Data Vlaue (Cr)'!$C:$FB,91)</f>
        <v>1951</v>
      </c>
      <c r="I171" s="91">
        <f>VLOOKUP($A171,'Data Vlaue (Cr)'!$C:$FB,93)</f>
        <v>-43</v>
      </c>
      <c r="J171" s="92">
        <f>VLOOKUP($A171,'Data Vlaue (Cr)'!$C:$FB,94)</f>
        <v>-2.18E-2</v>
      </c>
      <c r="K171" s="91">
        <f>VLOOKUP($A171,'Data Vlaue (Cr)'!$C:$FB,95)</f>
        <v>556</v>
      </c>
      <c r="L171" s="91">
        <f>VLOOKUP($A171,'Data Vlaue (Cr)'!$C:$FB,97)</f>
        <v>20</v>
      </c>
      <c r="M171" s="92">
        <f>VLOOKUP($A171,'Data Vlaue (Cr)'!$C:$FB,98)</f>
        <v>3.7999999999999999E-2</v>
      </c>
      <c r="N171" s="91">
        <f>VLOOKUP($A171,'Data Vlaue (Cr)'!$C:$FB,79)</f>
        <v>1863</v>
      </c>
      <c r="O171" s="92">
        <f>VLOOKUP($A171,'Data Vlaue (Cr)'!$C:$FB,82)</f>
        <v>-3.1899999999999998E-2</v>
      </c>
    </row>
    <row r="172" spans="1:15" x14ac:dyDescent="0.25">
      <c r="A172" s="97" t="str">
        <f>'Data Vlaue (Cr)'!C167</f>
        <v>PAGEIND</v>
      </c>
      <c r="B172" s="142">
        <f>VLOOKUP(A172,'Data Vlaue (Cr)'!C167:CW396,99,0)</f>
        <v>1875</v>
      </c>
      <c r="C172" s="90">
        <f>VLOOKUP(A172,'Data Vlaue (Cr)'!C167:CY396,101,0)</f>
        <v>-47</v>
      </c>
      <c r="D172" s="139">
        <f>VLOOKUP(A172,'Data Vlaue (Cr)'!C167:CZ396,102,0)</f>
        <v>-2.4400000000000002E-2</v>
      </c>
      <c r="E172" s="91">
        <f>VLOOKUP($A172,'Data Vlaue (Cr)'!$C:$FB,75)</f>
        <v>1318</v>
      </c>
      <c r="F172" s="91">
        <f>VLOOKUP($A172,'Data Vlaue (Cr)'!$C:$FB,77)</f>
        <v>-1</v>
      </c>
      <c r="G172" s="92">
        <f>VLOOKUP(A172,'Data Vlaue (Cr)'!C167:CB396,78,0)</f>
        <v>-5.0000000000000001E-4</v>
      </c>
      <c r="H172" s="91">
        <f>VLOOKUP($A172,'Data Vlaue (Cr)'!$C:$FB,91)</f>
        <v>441</v>
      </c>
      <c r="I172" s="91">
        <f>VLOOKUP($A172,'Data Vlaue (Cr)'!$C:$FB,93)</f>
        <v>-39</v>
      </c>
      <c r="J172" s="92">
        <f>VLOOKUP($A172,'Data Vlaue (Cr)'!$C:$FB,94)</f>
        <v>-8.2100000000000006E-2</v>
      </c>
      <c r="K172" s="91">
        <f>VLOOKUP($A172,'Data Vlaue (Cr)'!$C:$FB,95)</f>
        <v>116</v>
      </c>
      <c r="L172" s="91">
        <f>VLOOKUP($A172,'Data Vlaue (Cr)'!$C:$FB,97)</f>
        <v>-7</v>
      </c>
      <c r="M172" s="92">
        <f>VLOOKUP($A172,'Data Vlaue (Cr)'!$C:$FB,98)</f>
        <v>-5.5E-2</v>
      </c>
      <c r="N172" s="91">
        <f>VLOOKUP($A172,'Data Vlaue (Cr)'!$C:$FB,79)</f>
        <v>1185</v>
      </c>
      <c r="O172" s="92">
        <f>VLOOKUP($A172,'Data Vlaue (Cr)'!$C:$FB,82)</f>
        <v>-1.1299999999999999E-2</v>
      </c>
    </row>
    <row r="173" spans="1:15" x14ac:dyDescent="0.25">
      <c r="A173" s="97" t="str">
        <f>'Data Vlaue (Cr)'!C168</f>
        <v>PATANJALI</v>
      </c>
      <c r="B173" s="142">
        <f>VLOOKUP(A173,'Data Vlaue (Cr)'!C168:CW397,99,0)</f>
        <v>3395</v>
      </c>
      <c r="C173" s="90">
        <f>VLOOKUP(A173,'Data Vlaue (Cr)'!C168:CY397,101,0)</f>
        <v>-118</v>
      </c>
      <c r="D173" s="139">
        <f>VLOOKUP(A173,'Data Vlaue (Cr)'!C168:CZ397,102,0)</f>
        <v>-3.3599999999999998E-2</v>
      </c>
      <c r="E173" s="91">
        <f>VLOOKUP($A173,'Data Vlaue (Cr)'!$C:$FB,75)</f>
        <v>1900</v>
      </c>
      <c r="F173" s="91">
        <f>VLOOKUP($A173,'Data Vlaue (Cr)'!$C:$FB,77)</f>
        <v>-44</v>
      </c>
      <c r="G173" s="92">
        <f>VLOOKUP(A173,'Data Vlaue (Cr)'!C168:CB397,78,0)</f>
        <v>-2.2499999999999999E-2</v>
      </c>
      <c r="H173" s="91">
        <f>VLOOKUP($A173,'Data Vlaue (Cr)'!$C:$FB,91)</f>
        <v>981</v>
      </c>
      <c r="I173" s="91">
        <f>VLOOKUP($A173,'Data Vlaue (Cr)'!$C:$FB,93)</f>
        <v>-47</v>
      </c>
      <c r="J173" s="92">
        <f>VLOOKUP($A173,'Data Vlaue (Cr)'!$C:$FB,94)</f>
        <v>-4.5999999999999999E-2</v>
      </c>
      <c r="K173" s="91">
        <f>VLOOKUP($A173,'Data Vlaue (Cr)'!$C:$FB,95)</f>
        <v>514</v>
      </c>
      <c r="L173" s="91">
        <f>VLOOKUP($A173,'Data Vlaue (Cr)'!$C:$FB,97)</f>
        <v>-27</v>
      </c>
      <c r="M173" s="92">
        <f>VLOOKUP($A173,'Data Vlaue (Cr)'!$C:$FB,98)</f>
        <v>-4.99E-2</v>
      </c>
      <c r="N173" s="91">
        <f>VLOOKUP($A173,'Data Vlaue (Cr)'!$C:$FB,79)</f>
        <v>1648</v>
      </c>
      <c r="O173" s="92">
        <f>VLOOKUP($A173,'Data Vlaue (Cr)'!$C:$FB,82)</f>
        <v>-2.6499999999999999E-2</v>
      </c>
    </row>
    <row r="174" spans="1:15" x14ac:dyDescent="0.25">
      <c r="A174" s="97" t="str">
        <f>'Data Vlaue (Cr)'!C169</f>
        <v>PAYTM</v>
      </c>
      <c r="B174" s="142">
        <f>VLOOKUP(A174,'Data Vlaue (Cr)'!C169:CW398,99,0)</f>
        <v>4970</v>
      </c>
      <c r="C174" s="90">
        <f>VLOOKUP(A174,'Data Vlaue (Cr)'!C169:CY398,101,0)</f>
        <v>488</v>
      </c>
      <c r="D174" s="139">
        <f>VLOOKUP(A174,'Data Vlaue (Cr)'!C169:CZ398,102,0)</f>
        <v>0.109</v>
      </c>
      <c r="E174" s="91">
        <f>VLOOKUP($A174,'Data Vlaue (Cr)'!$C:$FB,75)</f>
        <v>2709</v>
      </c>
      <c r="F174" s="91">
        <f>VLOOKUP($A174,'Data Vlaue (Cr)'!$C:$FB,77)</f>
        <v>-173</v>
      </c>
      <c r="G174" s="92">
        <f>VLOOKUP(A174,'Data Vlaue (Cr)'!C169:CB398,78,0)</f>
        <v>-6.0100000000000001E-2</v>
      </c>
      <c r="H174" s="91">
        <f>VLOOKUP($A174,'Data Vlaue (Cr)'!$C:$FB,91)</f>
        <v>1320</v>
      </c>
      <c r="I174" s="91">
        <f>VLOOKUP($A174,'Data Vlaue (Cr)'!$C:$FB,93)</f>
        <v>454</v>
      </c>
      <c r="J174" s="92">
        <f>VLOOKUP($A174,'Data Vlaue (Cr)'!$C:$FB,94)</f>
        <v>0.52310000000000001</v>
      </c>
      <c r="K174" s="91">
        <f>VLOOKUP($A174,'Data Vlaue (Cr)'!$C:$FB,95)</f>
        <v>941</v>
      </c>
      <c r="L174" s="91">
        <f>VLOOKUP($A174,'Data Vlaue (Cr)'!$C:$FB,97)</f>
        <v>208</v>
      </c>
      <c r="M174" s="92">
        <f>VLOOKUP($A174,'Data Vlaue (Cr)'!$C:$FB,98)</f>
        <v>0.28420000000000001</v>
      </c>
      <c r="N174" s="91">
        <f>VLOOKUP($A174,'Data Vlaue (Cr)'!$C:$FB,79)</f>
        <v>2591</v>
      </c>
      <c r="O174" s="92">
        <f>VLOOKUP($A174,'Data Vlaue (Cr)'!$C:$FB,82)</f>
        <v>-7.0000000000000007E-2</v>
      </c>
    </row>
    <row r="175" spans="1:15" x14ac:dyDescent="0.25">
      <c r="A175" s="97" t="str">
        <f>'Data Vlaue (Cr)'!C170</f>
        <v>PEL</v>
      </c>
      <c r="B175" s="142">
        <f>VLOOKUP(A175,'Data Vlaue (Cr)'!C170:CW399,99,0)</f>
        <v>1645</v>
      </c>
      <c r="C175" s="90">
        <f>VLOOKUP(A175,'Data Vlaue (Cr)'!C170:CY399,101,0)</f>
        <v>-56</v>
      </c>
      <c r="D175" s="139">
        <f>VLOOKUP(A175,'Data Vlaue (Cr)'!C170:CZ399,102,0)</f>
        <v>-3.27E-2</v>
      </c>
      <c r="E175" s="91">
        <f>VLOOKUP($A175,'Data Vlaue (Cr)'!$C:$FB,75)</f>
        <v>726</v>
      </c>
      <c r="F175" s="91">
        <f>VLOOKUP($A175,'Data Vlaue (Cr)'!$C:$FB,77)</f>
        <v>-11</v>
      </c>
      <c r="G175" s="92">
        <f>VLOOKUP(A175,'Data Vlaue (Cr)'!C170:CB399,78,0)</f>
        <v>-1.52E-2</v>
      </c>
      <c r="H175" s="91">
        <f>VLOOKUP($A175,'Data Vlaue (Cr)'!$C:$FB,91)</f>
        <v>537</v>
      </c>
      <c r="I175" s="91">
        <f>VLOOKUP($A175,'Data Vlaue (Cr)'!$C:$FB,93)</f>
        <v>-6</v>
      </c>
      <c r="J175" s="92">
        <f>VLOOKUP($A175,'Data Vlaue (Cr)'!$C:$FB,94)</f>
        <v>-1.1900000000000001E-2</v>
      </c>
      <c r="K175" s="91">
        <f>VLOOKUP($A175,'Data Vlaue (Cr)'!$C:$FB,95)</f>
        <v>382</v>
      </c>
      <c r="L175" s="91">
        <f>VLOOKUP($A175,'Data Vlaue (Cr)'!$C:$FB,97)</f>
        <v>-38</v>
      </c>
      <c r="M175" s="92">
        <f>VLOOKUP($A175,'Data Vlaue (Cr)'!$C:$FB,98)</f>
        <v>-9.0200000000000002E-2</v>
      </c>
      <c r="N175" s="91">
        <f>VLOOKUP($A175,'Data Vlaue (Cr)'!$C:$FB,79)</f>
        <v>726</v>
      </c>
      <c r="O175" s="92">
        <f>VLOOKUP($A175,'Data Vlaue (Cr)'!$C:$FB,82)</f>
        <v>-1.52E-2</v>
      </c>
    </row>
    <row r="176" spans="1:15" x14ac:dyDescent="0.25">
      <c r="A176" s="97" t="str">
        <f>'Data Vlaue (Cr)'!C171</f>
        <v>PERSISTENT</v>
      </c>
      <c r="B176" s="142">
        <f>VLOOKUP(A176,'Data Vlaue (Cr)'!C171:CW400,99,0)</f>
        <v>2906</v>
      </c>
      <c r="C176" s="90">
        <f>VLOOKUP(A176,'Data Vlaue (Cr)'!C171:CY400,101,0)</f>
        <v>7</v>
      </c>
      <c r="D176" s="139">
        <f>VLOOKUP(A176,'Data Vlaue (Cr)'!C171:CZ400,102,0)</f>
        <v>2.3E-3</v>
      </c>
      <c r="E176" s="91">
        <f>VLOOKUP($A176,'Data Vlaue (Cr)'!$C:$FB,75)</f>
        <v>1735</v>
      </c>
      <c r="F176" s="91">
        <f>VLOOKUP($A176,'Data Vlaue (Cr)'!$C:$FB,77)</f>
        <v>-7</v>
      </c>
      <c r="G176" s="92">
        <f>VLOOKUP(A176,'Data Vlaue (Cr)'!C171:CB400,78,0)</f>
        <v>-3.8999999999999998E-3</v>
      </c>
      <c r="H176" s="91">
        <f>VLOOKUP($A176,'Data Vlaue (Cr)'!$C:$FB,91)</f>
        <v>735</v>
      </c>
      <c r="I176" s="91">
        <f>VLOOKUP($A176,'Data Vlaue (Cr)'!$C:$FB,93)</f>
        <v>15</v>
      </c>
      <c r="J176" s="92">
        <f>VLOOKUP($A176,'Data Vlaue (Cr)'!$C:$FB,94)</f>
        <v>2.07E-2</v>
      </c>
      <c r="K176" s="91">
        <f>VLOOKUP($A176,'Data Vlaue (Cr)'!$C:$FB,95)</f>
        <v>436</v>
      </c>
      <c r="L176" s="91">
        <f>VLOOKUP($A176,'Data Vlaue (Cr)'!$C:$FB,97)</f>
        <v>-2</v>
      </c>
      <c r="M176" s="92">
        <f>VLOOKUP($A176,'Data Vlaue (Cr)'!$C:$FB,98)</f>
        <v>-3.7000000000000002E-3</v>
      </c>
      <c r="N176" s="91">
        <f>VLOOKUP($A176,'Data Vlaue (Cr)'!$C:$FB,79)</f>
        <v>1611</v>
      </c>
      <c r="O176" s="92">
        <f>VLOOKUP($A176,'Data Vlaue (Cr)'!$C:$FB,82)</f>
        <v>-1.66E-2</v>
      </c>
    </row>
    <row r="177" spans="1:15" x14ac:dyDescent="0.25">
      <c r="A177" s="97" t="str">
        <f>'Data Vlaue (Cr)'!C172</f>
        <v>PETRONET</v>
      </c>
      <c r="B177" s="142">
        <f>VLOOKUP(A177,'Data Vlaue (Cr)'!C172:CW401,99,0)</f>
        <v>1941</v>
      </c>
      <c r="C177" s="90">
        <f>VLOOKUP(A177,'Data Vlaue (Cr)'!C172:CY401,101,0)</f>
        <v>-14</v>
      </c>
      <c r="D177" s="139">
        <f>VLOOKUP(A177,'Data Vlaue (Cr)'!C172:CZ401,102,0)</f>
        <v>-7.3000000000000001E-3</v>
      </c>
      <c r="E177" s="91">
        <f>VLOOKUP($A177,'Data Vlaue (Cr)'!$C:$FB,75)</f>
        <v>1197</v>
      </c>
      <c r="F177" s="91">
        <f>VLOOKUP($A177,'Data Vlaue (Cr)'!$C:$FB,77)</f>
        <v>-3</v>
      </c>
      <c r="G177" s="92">
        <f>VLOOKUP(A177,'Data Vlaue (Cr)'!C172:CB401,78,0)</f>
        <v>-2.5000000000000001E-3</v>
      </c>
      <c r="H177" s="91">
        <f>VLOOKUP($A177,'Data Vlaue (Cr)'!$C:$FB,91)</f>
        <v>450</v>
      </c>
      <c r="I177" s="91">
        <f>VLOOKUP($A177,'Data Vlaue (Cr)'!$C:$FB,93)</f>
        <v>-14</v>
      </c>
      <c r="J177" s="92">
        <f>VLOOKUP($A177,'Data Vlaue (Cr)'!$C:$FB,94)</f>
        <v>-2.9600000000000001E-2</v>
      </c>
      <c r="K177" s="91">
        <f>VLOOKUP($A177,'Data Vlaue (Cr)'!$C:$FB,95)</f>
        <v>294</v>
      </c>
      <c r="L177" s="91">
        <f>VLOOKUP($A177,'Data Vlaue (Cr)'!$C:$FB,97)</f>
        <v>2</v>
      </c>
      <c r="M177" s="92">
        <f>VLOOKUP($A177,'Data Vlaue (Cr)'!$C:$FB,98)</f>
        <v>8.3999999999999995E-3</v>
      </c>
      <c r="N177" s="91">
        <f>VLOOKUP($A177,'Data Vlaue (Cr)'!$C:$FB,79)</f>
        <v>1062</v>
      </c>
      <c r="O177" s="92">
        <f>VLOOKUP($A177,'Data Vlaue (Cr)'!$C:$FB,82)</f>
        <v>-1.35E-2</v>
      </c>
    </row>
    <row r="178" spans="1:15" x14ac:dyDescent="0.25">
      <c r="A178" s="97" t="str">
        <f>'Data Vlaue (Cr)'!C173</f>
        <v>PFC</v>
      </c>
      <c r="B178" s="142">
        <f>VLOOKUP(A178,'Data Vlaue (Cr)'!C173:CW402,99,0)</f>
        <v>4009</v>
      </c>
      <c r="C178" s="90">
        <f>VLOOKUP(A178,'Data Vlaue (Cr)'!C173:CY402,101,0)</f>
        <v>-30</v>
      </c>
      <c r="D178" s="139">
        <f>VLOOKUP(A178,'Data Vlaue (Cr)'!C173:CZ402,102,0)</f>
        <v>-7.4999999999999997E-3</v>
      </c>
      <c r="E178" s="91">
        <f>VLOOKUP($A178,'Data Vlaue (Cr)'!$C:$FB,75)</f>
        <v>2285</v>
      </c>
      <c r="F178" s="91">
        <f>VLOOKUP($A178,'Data Vlaue (Cr)'!$C:$FB,77)</f>
        <v>11</v>
      </c>
      <c r="G178" s="92">
        <f>VLOOKUP(A178,'Data Vlaue (Cr)'!C173:CB402,78,0)</f>
        <v>4.8999999999999998E-3</v>
      </c>
      <c r="H178" s="91">
        <f>VLOOKUP($A178,'Data Vlaue (Cr)'!$C:$FB,91)</f>
        <v>1034</v>
      </c>
      <c r="I178" s="91">
        <f>VLOOKUP($A178,'Data Vlaue (Cr)'!$C:$FB,93)</f>
        <v>-16</v>
      </c>
      <c r="J178" s="92">
        <f>VLOOKUP($A178,'Data Vlaue (Cr)'!$C:$FB,94)</f>
        <v>-1.5699999999999999E-2</v>
      </c>
      <c r="K178" s="91">
        <f>VLOOKUP($A178,'Data Vlaue (Cr)'!$C:$FB,95)</f>
        <v>689</v>
      </c>
      <c r="L178" s="91">
        <f>VLOOKUP($A178,'Data Vlaue (Cr)'!$C:$FB,97)</f>
        <v>-25</v>
      </c>
      <c r="M178" s="92">
        <f>VLOOKUP($A178,'Data Vlaue (Cr)'!$C:$FB,98)</f>
        <v>-3.5299999999999998E-2</v>
      </c>
      <c r="N178" s="91">
        <f>VLOOKUP($A178,'Data Vlaue (Cr)'!$C:$FB,79)</f>
        <v>2021</v>
      </c>
      <c r="O178" s="92">
        <f>VLOOKUP($A178,'Data Vlaue (Cr)'!$C:$FB,82)</f>
        <v>-1.6400000000000001E-2</v>
      </c>
    </row>
    <row r="179" spans="1:15" x14ac:dyDescent="0.25">
      <c r="A179" s="97" t="str">
        <f>'Data Vlaue (Cr)'!C174</f>
        <v>PGEL</v>
      </c>
      <c r="B179" s="142">
        <f>VLOOKUP(A179,'Data Vlaue (Cr)'!C174:CW403,99,0)</f>
        <v>726</v>
      </c>
      <c r="C179" s="90">
        <f>VLOOKUP(A179,'Data Vlaue (Cr)'!C174:CY403,101,0)</f>
        <v>15</v>
      </c>
      <c r="D179" s="139">
        <f>VLOOKUP(A179,'Data Vlaue (Cr)'!C174:CZ403,102,0)</f>
        <v>2.07E-2</v>
      </c>
      <c r="E179" s="91">
        <f>VLOOKUP($A179,'Data Vlaue (Cr)'!$C:$FB,75)</f>
        <v>497</v>
      </c>
      <c r="F179" s="91">
        <f>VLOOKUP($A179,'Data Vlaue (Cr)'!$C:$FB,77)</f>
        <v>18</v>
      </c>
      <c r="G179" s="92">
        <f>VLOOKUP(A179,'Data Vlaue (Cr)'!C174:CB403,78,0)</f>
        <v>3.8600000000000002E-2</v>
      </c>
      <c r="H179" s="91">
        <f>VLOOKUP($A179,'Data Vlaue (Cr)'!$C:$FB,91)</f>
        <v>154</v>
      </c>
      <c r="I179" s="91">
        <f>VLOOKUP($A179,'Data Vlaue (Cr)'!$C:$FB,93)</f>
        <v>4</v>
      </c>
      <c r="J179" s="92">
        <f>VLOOKUP($A179,'Data Vlaue (Cr)'!$C:$FB,94)</f>
        <v>2.9600000000000001E-2</v>
      </c>
      <c r="K179" s="91">
        <f>VLOOKUP($A179,'Data Vlaue (Cr)'!$C:$FB,95)</f>
        <v>75</v>
      </c>
      <c r="L179" s="91">
        <f>VLOOKUP($A179,'Data Vlaue (Cr)'!$C:$FB,97)</f>
        <v>-8</v>
      </c>
      <c r="M179" s="92">
        <f>VLOOKUP($A179,'Data Vlaue (Cr)'!$C:$FB,98)</f>
        <v>-9.8799999999999999E-2</v>
      </c>
      <c r="N179" s="91">
        <f>VLOOKUP($A179,'Data Vlaue (Cr)'!$C:$FB,79)</f>
        <v>442</v>
      </c>
      <c r="O179" s="92">
        <f>VLOOKUP($A179,'Data Vlaue (Cr)'!$C:$FB,82)</f>
        <v>2.3699999999999999E-2</v>
      </c>
    </row>
    <row r="180" spans="1:15" x14ac:dyDescent="0.25">
      <c r="A180" s="97" t="str">
        <f>'Data Vlaue (Cr)'!C175</f>
        <v>PHOENIXLTD</v>
      </c>
      <c r="B180" s="142">
        <f>VLOOKUP(A180,'Data Vlaue (Cr)'!C175:CW404,99,0)</f>
        <v>978</v>
      </c>
      <c r="C180" s="90">
        <f>VLOOKUP(A180,'Data Vlaue (Cr)'!C175:CY404,101,0)</f>
        <v>1</v>
      </c>
      <c r="D180" s="139">
        <f>VLOOKUP(A180,'Data Vlaue (Cr)'!C175:CZ404,102,0)</f>
        <v>1.2999999999999999E-3</v>
      </c>
      <c r="E180" s="91">
        <f>VLOOKUP($A180,'Data Vlaue (Cr)'!$C:$FB,75)</f>
        <v>674</v>
      </c>
      <c r="F180" s="91">
        <f>VLOOKUP($A180,'Data Vlaue (Cr)'!$C:$FB,77)</f>
        <v>10</v>
      </c>
      <c r="G180" s="92">
        <f>VLOOKUP(A180,'Data Vlaue (Cr)'!C175:CB404,78,0)</f>
        <v>1.54E-2</v>
      </c>
      <c r="H180" s="91">
        <f>VLOOKUP($A180,'Data Vlaue (Cr)'!$C:$FB,91)</f>
        <v>189</v>
      </c>
      <c r="I180" s="91">
        <f>VLOOKUP($A180,'Data Vlaue (Cr)'!$C:$FB,93)</f>
        <v>-8</v>
      </c>
      <c r="J180" s="92">
        <f>VLOOKUP($A180,'Data Vlaue (Cr)'!$C:$FB,94)</f>
        <v>-3.9399999999999998E-2</v>
      </c>
      <c r="K180" s="91">
        <f>VLOOKUP($A180,'Data Vlaue (Cr)'!$C:$FB,95)</f>
        <v>115</v>
      </c>
      <c r="L180" s="91">
        <f>VLOOKUP($A180,'Data Vlaue (Cr)'!$C:$FB,97)</f>
        <v>-1</v>
      </c>
      <c r="M180" s="92">
        <f>VLOOKUP($A180,'Data Vlaue (Cr)'!$C:$FB,98)</f>
        <v>-1.03E-2</v>
      </c>
      <c r="N180" s="91">
        <f>VLOOKUP($A180,'Data Vlaue (Cr)'!$C:$FB,79)</f>
        <v>645</v>
      </c>
      <c r="O180" s="92">
        <f>VLOOKUP($A180,'Data Vlaue (Cr)'!$C:$FB,82)</f>
        <v>1.24E-2</v>
      </c>
    </row>
    <row r="181" spans="1:15" x14ac:dyDescent="0.25">
      <c r="A181" s="97" t="str">
        <f>'Data Vlaue (Cr)'!C176</f>
        <v>PIDILITIND</v>
      </c>
      <c r="B181" s="142">
        <f>VLOOKUP(A181,'Data Vlaue (Cr)'!C176:CW405,99,0)</f>
        <v>1504</v>
      </c>
      <c r="C181" s="90">
        <f>VLOOKUP(A181,'Data Vlaue (Cr)'!C176:CY405,101,0)</f>
        <v>65</v>
      </c>
      <c r="D181" s="139">
        <f>VLOOKUP(A181,'Data Vlaue (Cr)'!C176:CZ405,102,0)</f>
        <v>4.5100000000000001E-2</v>
      </c>
      <c r="E181" s="91">
        <f>VLOOKUP($A181,'Data Vlaue (Cr)'!$C:$FB,75)</f>
        <v>1005</v>
      </c>
      <c r="F181" s="91">
        <f>VLOOKUP($A181,'Data Vlaue (Cr)'!$C:$FB,77)</f>
        <v>19</v>
      </c>
      <c r="G181" s="92">
        <f>VLOOKUP(A181,'Data Vlaue (Cr)'!C176:CB405,78,0)</f>
        <v>1.8800000000000001E-2</v>
      </c>
      <c r="H181" s="91">
        <f>VLOOKUP($A181,'Data Vlaue (Cr)'!$C:$FB,91)</f>
        <v>337</v>
      </c>
      <c r="I181" s="91">
        <f>VLOOKUP($A181,'Data Vlaue (Cr)'!$C:$FB,93)</f>
        <v>41</v>
      </c>
      <c r="J181" s="92">
        <f>VLOOKUP($A181,'Data Vlaue (Cr)'!$C:$FB,94)</f>
        <v>0.1376</v>
      </c>
      <c r="K181" s="91">
        <f>VLOOKUP($A181,'Data Vlaue (Cr)'!$C:$FB,95)</f>
        <v>162</v>
      </c>
      <c r="L181" s="91">
        <f>VLOOKUP($A181,'Data Vlaue (Cr)'!$C:$FB,97)</f>
        <v>6</v>
      </c>
      <c r="M181" s="92">
        <f>VLOOKUP($A181,'Data Vlaue (Cr)'!$C:$FB,98)</f>
        <v>3.5400000000000001E-2</v>
      </c>
      <c r="N181" s="91">
        <f>VLOOKUP($A181,'Data Vlaue (Cr)'!$C:$FB,79)</f>
        <v>962</v>
      </c>
      <c r="O181" s="92">
        <f>VLOOKUP($A181,'Data Vlaue (Cr)'!$C:$FB,82)</f>
        <v>7.9000000000000008E-3</v>
      </c>
    </row>
    <row r="182" spans="1:15" x14ac:dyDescent="0.25">
      <c r="A182" s="97" t="str">
        <f>'Data Vlaue (Cr)'!C177</f>
        <v>PIIND</v>
      </c>
      <c r="B182" s="142">
        <f>VLOOKUP(A182,'Data Vlaue (Cr)'!C177:CW406,99,0)</f>
        <v>956</v>
      </c>
      <c r="C182" s="90">
        <f>VLOOKUP(A182,'Data Vlaue (Cr)'!C177:CY406,101,0)</f>
        <v>17</v>
      </c>
      <c r="D182" s="139">
        <f>VLOOKUP(A182,'Data Vlaue (Cr)'!C177:CZ406,102,0)</f>
        <v>1.78E-2</v>
      </c>
      <c r="E182" s="91">
        <f>VLOOKUP($A182,'Data Vlaue (Cr)'!$C:$FB,75)</f>
        <v>613</v>
      </c>
      <c r="F182" s="91">
        <f>VLOOKUP($A182,'Data Vlaue (Cr)'!$C:$FB,77)</f>
        <v>7</v>
      </c>
      <c r="G182" s="92">
        <f>VLOOKUP(A182,'Data Vlaue (Cr)'!C177:CB406,78,0)</f>
        <v>1.1900000000000001E-2</v>
      </c>
      <c r="H182" s="91">
        <f>VLOOKUP($A182,'Data Vlaue (Cr)'!$C:$FB,91)</f>
        <v>225</v>
      </c>
      <c r="I182" s="91">
        <f>VLOOKUP($A182,'Data Vlaue (Cr)'!$C:$FB,93)</f>
        <v>10</v>
      </c>
      <c r="J182" s="92">
        <f>VLOOKUP($A182,'Data Vlaue (Cr)'!$C:$FB,94)</f>
        <v>4.4499999999999998E-2</v>
      </c>
      <c r="K182" s="91">
        <f>VLOOKUP($A182,'Data Vlaue (Cr)'!$C:$FB,95)</f>
        <v>119</v>
      </c>
      <c r="L182" s="91">
        <f>VLOOKUP($A182,'Data Vlaue (Cr)'!$C:$FB,97)</f>
        <v>0</v>
      </c>
      <c r="M182" s="92">
        <f>VLOOKUP($A182,'Data Vlaue (Cr)'!$C:$FB,98)</f>
        <v>-5.9999999999999995E-4</v>
      </c>
      <c r="N182" s="91">
        <f>VLOOKUP($A182,'Data Vlaue (Cr)'!$C:$FB,79)</f>
        <v>592</v>
      </c>
      <c r="O182" s="92">
        <f>VLOOKUP($A182,'Data Vlaue (Cr)'!$C:$FB,82)</f>
        <v>2.8999999999999998E-3</v>
      </c>
    </row>
    <row r="183" spans="1:15" x14ac:dyDescent="0.25">
      <c r="A183" s="97" t="str">
        <f>'Data Vlaue (Cr)'!C178</f>
        <v>PNB</v>
      </c>
      <c r="B183" s="142">
        <f>VLOOKUP(A183,'Data Vlaue (Cr)'!C178:CW407,99,0)</f>
        <v>5151</v>
      </c>
      <c r="C183" s="90">
        <f>VLOOKUP(A183,'Data Vlaue (Cr)'!C178:CY407,101,0)</f>
        <v>302</v>
      </c>
      <c r="D183" s="139">
        <f>VLOOKUP(A183,'Data Vlaue (Cr)'!C178:CZ407,102,0)</f>
        <v>6.2300000000000001E-2</v>
      </c>
      <c r="E183" s="91">
        <f>VLOOKUP($A183,'Data Vlaue (Cr)'!$C:$FB,75)</f>
        <v>2607</v>
      </c>
      <c r="F183" s="91">
        <f>VLOOKUP($A183,'Data Vlaue (Cr)'!$C:$FB,77)</f>
        <v>81</v>
      </c>
      <c r="G183" s="92">
        <f>VLOOKUP(A183,'Data Vlaue (Cr)'!C178:CB407,78,0)</f>
        <v>3.2199999999999999E-2</v>
      </c>
      <c r="H183" s="91">
        <f>VLOOKUP($A183,'Data Vlaue (Cr)'!$C:$FB,91)</f>
        <v>1466</v>
      </c>
      <c r="I183" s="91">
        <f>VLOOKUP($A183,'Data Vlaue (Cr)'!$C:$FB,93)</f>
        <v>171</v>
      </c>
      <c r="J183" s="92">
        <f>VLOOKUP($A183,'Data Vlaue (Cr)'!$C:$FB,94)</f>
        <v>0.1321</v>
      </c>
      <c r="K183" s="91">
        <f>VLOOKUP($A183,'Data Vlaue (Cr)'!$C:$FB,95)</f>
        <v>1078</v>
      </c>
      <c r="L183" s="91">
        <f>VLOOKUP($A183,'Data Vlaue (Cr)'!$C:$FB,97)</f>
        <v>50</v>
      </c>
      <c r="M183" s="92">
        <f>VLOOKUP($A183,'Data Vlaue (Cr)'!$C:$FB,98)</f>
        <v>4.8500000000000001E-2</v>
      </c>
      <c r="N183" s="91">
        <f>VLOOKUP($A183,'Data Vlaue (Cr)'!$C:$FB,79)</f>
        <v>2121</v>
      </c>
      <c r="O183" s="92">
        <f>VLOOKUP($A183,'Data Vlaue (Cr)'!$C:$FB,82)</f>
        <v>-1.6199999999999999E-2</v>
      </c>
    </row>
    <row r="184" spans="1:15" x14ac:dyDescent="0.25">
      <c r="A184" s="97" t="str">
        <f>'Data Vlaue (Cr)'!C179</f>
        <v>PNBHOUSING</v>
      </c>
      <c r="B184" s="142">
        <f>VLOOKUP(A184,'Data Vlaue (Cr)'!C179:CW408,99,0)</f>
        <v>1652</v>
      </c>
      <c r="C184" s="90">
        <f>VLOOKUP(A184,'Data Vlaue (Cr)'!C179:CY408,101,0)</f>
        <v>54</v>
      </c>
      <c r="D184" s="139">
        <f>VLOOKUP(A184,'Data Vlaue (Cr)'!C179:CZ408,102,0)</f>
        <v>3.3700000000000001E-2</v>
      </c>
      <c r="E184" s="91">
        <f>VLOOKUP($A184,'Data Vlaue (Cr)'!$C:$FB,75)</f>
        <v>1085</v>
      </c>
      <c r="F184" s="91">
        <f>VLOOKUP($A184,'Data Vlaue (Cr)'!$C:$FB,77)</f>
        <v>-33</v>
      </c>
      <c r="G184" s="92">
        <f>VLOOKUP(A184,'Data Vlaue (Cr)'!C179:CB408,78,0)</f>
        <v>-2.93E-2</v>
      </c>
      <c r="H184" s="91">
        <f>VLOOKUP($A184,'Data Vlaue (Cr)'!$C:$FB,91)</f>
        <v>368</v>
      </c>
      <c r="I184" s="91">
        <f>VLOOKUP($A184,'Data Vlaue (Cr)'!$C:$FB,93)</f>
        <v>85</v>
      </c>
      <c r="J184" s="92">
        <f>VLOOKUP($A184,'Data Vlaue (Cr)'!$C:$FB,94)</f>
        <v>0.30009999999999998</v>
      </c>
      <c r="K184" s="91">
        <f>VLOOKUP($A184,'Data Vlaue (Cr)'!$C:$FB,95)</f>
        <v>200</v>
      </c>
      <c r="L184" s="91">
        <f>VLOOKUP($A184,'Data Vlaue (Cr)'!$C:$FB,97)</f>
        <v>2</v>
      </c>
      <c r="M184" s="92">
        <f>VLOOKUP($A184,'Data Vlaue (Cr)'!$C:$FB,98)</f>
        <v>8.8999999999999999E-3</v>
      </c>
      <c r="N184" s="91">
        <f>VLOOKUP($A184,'Data Vlaue (Cr)'!$C:$FB,79)</f>
        <v>1022</v>
      </c>
      <c r="O184" s="92">
        <f>VLOOKUP($A184,'Data Vlaue (Cr)'!$C:$FB,82)</f>
        <v>-5.5300000000000002E-2</v>
      </c>
    </row>
    <row r="185" spans="1:15" x14ac:dyDescent="0.25">
      <c r="A185" s="97" t="str">
        <f>'Data Vlaue (Cr)'!C180</f>
        <v>POLICYBZR</v>
      </c>
      <c r="B185" s="142">
        <f>VLOOKUP(A185,'Data Vlaue (Cr)'!C180:CW409,99,0)</f>
        <v>1951</v>
      </c>
      <c r="C185" s="90">
        <f>VLOOKUP(A185,'Data Vlaue (Cr)'!C180:CY409,101,0)</f>
        <v>-12</v>
      </c>
      <c r="D185" s="139">
        <f>VLOOKUP(A185,'Data Vlaue (Cr)'!C180:CZ409,102,0)</f>
        <v>-5.8999999999999999E-3</v>
      </c>
      <c r="E185" s="91">
        <f>VLOOKUP($A185,'Data Vlaue (Cr)'!$C:$FB,75)</f>
        <v>1431</v>
      </c>
      <c r="F185" s="91">
        <f>VLOOKUP($A185,'Data Vlaue (Cr)'!$C:$FB,77)</f>
        <v>7</v>
      </c>
      <c r="G185" s="92">
        <f>VLOOKUP(A185,'Data Vlaue (Cr)'!C180:CB409,78,0)</f>
        <v>5.0000000000000001E-3</v>
      </c>
      <c r="H185" s="91">
        <f>VLOOKUP($A185,'Data Vlaue (Cr)'!$C:$FB,91)</f>
        <v>313</v>
      </c>
      <c r="I185" s="91">
        <f>VLOOKUP($A185,'Data Vlaue (Cr)'!$C:$FB,93)</f>
        <v>-12</v>
      </c>
      <c r="J185" s="92">
        <f>VLOOKUP($A185,'Data Vlaue (Cr)'!$C:$FB,94)</f>
        <v>-3.6799999999999999E-2</v>
      </c>
      <c r="K185" s="91">
        <f>VLOOKUP($A185,'Data Vlaue (Cr)'!$C:$FB,95)</f>
        <v>207</v>
      </c>
      <c r="L185" s="91">
        <f>VLOOKUP($A185,'Data Vlaue (Cr)'!$C:$FB,97)</f>
        <v>-7</v>
      </c>
      <c r="M185" s="92">
        <f>VLOOKUP($A185,'Data Vlaue (Cr)'!$C:$FB,98)</f>
        <v>-3.1199999999999999E-2</v>
      </c>
      <c r="N185" s="91">
        <f>VLOOKUP($A185,'Data Vlaue (Cr)'!$C:$FB,79)</f>
        <v>1390</v>
      </c>
      <c r="O185" s="92">
        <f>VLOOKUP($A185,'Data Vlaue (Cr)'!$C:$FB,82)</f>
        <v>0</v>
      </c>
    </row>
    <row r="186" spans="1:15" x14ac:dyDescent="0.25">
      <c r="A186" s="97" t="str">
        <f>'Data Vlaue (Cr)'!C181</f>
        <v>POLYCAB</v>
      </c>
      <c r="B186" s="142">
        <f>VLOOKUP(A186,'Data Vlaue (Cr)'!C181:CW410,99,0)</f>
        <v>3808</v>
      </c>
      <c r="C186" s="90">
        <f>VLOOKUP(A186,'Data Vlaue (Cr)'!C181:CY410,101,0)</f>
        <v>-189</v>
      </c>
      <c r="D186" s="139">
        <f>VLOOKUP(A186,'Data Vlaue (Cr)'!C181:CZ410,102,0)</f>
        <v>-4.7300000000000002E-2</v>
      </c>
      <c r="E186" s="91">
        <f>VLOOKUP($A186,'Data Vlaue (Cr)'!$C:$FB,75)</f>
        <v>1662</v>
      </c>
      <c r="F186" s="91">
        <f>VLOOKUP($A186,'Data Vlaue (Cr)'!$C:$FB,77)</f>
        <v>-26</v>
      </c>
      <c r="G186" s="92">
        <f>VLOOKUP(A186,'Data Vlaue (Cr)'!C181:CB410,78,0)</f>
        <v>-1.52E-2</v>
      </c>
      <c r="H186" s="91">
        <f>VLOOKUP($A186,'Data Vlaue (Cr)'!$C:$FB,91)</f>
        <v>1353</v>
      </c>
      <c r="I186" s="91">
        <f>VLOOKUP($A186,'Data Vlaue (Cr)'!$C:$FB,93)</f>
        <v>-77</v>
      </c>
      <c r="J186" s="92">
        <f>VLOOKUP($A186,'Data Vlaue (Cr)'!$C:$FB,94)</f>
        <v>-5.4100000000000002E-2</v>
      </c>
      <c r="K186" s="91">
        <f>VLOOKUP($A186,'Data Vlaue (Cr)'!$C:$FB,95)</f>
        <v>793</v>
      </c>
      <c r="L186" s="91">
        <f>VLOOKUP($A186,'Data Vlaue (Cr)'!$C:$FB,97)</f>
        <v>-86</v>
      </c>
      <c r="M186" s="92">
        <f>VLOOKUP($A186,'Data Vlaue (Cr)'!$C:$FB,98)</f>
        <v>-9.7799999999999998E-2</v>
      </c>
      <c r="N186" s="91">
        <f>VLOOKUP($A186,'Data Vlaue (Cr)'!$C:$FB,79)</f>
        <v>1475</v>
      </c>
      <c r="O186" s="92">
        <f>VLOOKUP($A186,'Data Vlaue (Cr)'!$C:$FB,82)</f>
        <v>-2.41E-2</v>
      </c>
    </row>
    <row r="187" spans="1:15" x14ac:dyDescent="0.25">
      <c r="A187" s="97" t="str">
        <f>'Data Vlaue (Cr)'!C182</f>
        <v>POONAWALLA</v>
      </c>
      <c r="B187" s="142">
        <f>VLOOKUP(A187,'Data Vlaue (Cr)'!C182:CW411,99,0)</f>
        <v>1080</v>
      </c>
      <c r="C187" s="90">
        <f>VLOOKUP(A187,'Data Vlaue (Cr)'!C182:CY411,101,0)</f>
        <v>-11</v>
      </c>
      <c r="D187" s="139">
        <f>VLOOKUP(A187,'Data Vlaue (Cr)'!C182:CZ411,102,0)</f>
        <v>-9.7000000000000003E-3</v>
      </c>
      <c r="E187" s="91">
        <f>VLOOKUP($A187,'Data Vlaue (Cr)'!$C:$FB,75)</f>
        <v>658</v>
      </c>
      <c r="F187" s="91">
        <f>VLOOKUP($A187,'Data Vlaue (Cr)'!$C:$FB,77)</f>
        <v>-6</v>
      </c>
      <c r="G187" s="92">
        <f>VLOOKUP(A187,'Data Vlaue (Cr)'!C182:CB411,78,0)</f>
        <v>-9.2999999999999992E-3</v>
      </c>
      <c r="H187" s="91">
        <f>VLOOKUP($A187,'Data Vlaue (Cr)'!$C:$FB,91)</f>
        <v>266</v>
      </c>
      <c r="I187" s="91">
        <f>VLOOKUP($A187,'Data Vlaue (Cr)'!$C:$FB,93)</f>
        <v>-7</v>
      </c>
      <c r="J187" s="92">
        <f>VLOOKUP($A187,'Data Vlaue (Cr)'!$C:$FB,94)</f>
        <v>-2.46E-2</v>
      </c>
      <c r="K187" s="91">
        <f>VLOOKUP($A187,'Data Vlaue (Cr)'!$C:$FB,95)</f>
        <v>157</v>
      </c>
      <c r="L187" s="91">
        <f>VLOOKUP($A187,'Data Vlaue (Cr)'!$C:$FB,97)</f>
        <v>2</v>
      </c>
      <c r="M187" s="92">
        <f>VLOOKUP($A187,'Data Vlaue (Cr)'!$C:$FB,98)</f>
        <v>1.4999999999999999E-2</v>
      </c>
      <c r="N187" s="91">
        <f>VLOOKUP($A187,'Data Vlaue (Cr)'!$C:$FB,79)</f>
        <v>607</v>
      </c>
      <c r="O187" s="92">
        <f>VLOOKUP($A187,'Data Vlaue (Cr)'!$C:$FB,82)</f>
        <v>-1.9800000000000002E-2</v>
      </c>
    </row>
    <row r="188" spans="1:15" x14ac:dyDescent="0.25">
      <c r="A188" s="97" t="str">
        <f>'Data Vlaue (Cr)'!C183</f>
        <v>POWERGRID</v>
      </c>
      <c r="B188" s="142">
        <f>VLOOKUP(A188,'Data Vlaue (Cr)'!C183:CW412,99,0)</f>
        <v>3639</v>
      </c>
      <c r="C188" s="90">
        <f>VLOOKUP(A188,'Data Vlaue (Cr)'!C183:CY412,101,0)</f>
        <v>-95</v>
      </c>
      <c r="D188" s="139">
        <f>VLOOKUP(A188,'Data Vlaue (Cr)'!C183:CZ412,102,0)</f>
        <v>-2.5399999999999999E-2</v>
      </c>
      <c r="E188" s="91">
        <f>VLOOKUP($A188,'Data Vlaue (Cr)'!$C:$FB,75)</f>
        <v>2388</v>
      </c>
      <c r="F188" s="91">
        <f>VLOOKUP($A188,'Data Vlaue (Cr)'!$C:$FB,77)</f>
        <v>-55</v>
      </c>
      <c r="G188" s="92">
        <f>VLOOKUP(A188,'Data Vlaue (Cr)'!C183:CB412,78,0)</f>
        <v>-2.24E-2</v>
      </c>
      <c r="H188" s="91">
        <f>VLOOKUP($A188,'Data Vlaue (Cr)'!$C:$FB,91)</f>
        <v>797</v>
      </c>
      <c r="I188" s="91">
        <f>VLOOKUP($A188,'Data Vlaue (Cr)'!$C:$FB,93)</f>
        <v>-44</v>
      </c>
      <c r="J188" s="92">
        <f>VLOOKUP($A188,'Data Vlaue (Cr)'!$C:$FB,94)</f>
        <v>-5.21E-2</v>
      </c>
      <c r="K188" s="91">
        <f>VLOOKUP($A188,'Data Vlaue (Cr)'!$C:$FB,95)</f>
        <v>453</v>
      </c>
      <c r="L188" s="91">
        <f>VLOOKUP($A188,'Data Vlaue (Cr)'!$C:$FB,97)</f>
        <v>4</v>
      </c>
      <c r="M188" s="92">
        <f>VLOOKUP($A188,'Data Vlaue (Cr)'!$C:$FB,98)</f>
        <v>8.6E-3</v>
      </c>
      <c r="N188" s="91">
        <f>VLOOKUP($A188,'Data Vlaue (Cr)'!$C:$FB,79)</f>
        <v>1513</v>
      </c>
      <c r="O188" s="92">
        <f>VLOOKUP($A188,'Data Vlaue (Cr)'!$C:$FB,82)</f>
        <v>-3.5499999999999997E-2</v>
      </c>
    </row>
    <row r="189" spans="1:15" x14ac:dyDescent="0.25">
      <c r="A189" s="97" t="str">
        <f>'Data Vlaue (Cr)'!C231</f>
        <v>ZYDUSLIFE</v>
      </c>
      <c r="B189" s="142">
        <f>VLOOKUP(A189,'Data Vlaue (Cr)'!C231:CW413,99,0)</f>
        <v>1560</v>
      </c>
      <c r="C189" s="90">
        <f>VLOOKUP(A189,'Data Vlaue (Cr)'!C231:CY413,101,0)</f>
        <v>4</v>
      </c>
      <c r="D189" s="139">
        <f>VLOOKUP(A189,'Data Vlaue (Cr)'!C231:CZ413,102,0)</f>
        <v>2.5000000000000001E-3</v>
      </c>
      <c r="E189" s="91">
        <f>VLOOKUP($A189,'Data Vlaue (Cr)'!$C:$FB,75)</f>
        <v>975</v>
      </c>
      <c r="F189" s="91">
        <f>VLOOKUP($A189,'Data Vlaue (Cr)'!$C:$FB,77)</f>
        <v>7</v>
      </c>
      <c r="G189" s="92">
        <f>VLOOKUP(A189,'Data Vlaue (Cr)'!C231:CB413,78,0)</f>
        <v>7.6E-3</v>
      </c>
      <c r="H189" s="91">
        <f>VLOOKUP($A189,'Data Vlaue (Cr)'!$C:$FB,91)</f>
        <v>335</v>
      </c>
      <c r="I189" s="91">
        <f>VLOOKUP($A189,'Data Vlaue (Cr)'!$C:$FB,93)</f>
        <v>-5</v>
      </c>
      <c r="J189" s="92">
        <f>VLOOKUP($A189,'Data Vlaue (Cr)'!$C:$FB,94)</f>
        <v>-1.4500000000000001E-2</v>
      </c>
      <c r="K189" s="91">
        <f>VLOOKUP($A189,'Data Vlaue (Cr)'!$C:$FB,95)</f>
        <v>249</v>
      </c>
      <c r="L189" s="91">
        <f>VLOOKUP($A189,'Data Vlaue (Cr)'!$C:$FB,97)</f>
        <v>1</v>
      </c>
      <c r="M189" s="92">
        <f>VLOOKUP($A189,'Data Vlaue (Cr)'!$C:$FB,98)</f>
        <v>5.8999999999999999E-3</v>
      </c>
      <c r="N189" s="91">
        <f>VLOOKUP($A189,'Data Vlaue (Cr)'!$C:$FB,79)</f>
        <v>826</v>
      </c>
      <c r="O189" s="92">
        <f>VLOOKUP($A189,'Data Vlaue (Cr)'!$C:$FB,82)</f>
        <v>-7.0000000000000001E-3</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2239247</v>
      </c>
      <c r="C210" s="123">
        <f>SUM(C7:C209)</f>
        <v>166157</v>
      </c>
      <c r="D210" s="124">
        <f>'Snapshot (Value)'!K225</f>
        <v>8.0145270508195948E-2</v>
      </c>
      <c r="E210" s="123">
        <f>SUM(E7:E209)</f>
        <v>438322</v>
      </c>
      <c r="F210" s="123">
        <f>SUM(F7:F209)</f>
        <v>1998</v>
      </c>
      <c r="G210" s="149">
        <f>F210*100/(E210-F210)</f>
        <v>0.4579165940906299</v>
      </c>
      <c r="H210" s="123">
        <f>SUM(H7:H209)</f>
        <v>1006149</v>
      </c>
      <c r="I210" s="123">
        <f>SUM(I7:I209)</f>
        <v>130800</v>
      </c>
      <c r="J210" s="149">
        <f>I210/(H210-I210)</f>
        <v>0.14942611461257166</v>
      </c>
      <c r="K210" s="123">
        <f>SUM(K7:K209)</f>
        <v>794784</v>
      </c>
      <c r="L210" s="123">
        <f>SUM(L7:L209)</f>
        <v>33352</v>
      </c>
      <c r="M210" s="149">
        <f>L210/(K210-L210)</f>
        <v>4.3801678941783377E-2</v>
      </c>
      <c r="N210" s="123">
        <f>SUM(N7:N209)</f>
        <v>366897</v>
      </c>
      <c r="O210" s="149">
        <f>(N210-FII!V2)/N210</f>
        <v>-0.2622915968241768</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438322</v>
      </c>
      <c r="C217" s="37">
        <f>F210</f>
        <v>1998</v>
      </c>
      <c r="D217" s="39">
        <f>C217/B217</f>
        <v>4.5582927619421338E-3</v>
      </c>
    </row>
    <row r="218" spans="1:15" x14ac:dyDescent="0.25">
      <c r="A218" s="36" t="s">
        <v>404</v>
      </c>
      <c r="B218" s="37">
        <f>H210</f>
        <v>1006149</v>
      </c>
      <c r="C218" s="37">
        <f>I210</f>
        <v>130800</v>
      </c>
      <c r="D218" s="150">
        <f>C218/B218</f>
        <v>0.13000062614980484</v>
      </c>
    </row>
    <row r="219" spans="1:15" x14ac:dyDescent="0.25">
      <c r="A219" s="36" t="s">
        <v>405</v>
      </c>
      <c r="B219" s="37">
        <f>K210</f>
        <v>794784</v>
      </c>
      <c r="C219" s="37">
        <f>L210</f>
        <v>33352</v>
      </c>
      <c r="D219" s="150">
        <f>C219/B219</f>
        <v>4.1963602689535771E-2</v>
      </c>
    </row>
    <row r="220" spans="1:15" x14ac:dyDescent="0.25">
      <c r="A220" s="36" t="s">
        <v>406</v>
      </c>
      <c r="B220" s="37">
        <f>B217+B218+B219</f>
        <v>2239255</v>
      </c>
      <c r="C220" s="37">
        <f>C217+C218+C219</f>
        <v>166150</v>
      </c>
      <c r="D220" s="150">
        <f>C220/B220</f>
        <v>7.4198784863715839E-2</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45860</v>
      </c>
      <c r="C6" s="3">
        <f>B6</f>
        <v>45860</v>
      </c>
      <c r="D6" s="94" t="s">
        <v>328</v>
      </c>
      <c r="E6" s="3">
        <f>B6</f>
        <v>45860</v>
      </c>
      <c r="F6" s="94" t="s">
        <v>322</v>
      </c>
      <c r="G6" s="94" t="s">
        <v>328</v>
      </c>
      <c r="H6" s="3">
        <f>E6</f>
        <v>45860</v>
      </c>
      <c r="I6" s="94" t="s">
        <v>322</v>
      </c>
      <c r="J6" s="94" t="s">
        <v>328</v>
      </c>
    </row>
    <row r="7" spans="1:10" x14ac:dyDescent="0.25">
      <c r="A7" s="101" t="str">
        <f>'NIFTY GRP'!C2</f>
        <v>ADANIENT</v>
      </c>
      <c r="B7" s="140">
        <f>VLOOKUP($A7,'Data shares'!$C:$FA,7)</f>
        <v>2587.8000000000002</v>
      </c>
      <c r="C7" s="140">
        <f>VLOOKUP($A7,'Data shares'!$C:$FA,3)</f>
        <v>2594.5</v>
      </c>
      <c r="D7" s="50">
        <f>VLOOKUP($A7,'Data shares'!$C:$FA,6)*100</f>
        <v>-1.1900000000000002</v>
      </c>
      <c r="E7" s="51">
        <f>VLOOKUP($A7,'Data shares'!$C:$FA,98)</f>
        <v>33225000</v>
      </c>
      <c r="F7" s="51">
        <f>VLOOKUP($A7,'Data shares'!$C:$FA,99)</f>
        <v>33064800</v>
      </c>
      <c r="G7" s="50">
        <f>VLOOKUP($A7,'Data shares'!$C:$FA,101)*100</f>
        <v>0.48</v>
      </c>
      <c r="H7" s="49">
        <f>VLOOKUP($A7,'Data Vlaue (Cr)'!$C:$FB,99)</f>
        <v>8620</v>
      </c>
      <c r="I7" s="49">
        <f>VLOOKUP($A7,'Data Vlaue (Cr)'!$C:$FB,100)</f>
        <v>8579</v>
      </c>
      <c r="J7" s="49">
        <f>VLOOKUP($A7,'Data Vlaue (Cr)'!$C:$FB,102)*100</f>
        <v>0.48</v>
      </c>
    </row>
    <row r="8" spans="1:10" x14ac:dyDescent="0.25">
      <c r="A8" s="101" t="str">
        <f>'NIFTY GRP'!C3</f>
        <v>ADANIPORTS</v>
      </c>
      <c r="B8" s="140">
        <f>VLOOKUP($A8,'Data shares'!$C:$FA,7)</f>
        <v>1420.7</v>
      </c>
      <c r="C8" s="140">
        <f>VLOOKUP($A8,'Data shares'!$C:$FA,3)</f>
        <v>1425.7</v>
      </c>
      <c r="D8" s="50">
        <f>VLOOKUP($A8,'Data shares'!$C:$FA,6)*100</f>
        <v>-1.87</v>
      </c>
      <c r="E8" s="51">
        <f>VLOOKUP($A8,'Data shares'!$C:$FA,98)</f>
        <v>36632475</v>
      </c>
      <c r="F8" s="51">
        <f>VLOOKUP($A8,'Data shares'!$C:$FA,99)</f>
        <v>36229200</v>
      </c>
      <c r="G8" s="50">
        <f>VLOOKUP($A8,'Data shares'!$C:$FA,101)*100</f>
        <v>1.1100000000000001</v>
      </c>
      <c r="H8" s="49">
        <f>VLOOKUP($A8,'Data Vlaue (Cr)'!$C:$FB,99)</f>
        <v>5223</v>
      </c>
      <c r="I8" s="49">
        <f>VLOOKUP($A8,'Data Vlaue (Cr)'!$C:$FB,100)</f>
        <v>5165</v>
      </c>
      <c r="J8" s="49">
        <f>VLOOKUP($A8,'Data Vlaue (Cr)'!$C:$FB,102)*100</f>
        <v>1.1100000000000001</v>
      </c>
    </row>
    <row r="9" spans="1:10" x14ac:dyDescent="0.25">
      <c r="A9" s="101" t="str">
        <f>'NIFTY GRP'!C4</f>
        <v>APOLLOHOSP</v>
      </c>
      <c r="B9" s="140">
        <f>VLOOKUP($A9,'Data shares'!$C:$FA,7)</f>
        <v>7246.5</v>
      </c>
      <c r="C9" s="140">
        <f>VLOOKUP($A9,'Data shares'!$C:$FA,3)</f>
        <v>7258</v>
      </c>
      <c r="D9" s="50">
        <f>VLOOKUP($A9,'Data shares'!$C:$FA,6)*100</f>
        <v>-0.18</v>
      </c>
      <c r="E9" s="51">
        <f>VLOOKUP($A9,'Data shares'!$C:$FA,98)</f>
        <v>5705500</v>
      </c>
      <c r="F9" s="51">
        <f>VLOOKUP($A9,'Data shares'!$C:$FA,99)</f>
        <v>5707750</v>
      </c>
      <c r="G9" s="50">
        <f>VLOOKUP($A9,'Data shares'!$C:$FA,101)*100</f>
        <v>-0.04</v>
      </c>
      <c r="H9" s="49">
        <f>VLOOKUP($A9,'Data Vlaue (Cr)'!$C:$FB,99)</f>
        <v>4141</v>
      </c>
      <c r="I9" s="49">
        <f>VLOOKUP($A9,'Data Vlaue (Cr)'!$C:$FB,100)</f>
        <v>4143</v>
      </c>
      <c r="J9" s="49">
        <f>VLOOKUP($A9,'Data Vlaue (Cr)'!$C:$FB,102)*100</f>
        <v>-0.04</v>
      </c>
    </row>
    <row r="10" spans="1:10" x14ac:dyDescent="0.25">
      <c r="A10" s="101" t="str">
        <f>'NIFTY GRP'!C5</f>
        <v>ASIANPAINT</v>
      </c>
      <c r="B10" s="140">
        <f>VLOOKUP($A10,'Data shares'!$C:$FA,7)</f>
        <v>2365.1999999999998</v>
      </c>
      <c r="C10" s="140">
        <f>VLOOKUP($A10,'Data shares'!$C:$FA,3)</f>
        <v>2365.8000000000002</v>
      </c>
      <c r="D10" s="50">
        <f>VLOOKUP($A10,'Data shares'!$C:$FA,6)*100</f>
        <v>-0.47000000000000003</v>
      </c>
      <c r="E10" s="51">
        <f>VLOOKUP($A10,'Data shares'!$C:$FA,98)</f>
        <v>29058000</v>
      </c>
      <c r="F10" s="51">
        <f>VLOOKUP($A10,'Data shares'!$C:$FA,99)</f>
        <v>29103500</v>
      </c>
      <c r="G10" s="50">
        <f>VLOOKUP($A10,'Data shares'!$C:$FA,101)*100</f>
        <v>-0.16</v>
      </c>
      <c r="H10" s="49">
        <f>VLOOKUP($A10,'Data Vlaue (Cr)'!$C:$FB,99)</f>
        <v>6875</v>
      </c>
      <c r="I10" s="49">
        <f>VLOOKUP($A10,'Data Vlaue (Cr)'!$C:$FB,100)</f>
        <v>6885</v>
      </c>
      <c r="J10" s="49">
        <f>VLOOKUP($A10,'Data Vlaue (Cr)'!$C:$FB,102)*100</f>
        <v>-0.16</v>
      </c>
    </row>
    <row r="11" spans="1:10" x14ac:dyDescent="0.25">
      <c r="A11" s="101" t="str">
        <f>'NIFTY GRP'!C6</f>
        <v>AXISBANK</v>
      </c>
      <c r="B11" s="140">
        <f>VLOOKUP($A11,'Data shares'!$C:$FA,7)</f>
        <v>1098</v>
      </c>
      <c r="C11" s="140">
        <f>VLOOKUP($A11,'Data shares'!$C:$FA,3)</f>
        <v>1101.5</v>
      </c>
      <c r="D11" s="50">
        <f>VLOOKUP($A11,'Data shares'!$C:$FA,6)*100</f>
        <v>-0.15</v>
      </c>
      <c r="E11" s="51">
        <f>VLOOKUP($A11,'Data shares'!$C:$FA,98)</f>
        <v>158917500</v>
      </c>
      <c r="F11" s="51">
        <f>VLOOKUP($A11,'Data shares'!$C:$FA,99)</f>
        <v>156816250</v>
      </c>
      <c r="G11" s="50">
        <f>VLOOKUP($A11,'Data shares'!$C:$FA,101)*100</f>
        <v>1.34</v>
      </c>
      <c r="H11" s="49">
        <f>VLOOKUP($A11,'Data Vlaue (Cr)'!$C:$FB,99)</f>
        <v>17505</v>
      </c>
      <c r="I11" s="49">
        <f>VLOOKUP($A11,'Data Vlaue (Cr)'!$C:$FB,100)</f>
        <v>17273</v>
      </c>
      <c r="J11" s="49">
        <f>VLOOKUP($A11,'Data Vlaue (Cr)'!$C:$FB,102)*100</f>
        <v>1.34</v>
      </c>
    </row>
    <row r="12" spans="1:10" x14ac:dyDescent="0.25">
      <c r="A12" s="101" t="str">
        <f>'NIFTY GRP'!C7</f>
        <v>BAJAJ-AUTO</v>
      </c>
      <c r="B12" s="140">
        <f>VLOOKUP($A12,'Data shares'!$C:$FA,7)</f>
        <v>8295</v>
      </c>
      <c r="C12" s="140">
        <f>VLOOKUP($A12,'Data shares'!$C:$FA,3)</f>
        <v>8300.5</v>
      </c>
      <c r="D12" s="50">
        <f>VLOOKUP($A12,'Data shares'!$C:$FA,6)*100</f>
        <v>-1.72</v>
      </c>
      <c r="E12" s="51">
        <f>VLOOKUP($A12,'Data shares'!$C:$FA,98)</f>
        <v>5131575</v>
      </c>
      <c r="F12" s="51">
        <f>VLOOKUP($A12,'Data shares'!$C:$FA,99)</f>
        <v>4905750</v>
      </c>
      <c r="G12" s="50">
        <f>VLOOKUP($A12,'Data shares'!$C:$FA,101)*100</f>
        <v>4.5999999999999996</v>
      </c>
      <c r="H12" s="49">
        <f>VLOOKUP($A12,'Data Vlaue (Cr)'!$C:$FB,99)</f>
        <v>4259</v>
      </c>
      <c r="I12" s="49">
        <f>VLOOKUP($A12,'Data Vlaue (Cr)'!$C:$FB,100)</f>
        <v>4072</v>
      </c>
      <c r="J12" s="49">
        <f>VLOOKUP($A12,'Data Vlaue (Cr)'!$C:$FB,102)*100</f>
        <v>4.5999999999999996</v>
      </c>
    </row>
    <row r="13" spans="1:10" x14ac:dyDescent="0.25">
      <c r="A13" s="101" t="str">
        <f>'NIFTY GRP'!C8</f>
        <v>BAJAJFINSV</v>
      </c>
      <c r="B13" s="140">
        <f>VLOOKUP($A13,'Data shares'!$C:$FA,7)</f>
        <v>2039.6</v>
      </c>
      <c r="C13" s="140">
        <f>VLOOKUP($A13,'Data shares'!$C:$FA,3)</f>
        <v>2043</v>
      </c>
      <c r="D13" s="50">
        <f>VLOOKUP($A13,'Data shares'!$C:$FA,6)*100</f>
        <v>-0.85000000000000009</v>
      </c>
      <c r="E13" s="51">
        <f>VLOOKUP($A13,'Data shares'!$C:$FA,98)</f>
        <v>28728000</v>
      </c>
      <c r="F13" s="51">
        <f>VLOOKUP($A13,'Data shares'!$C:$FA,99)</f>
        <v>28704000</v>
      </c>
      <c r="G13" s="50">
        <f>VLOOKUP($A13,'Data shares'!$C:$FA,101)*100</f>
        <v>0.08</v>
      </c>
      <c r="H13" s="49">
        <f>VLOOKUP($A13,'Data Vlaue (Cr)'!$C:$FB,99)</f>
        <v>5869</v>
      </c>
      <c r="I13" s="49">
        <f>VLOOKUP($A13,'Data Vlaue (Cr)'!$C:$FB,100)</f>
        <v>5864</v>
      </c>
      <c r="J13" s="49">
        <f>VLOOKUP($A13,'Data Vlaue (Cr)'!$C:$FB,102)*100</f>
        <v>0.08</v>
      </c>
    </row>
    <row r="14" spans="1:10" x14ac:dyDescent="0.25">
      <c r="A14" s="101" t="str">
        <f>'NIFTY GRP'!C9</f>
        <v>BAJFINANCE</v>
      </c>
      <c r="B14" s="140">
        <f>VLOOKUP($A14,'Data shares'!$C:$FA,7)</f>
        <v>952.55</v>
      </c>
      <c r="C14" s="140">
        <f>VLOOKUP($A14,'Data shares'!$C:$FA,3)</f>
        <v>955.95</v>
      </c>
      <c r="D14" s="50">
        <f>VLOOKUP($A14,'Data shares'!$C:$FA,6)*100</f>
        <v>0.5</v>
      </c>
      <c r="E14" s="51">
        <f>VLOOKUP($A14,'Data shares'!$C:$FA,98)</f>
        <v>126426750</v>
      </c>
      <c r="F14" s="51">
        <f>VLOOKUP($A14,'Data shares'!$C:$FA,99)</f>
        <v>126344250</v>
      </c>
      <c r="G14" s="50">
        <f>VLOOKUP($A14,'Data shares'!$C:$FA,101)*100</f>
        <v>6.9999999999999993E-2</v>
      </c>
      <c r="H14" s="49">
        <f>VLOOKUP($A14,'Data Vlaue (Cr)'!$C:$FB,99)</f>
        <v>12086</v>
      </c>
      <c r="I14" s="49">
        <f>VLOOKUP($A14,'Data Vlaue (Cr)'!$C:$FB,100)</f>
        <v>12078</v>
      </c>
      <c r="J14" s="49">
        <f>VLOOKUP($A14,'Data Vlaue (Cr)'!$C:$FB,102)*100</f>
        <v>6.9999999999999993E-2</v>
      </c>
    </row>
    <row r="15" spans="1:10" x14ac:dyDescent="0.25">
      <c r="A15" s="101" t="str">
        <f>'NIFTY GRP'!C10</f>
        <v>BEL</v>
      </c>
      <c r="B15" s="140">
        <f>VLOOKUP($A15,'Data shares'!$C:$FA,7)</f>
        <v>403.1</v>
      </c>
      <c r="C15" s="140">
        <f>VLOOKUP($A15,'Data shares'!$C:$FA,3)</f>
        <v>403.65</v>
      </c>
      <c r="D15" s="50">
        <f>VLOOKUP($A15,'Data shares'!$C:$FA,6)*100</f>
        <v>0.64</v>
      </c>
      <c r="E15" s="51">
        <f>VLOOKUP($A15,'Data shares'!$C:$FA,98)</f>
        <v>275099100</v>
      </c>
      <c r="F15" s="51">
        <f>VLOOKUP($A15,'Data shares'!$C:$FA,99)</f>
        <v>275908500</v>
      </c>
      <c r="G15" s="50">
        <f>VLOOKUP($A15,'Data shares'!$C:$FA,101)*100</f>
        <v>-0.28999999999999998</v>
      </c>
      <c r="H15" s="49">
        <f>VLOOKUP($A15,'Data Vlaue (Cr)'!$C:$FB,99)</f>
        <v>11104</v>
      </c>
      <c r="I15" s="49">
        <f>VLOOKUP($A15,'Data Vlaue (Cr)'!$C:$FB,100)</f>
        <v>11137</v>
      </c>
      <c r="J15" s="49">
        <f>VLOOKUP($A15,'Data Vlaue (Cr)'!$C:$FB,102)*100</f>
        <v>-0.28999999999999998</v>
      </c>
    </row>
    <row r="16" spans="1:10" x14ac:dyDescent="0.25">
      <c r="A16" s="101" t="str">
        <f>'NIFTY GRP'!C11</f>
        <v>BHARTIARTL</v>
      </c>
      <c r="B16" s="140">
        <f>VLOOKUP($A16,'Data shares'!$C:$FA,7)</f>
        <v>1906.8</v>
      </c>
      <c r="C16" s="140">
        <f>VLOOKUP($A16,'Data shares'!$C:$FA,3)</f>
        <v>1908.2</v>
      </c>
      <c r="D16" s="50">
        <f>VLOOKUP($A16,'Data shares'!$C:$FA,6)*100</f>
        <v>-0.22999999999999998</v>
      </c>
      <c r="E16" s="51">
        <f>VLOOKUP($A16,'Data shares'!$C:$FA,98)</f>
        <v>80465475</v>
      </c>
      <c r="F16" s="51">
        <f>VLOOKUP($A16,'Data shares'!$C:$FA,99)</f>
        <v>80772800</v>
      </c>
      <c r="G16" s="50">
        <f>VLOOKUP($A16,'Data shares'!$C:$FA,101)*100</f>
        <v>-0.38</v>
      </c>
      <c r="H16" s="49">
        <f>VLOOKUP($A16,'Data Vlaue (Cr)'!$C:$FB,99)</f>
        <v>15354</v>
      </c>
      <c r="I16" s="49">
        <f>VLOOKUP($A16,'Data Vlaue (Cr)'!$C:$FB,100)</f>
        <v>15413</v>
      </c>
      <c r="J16" s="49">
        <f>VLOOKUP($A16,'Data Vlaue (Cr)'!$C:$FB,102)*100</f>
        <v>-0.38</v>
      </c>
    </row>
    <row r="17" spans="1:10" x14ac:dyDescent="0.25">
      <c r="A17" s="101" t="str">
        <f>'NIFTY GRP'!C12</f>
        <v>CIPLA</v>
      </c>
      <c r="B17" s="140">
        <f>VLOOKUP($A17,'Data shares'!$C:$FA,7)</f>
        <v>1464.4</v>
      </c>
      <c r="C17" s="140">
        <f>VLOOKUP($A17,'Data shares'!$C:$FA,3)</f>
        <v>1465.5</v>
      </c>
      <c r="D17" s="50">
        <f>VLOOKUP($A17,'Data shares'!$C:$FA,6)*100</f>
        <v>-0.66</v>
      </c>
      <c r="E17" s="51">
        <f>VLOOKUP($A17,'Data shares'!$C:$FA,98)</f>
        <v>20369250</v>
      </c>
      <c r="F17" s="51">
        <f>VLOOKUP($A17,'Data shares'!$C:$FA,99)</f>
        <v>20782125</v>
      </c>
      <c r="G17" s="50">
        <f>VLOOKUP($A17,'Data shares'!$C:$FA,101)*100</f>
        <v>-1.9900000000000002</v>
      </c>
      <c r="H17" s="49">
        <f>VLOOKUP($A17,'Data Vlaue (Cr)'!$C:$FB,99)</f>
        <v>2985</v>
      </c>
      <c r="I17" s="49">
        <f>VLOOKUP($A17,'Data Vlaue (Cr)'!$C:$FB,100)</f>
        <v>3046</v>
      </c>
      <c r="J17" s="49">
        <f>VLOOKUP($A17,'Data Vlaue (Cr)'!$C:$FB,102)*100</f>
        <v>-1.9900000000000002</v>
      </c>
    </row>
    <row r="18" spans="1:10" x14ac:dyDescent="0.25">
      <c r="A18" s="101" t="str">
        <f>'NIFTY GRP'!C13</f>
        <v>COALINDIA</v>
      </c>
      <c r="B18" s="140">
        <f>VLOOKUP($A18,'Data shares'!$C:$FA,7)</f>
        <v>389.1</v>
      </c>
      <c r="C18" s="140">
        <f>VLOOKUP($A18,'Data shares'!$C:$FA,3)</f>
        <v>390.1</v>
      </c>
      <c r="D18" s="50">
        <f>VLOOKUP($A18,'Data shares'!$C:$FA,6)*100</f>
        <v>0.67999999999999994</v>
      </c>
      <c r="E18" s="51">
        <f>VLOOKUP($A18,'Data shares'!$C:$FA,98)</f>
        <v>154836900</v>
      </c>
      <c r="F18" s="51">
        <f>VLOOKUP($A18,'Data shares'!$C:$FA,99)</f>
        <v>160465050</v>
      </c>
      <c r="G18" s="50">
        <f>VLOOKUP($A18,'Data shares'!$C:$FA,101)*100</f>
        <v>-3.51</v>
      </c>
      <c r="H18" s="49">
        <f>VLOOKUP($A18,'Data Vlaue (Cr)'!$C:$FB,99)</f>
        <v>6040</v>
      </c>
      <c r="I18" s="49">
        <f>VLOOKUP($A18,'Data Vlaue (Cr)'!$C:$FB,100)</f>
        <v>6260</v>
      </c>
      <c r="J18" s="49">
        <f>VLOOKUP($A18,'Data Vlaue (Cr)'!$C:$FB,102)*100</f>
        <v>-3.51</v>
      </c>
    </row>
    <row r="19" spans="1:10" x14ac:dyDescent="0.25">
      <c r="A19" s="101" t="str">
        <f>'NIFTY GRP'!C14</f>
        <v>DRREDDY</v>
      </c>
      <c r="B19" s="140">
        <f>VLOOKUP($A19,'Data shares'!$C:$FA,7)</f>
        <v>1240</v>
      </c>
      <c r="C19" s="140">
        <f>VLOOKUP($A19,'Data shares'!$C:$FA,3)</f>
        <v>1240.9000000000001</v>
      </c>
      <c r="D19" s="50">
        <f>VLOOKUP($A19,'Data shares'!$C:$FA,6)*100</f>
        <v>-1.5</v>
      </c>
      <c r="E19" s="51">
        <f>VLOOKUP($A19,'Data shares'!$C:$FA,98)</f>
        <v>28465625</v>
      </c>
      <c r="F19" s="51">
        <f>VLOOKUP($A19,'Data shares'!$C:$FA,99)</f>
        <v>27771875</v>
      </c>
      <c r="G19" s="50">
        <f>VLOOKUP($A19,'Data shares'!$C:$FA,101)*100</f>
        <v>2.5</v>
      </c>
      <c r="H19" s="49">
        <f>VLOOKUP($A19,'Data Vlaue (Cr)'!$C:$FB,99)</f>
        <v>3532</v>
      </c>
      <c r="I19" s="49">
        <f>VLOOKUP($A19,'Data Vlaue (Cr)'!$C:$FB,100)</f>
        <v>3446</v>
      </c>
      <c r="J19" s="49">
        <f>VLOOKUP($A19,'Data Vlaue (Cr)'!$C:$FB,102)*100</f>
        <v>2.5</v>
      </c>
    </row>
    <row r="20" spans="1:10" x14ac:dyDescent="0.25">
      <c r="A20" s="101" t="str">
        <f>'NIFTY GRP'!C15</f>
        <v>EICHERMOT</v>
      </c>
      <c r="B20" s="140">
        <f>VLOOKUP($A20,'Data shares'!$C:$FA,7)</f>
        <v>5439.5</v>
      </c>
      <c r="C20" s="140">
        <f>VLOOKUP($A20,'Data shares'!$C:$FA,3)</f>
        <v>5455.5</v>
      </c>
      <c r="D20" s="50">
        <f>VLOOKUP($A20,'Data shares'!$C:$FA,6)*100</f>
        <v>-2.16</v>
      </c>
      <c r="E20" s="51">
        <f>VLOOKUP($A20,'Data shares'!$C:$FA,98)</f>
        <v>5752775</v>
      </c>
      <c r="F20" s="51">
        <f>VLOOKUP($A20,'Data shares'!$C:$FA,99)</f>
        <v>5334175</v>
      </c>
      <c r="G20" s="50">
        <f>VLOOKUP($A20,'Data shares'!$C:$FA,101)*100</f>
        <v>7.85</v>
      </c>
      <c r="H20" s="49">
        <f>VLOOKUP($A20,'Data Vlaue (Cr)'!$C:$FB,99)</f>
        <v>3138</v>
      </c>
      <c r="I20" s="49">
        <f>VLOOKUP($A20,'Data Vlaue (Cr)'!$C:$FB,100)</f>
        <v>2910</v>
      </c>
      <c r="J20" s="49">
        <f>VLOOKUP($A20,'Data Vlaue (Cr)'!$C:$FB,102)*100</f>
        <v>7.85</v>
      </c>
    </row>
    <row r="21" spans="1:10" x14ac:dyDescent="0.25">
      <c r="A21" s="101" t="str">
        <f>'NIFTY GRP'!C16</f>
        <v>ETERNAL</v>
      </c>
      <c r="B21" s="140">
        <f>VLOOKUP($A21,'Data shares'!$C:$FA,7)</f>
        <v>299.8</v>
      </c>
      <c r="C21" s="140">
        <f>VLOOKUP($A21,'Data shares'!$C:$FA,3)</f>
        <v>300.75</v>
      </c>
      <c r="D21" s="50">
        <f>VLOOKUP($A21,'Data shares'!$C:$FA,6)*100</f>
        <v>10.81</v>
      </c>
      <c r="E21" s="51">
        <f>VLOOKUP($A21,'Data shares'!$C:$FA,98)</f>
        <v>376903200</v>
      </c>
      <c r="F21" s="51">
        <f>VLOOKUP($A21,'Data shares'!$C:$FA,99)</f>
        <v>283038725</v>
      </c>
      <c r="G21" s="50">
        <f>VLOOKUP($A21,'Data shares'!$C:$FA,101)*100</f>
        <v>33.160000000000004</v>
      </c>
      <c r="H21" s="49">
        <f>VLOOKUP($A21,'Data Vlaue (Cr)'!$C:$FB,99)</f>
        <v>11335</v>
      </c>
      <c r="I21" s="49">
        <f>VLOOKUP($A21,'Data Vlaue (Cr)'!$C:$FB,100)</f>
        <v>8512</v>
      </c>
      <c r="J21" s="49">
        <f>VLOOKUP($A21,'Data Vlaue (Cr)'!$C:$FB,102)*100</f>
        <v>33.160000000000004</v>
      </c>
    </row>
    <row r="22" spans="1:10" x14ac:dyDescent="0.25">
      <c r="A22" s="101" t="str">
        <f>'NIFTY GRP'!C17</f>
        <v>GRASIM</v>
      </c>
      <c r="B22" s="140">
        <f>VLOOKUP($A22,'Data shares'!$C:$FA,7)</f>
        <v>2722.7</v>
      </c>
      <c r="C22" s="140">
        <f>VLOOKUP($A22,'Data shares'!$C:$FA,3)</f>
        <v>2730</v>
      </c>
      <c r="D22" s="50">
        <f>VLOOKUP($A22,'Data shares'!$C:$FA,6)*100</f>
        <v>-0.73</v>
      </c>
      <c r="E22" s="51">
        <f>VLOOKUP($A22,'Data shares'!$C:$FA,98)</f>
        <v>16166250</v>
      </c>
      <c r="F22" s="51">
        <f>VLOOKUP($A22,'Data shares'!$C:$FA,99)</f>
        <v>15949000</v>
      </c>
      <c r="G22" s="50">
        <f>VLOOKUP($A22,'Data shares'!$C:$FA,101)*100</f>
        <v>1.3599999999999999</v>
      </c>
      <c r="H22" s="49">
        <f>VLOOKUP($A22,'Data Vlaue (Cr)'!$C:$FB,99)</f>
        <v>4413</v>
      </c>
      <c r="I22" s="49">
        <f>VLOOKUP($A22,'Data Vlaue (Cr)'!$C:$FB,100)</f>
        <v>4354</v>
      </c>
      <c r="J22" s="49">
        <f>VLOOKUP($A22,'Data Vlaue (Cr)'!$C:$FB,102)*100</f>
        <v>1.3599999999999999</v>
      </c>
    </row>
    <row r="23" spans="1:10" x14ac:dyDescent="0.25">
      <c r="A23" s="101" t="str">
        <f>'NIFTY GRP'!C18</f>
        <v>HCLTECH</v>
      </c>
      <c r="B23" s="140">
        <f>VLOOKUP($A23,'Data shares'!$C:$FA,7)</f>
        <v>1520.1</v>
      </c>
      <c r="C23" s="140">
        <f>VLOOKUP($A23,'Data shares'!$C:$FA,3)</f>
        <v>1524.9</v>
      </c>
      <c r="D23" s="50">
        <f>VLOOKUP($A23,'Data shares'!$C:$FA,6)*100</f>
        <v>-0.70000000000000007</v>
      </c>
      <c r="E23" s="51">
        <f>VLOOKUP($A23,'Data shares'!$C:$FA,98)</f>
        <v>43713950</v>
      </c>
      <c r="F23" s="51">
        <f>VLOOKUP($A23,'Data shares'!$C:$FA,99)</f>
        <v>43776600</v>
      </c>
      <c r="G23" s="50">
        <f>VLOOKUP($A23,'Data shares'!$C:$FA,101)*100</f>
        <v>-0.13999999999999999</v>
      </c>
      <c r="H23" s="49">
        <f>VLOOKUP($A23,'Data Vlaue (Cr)'!$C:$FB,99)</f>
        <v>6666</v>
      </c>
      <c r="I23" s="49">
        <f>VLOOKUP($A23,'Data Vlaue (Cr)'!$C:$FB,100)</f>
        <v>6675</v>
      </c>
      <c r="J23" s="49">
        <f>VLOOKUP($A23,'Data Vlaue (Cr)'!$C:$FB,102)*100</f>
        <v>-0.13999999999999999</v>
      </c>
    </row>
    <row r="24" spans="1:10" x14ac:dyDescent="0.25">
      <c r="A24" s="101" t="str">
        <f>'NIFTY GRP'!C19</f>
        <v>HDFCBANK</v>
      </c>
      <c r="B24" s="140">
        <f>VLOOKUP($A24,'Data shares'!$C:$FA,7)</f>
        <v>2007.1</v>
      </c>
      <c r="C24" s="140">
        <f>VLOOKUP($A24,'Data shares'!$C:$FA,3)</f>
        <v>2004</v>
      </c>
      <c r="D24" s="50">
        <f>VLOOKUP($A24,'Data shares'!$C:$FA,6)*100</f>
        <v>0.33999999999999997</v>
      </c>
      <c r="E24" s="51">
        <f>VLOOKUP($A24,'Data shares'!$C:$FA,98)</f>
        <v>162228550</v>
      </c>
      <c r="F24" s="51">
        <f>VLOOKUP($A24,'Data shares'!$C:$FA,99)</f>
        <v>165111100</v>
      </c>
      <c r="G24" s="50">
        <f>VLOOKUP($A24,'Data shares'!$C:$FA,101)*100</f>
        <v>-1.7500000000000002</v>
      </c>
      <c r="H24" s="49">
        <f>VLOOKUP($A24,'Data Vlaue (Cr)'!$C:$FB,99)</f>
        <v>32511</v>
      </c>
      <c r="I24" s="49">
        <f>VLOOKUP($A24,'Data Vlaue (Cr)'!$C:$FB,100)</f>
        <v>33088</v>
      </c>
      <c r="J24" s="49">
        <f>VLOOKUP($A24,'Data Vlaue (Cr)'!$C:$FB,102)*100</f>
        <v>-1.7500000000000002</v>
      </c>
    </row>
    <row r="25" spans="1:10" x14ac:dyDescent="0.25">
      <c r="A25" s="101" t="str">
        <f>'NIFTY GRP'!C20</f>
        <v>HDFCLIFE</v>
      </c>
      <c r="B25" s="140">
        <f>VLOOKUP($A25,'Data shares'!$C:$FA,7)</f>
        <v>763.3</v>
      </c>
      <c r="C25" s="140">
        <f>VLOOKUP($A25,'Data shares'!$C:$FA,3)</f>
        <v>763.8</v>
      </c>
      <c r="D25" s="50">
        <f>VLOOKUP($A25,'Data shares'!$C:$FA,6)*100</f>
        <v>1.44</v>
      </c>
      <c r="E25" s="51">
        <f>VLOOKUP($A25,'Data shares'!$C:$FA,98)</f>
        <v>60084200</v>
      </c>
      <c r="F25" s="51">
        <f>VLOOKUP($A25,'Data shares'!$C:$FA,99)</f>
        <v>64322500</v>
      </c>
      <c r="G25" s="50">
        <f>VLOOKUP($A25,'Data shares'!$C:$FA,101)*100</f>
        <v>-6.59</v>
      </c>
      <c r="H25" s="49">
        <f>VLOOKUP($A25,'Data Vlaue (Cr)'!$C:$FB,99)</f>
        <v>4589</v>
      </c>
      <c r="I25" s="49">
        <f>VLOOKUP($A25,'Data Vlaue (Cr)'!$C:$FB,100)</f>
        <v>4913</v>
      </c>
      <c r="J25" s="49">
        <f>VLOOKUP($A25,'Data Vlaue (Cr)'!$C:$FB,102)*100</f>
        <v>-6.59</v>
      </c>
    </row>
    <row r="26" spans="1:10" x14ac:dyDescent="0.25">
      <c r="A26" s="101" t="str">
        <f>'NIFTY GRP'!C21</f>
        <v>HEROMOTOCO</v>
      </c>
      <c r="B26" s="140">
        <f>VLOOKUP($A26,'Data shares'!$C:$FA,7)</f>
        <v>4342.3999999999996</v>
      </c>
      <c r="C26" s="140">
        <f>VLOOKUP($A26,'Data shares'!$C:$FA,3)</f>
        <v>4262.8</v>
      </c>
      <c r="D26" s="50">
        <f>VLOOKUP($A26,'Data shares'!$C:$FA,6)*100</f>
        <v>-1.83</v>
      </c>
      <c r="E26" s="51">
        <f>VLOOKUP($A26,'Data shares'!$C:$FA,98)</f>
        <v>13135950</v>
      </c>
      <c r="F26" s="51">
        <f>VLOOKUP($A26,'Data shares'!$C:$FA,99)</f>
        <v>12509700</v>
      </c>
      <c r="G26" s="50">
        <f>VLOOKUP($A26,'Data shares'!$C:$FA,101)*100</f>
        <v>5.01</v>
      </c>
      <c r="H26" s="49">
        <f>VLOOKUP($A26,'Data Vlaue (Cr)'!$C:$FB,99)</f>
        <v>5600</v>
      </c>
      <c r="I26" s="49">
        <f>VLOOKUP($A26,'Data Vlaue (Cr)'!$C:$FB,100)</f>
        <v>5333</v>
      </c>
      <c r="J26" s="49">
        <f>VLOOKUP($A26,'Data Vlaue (Cr)'!$C:$FB,102)*100</f>
        <v>5.01</v>
      </c>
    </row>
    <row r="27" spans="1:10" x14ac:dyDescent="0.25">
      <c r="A27" s="101" t="str">
        <f>'NIFTY GRP'!C22</f>
        <v>HINDALCO</v>
      </c>
      <c r="B27" s="140">
        <f>VLOOKUP($A27,'Data shares'!$C:$FA,7)</f>
        <v>690.05</v>
      </c>
      <c r="C27" s="140">
        <f>VLOOKUP($A27,'Data shares'!$C:$FA,3)</f>
        <v>690</v>
      </c>
      <c r="D27" s="50">
        <f>VLOOKUP($A27,'Data shares'!$C:$FA,6)*100</f>
        <v>0.74</v>
      </c>
      <c r="E27" s="51">
        <f>VLOOKUP($A27,'Data shares'!$C:$FA,98)</f>
        <v>82874400</v>
      </c>
      <c r="F27" s="51">
        <f>VLOOKUP($A27,'Data shares'!$C:$FA,99)</f>
        <v>81629800</v>
      </c>
      <c r="G27" s="50">
        <f>VLOOKUP($A27,'Data shares'!$C:$FA,101)*100</f>
        <v>1.52</v>
      </c>
      <c r="H27" s="49">
        <f>VLOOKUP($A27,'Data Vlaue (Cr)'!$C:$FB,99)</f>
        <v>5718</v>
      </c>
      <c r="I27" s="49">
        <f>VLOOKUP($A27,'Data Vlaue (Cr)'!$C:$FB,100)</f>
        <v>5632</v>
      </c>
      <c r="J27" s="49">
        <f>VLOOKUP($A27,'Data Vlaue (Cr)'!$C:$FB,102)*100</f>
        <v>1.52</v>
      </c>
    </row>
    <row r="28" spans="1:10" x14ac:dyDescent="0.25">
      <c r="A28" s="101" t="str">
        <f>'NIFTY GRP'!C23</f>
        <v>HINDUNILVR</v>
      </c>
      <c r="B28" s="140">
        <f>VLOOKUP($A28,'Data shares'!$C:$FA,7)</f>
        <v>2479.6999999999998</v>
      </c>
      <c r="C28" s="140">
        <f>VLOOKUP($A28,'Data shares'!$C:$FA,3)</f>
        <v>2480.6999999999998</v>
      </c>
      <c r="D28" s="50">
        <f>VLOOKUP($A28,'Data shares'!$C:$FA,6)*100</f>
        <v>0.54999999999999993</v>
      </c>
      <c r="E28" s="51">
        <f>VLOOKUP($A28,'Data shares'!$C:$FA,98)</f>
        <v>33282600</v>
      </c>
      <c r="F28" s="51">
        <f>VLOOKUP($A28,'Data shares'!$C:$FA,99)</f>
        <v>33682500</v>
      </c>
      <c r="G28" s="50">
        <f>VLOOKUP($A28,'Data shares'!$C:$FA,101)*100</f>
        <v>-1.1900000000000002</v>
      </c>
      <c r="H28" s="49">
        <f>VLOOKUP($A28,'Data Vlaue (Cr)'!$C:$FB,99)</f>
        <v>8256</v>
      </c>
      <c r="I28" s="49">
        <f>VLOOKUP($A28,'Data Vlaue (Cr)'!$C:$FB,100)</f>
        <v>8356</v>
      </c>
      <c r="J28" s="49">
        <f>VLOOKUP($A28,'Data Vlaue (Cr)'!$C:$FB,102)*100</f>
        <v>-1.1900000000000002</v>
      </c>
    </row>
    <row r="29" spans="1:10" x14ac:dyDescent="0.25">
      <c r="A29" s="101" t="str">
        <f>'NIFTY GRP'!C24</f>
        <v>ICICIBANK</v>
      </c>
      <c r="B29" s="140">
        <f>VLOOKUP($A29,'Data shares'!$C:$FA,7)</f>
        <v>1473.6</v>
      </c>
      <c r="C29" s="140">
        <f>VLOOKUP($A29,'Data shares'!$C:$FA,3)</f>
        <v>1474.3</v>
      </c>
      <c r="D29" s="50">
        <f>VLOOKUP($A29,'Data shares'!$C:$FA,6)*100</f>
        <v>0.48</v>
      </c>
      <c r="E29" s="51">
        <f>VLOOKUP($A29,'Data shares'!$C:$FA,98)</f>
        <v>154910000</v>
      </c>
      <c r="F29" s="51">
        <f>VLOOKUP($A29,'Data shares'!$C:$FA,99)</f>
        <v>156051000</v>
      </c>
      <c r="G29" s="50">
        <f>VLOOKUP($A29,'Data shares'!$C:$FA,101)*100</f>
        <v>-0.73</v>
      </c>
      <c r="H29" s="49">
        <f>VLOOKUP($A29,'Data Vlaue (Cr)'!$C:$FB,99)</f>
        <v>22838</v>
      </c>
      <c r="I29" s="49">
        <f>VLOOKUP($A29,'Data Vlaue (Cr)'!$C:$FB,100)</f>
        <v>23007</v>
      </c>
      <c r="J29" s="49">
        <f>VLOOKUP($A29,'Data Vlaue (Cr)'!$C:$FB,102)*100</f>
        <v>-0.73</v>
      </c>
    </row>
    <row r="30" spans="1:10" x14ac:dyDescent="0.25">
      <c r="A30" s="101" t="str">
        <f>'NIFTY GRP'!C25</f>
        <v>INDUSINDBK</v>
      </c>
      <c r="B30" s="140">
        <f>VLOOKUP($A30,'Data shares'!$C:$FA,7)</f>
        <v>843.2</v>
      </c>
      <c r="C30" s="140">
        <f>VLOOKUP($A30,'Data shares'!$C:$FA,3)</f>
        <v>845.4</v>
      </c>
      <c r="D30" s="50">
        <f>VLOOKUP($A30,'Data shares'!$C:$FA,6)*100</f>
        <v>-1.5699999999999998</v>
      </c>
      <c r="E30" s="51">
        <f>VLOOKUP($A30,'Data shares'!$C:$FA,98)</f>
        <v>74508000</v>
      </c>
      <c r="F30" s="51">
        <f>VLOOKUP($A30,'Data shares'!$C:$FA,99)</f>
        <v>71789200</v>
      </c>
      <c r="G30" s="50">
        <f>VLOOKUP($A30,'Data shares'!$C:$FA,101)*100</f>
        <v>3.7900000000000005</v>
      </c>
      <c r="H30" s="49">
        <f>VLOOKUP($A30,'Data Vlaue (Cr)'!$C:$FB,99)</f>
        <v>6299</v>
      </c>
      <c r="I30" s="49">
        <f>VLOOKUP($A30,'Data Vlaue (Cr)'!$C:$FB,100)</f>
        <v>6069</v>
      </c>
      <c r="J30" s="49">
        <f>VLOOKUP($A30,'Data Vlaue (Cr)'!$C:$FB,102)*100</f>
        <v>3.7900000000000005</v>
      </c>
    </row>
    <row r="31" spans="1:10" x14ac:dyDescent="0.25">
      <c r="A31" s="101" t="str">
        <f>'NIFTY GRP'!C26</f>
        <v>INFY</v>
      </c>
      <c r="B31" s="140">
        <f>VLOOKUP($A31,'Data shares'!$C:$FA,7)</f>
        <v>1570.9</v>
      </c>
      <c r="C31" s="140">
        <f>VLOOKUP($A31,'Data shares'!$C:$FA,3)</f>
        <v>1576.5</v>
      </c>
      <c r="D31" s="50">
        <f>VLOOKUP($A31,'Data shares'!$C:$FA,6)*100</f>
        <v>-0.74</v>
      </c>
      <c r="E31" s="51">
        <f>VLOOKUP($A31,'Data shares'!$C:$FA,98)</f>
        <v>119963200</v>
      </c>
      <c r="F31" s="51">
        <f>VLOOKUP($A31,'Data shares'!$C:$FA,99)</f>
        <v>114298800</v>
      </c>
      <c r="G31" s="50">
        <f>VLOOKUP($A31,'Data shares'!$C:$FA,101)*100</f>
        <v>4.96</v>
      </c>
      <c r="H31" s="49">
        <f>VLOOKUP($A31,'Data Vlaue (Cr)'!$C:$FB,99)</f>
        <v>18912</v>
      </c>
      <c r="I31" s="49">
        <f>VLOOKUP($A31,'Data Vlaue (Cr)'!$C:$FB,100)</f>
        <v>18019</v>
      </c>
      <c r="J31" s="49">
        <f>VLOOKUP($A31,'Data Vlaue (Cr)'!$C:$FB,102)*100</f>
        <v>4.96</v>
      </c>
    </row>
    <row r="32" spans="1:10" x14ac:dyDescent="0.25">
      <c r="A32" s="101" t="str">
        <f>'NIFTY GRP'!C27</f>
        <v>ITC</v>
      </c>
      <c r="B32" s="140">
        <f>VLOOKUP($A32,'Data shares'!$C:$FA,7)</f>
        <v>416</v>
      </c>
      <c r="C32" s="140">
        <f>VLOOKUP($A32,'Data shares'!$C:$FA,3)</f>
        <v>417.2</v>
      </c>
      <c r="D32" s="50">
        <f>VLOOKUP($A32,'Data shares'!$C:$FA,6)*100</f>
        <v>-0.82000000000000006</v>
      </c>
      <c r="E32" s="51">
        <f>VLOOKUP($A32,'Data shares'!$C:$FA,98)</f>
        <v>197393600</v>
      </c>
      <c r="F32" s="51">
        <f>VLOOKUP($A32,'Data shares'!$C:$FA,99)</f>
        <v>195164800</v>
      </c>
      <c r="G32" s="50">
        <f>VLOOKUP($A32,'Data shares'!$C:$FA,101)*100</f>
        <v>1.1400000000000001</v>
      </c>
      <c r="H32" s="49">
        <f>VLOOKUP($A32,'Data Vlaue (Cr)'!$C:$FB,99)</f>
        <v>8235</v>
      </c>
      <c r="I32" s="49">
        <f>VLOOKUP($A32,'Data Vlaue (Cr)'!$C:$FB,100)</f>
        <v>8142</v>
      </c>
      <c r="J32" s="49">
        <f>VLOOKUP($A32,'Data Vlaue (Cr)'!$C:$FB,102)*100</f>
        <v>1.1400000000000001</v>
      </c>
    </row>
    <row r="33" spans="1:10" x14ac:dyDescent="0.25">
      <c r="A33" s="101" t="str">
        <f>'NIFTY GRP'!C28</f>
        <v>JIOFIN</v>
      </c>
      <c r="B33" s="140">
        <f>VLOOKUP($A33,'Data shares'!$C:$FA,7)</f>
        <v>310.8</v>
      </c>
      <c r="C33" s="140">
        <f>VLOOKUP($A33,'Data shares'!$C:$FA,3)</f>
        <v>311.45</v>
      </c>
      <c r="D33" s="50">
        <f>VLOOKUP($A33,'Data shares'!$C:$FA,6)*100</f>
        <v>-2.17</v>
      </c>
      <c r="E33" s="51">
        <f>VLOOKUP($A33,'Data shares'!$C:$FA,98)</f>
        <v>266008250</v>
      </c>
      <c r="F33" s="51">
        <f>VLOOKUP($A33,'Data shares'!$C:$FA,99)</f>
        <v>256213450</v>
      </c>
      <c r="G33" s="50">
        <f>VLOOKUP($A33,'Data shares'!$C:$FA,101)*100</f>
        <v>3.82</v>
      </c>
      <c r="H33" s="49">
        <f>VLOOKUP($A33,'Data Vlaue (Cr)'!$C:$FB,99)</f>
        <v>8285</v>
      </c>
      <c r="I33" s="49">
        <f>VLOOKUP($A33,'Data Vlaue (Cr)'!$C:$FB,100)</f>
        <v>7980</v>
      </c>
      <c r="J33" s="49">
        <f>VLOOKUP($A33,'Data Vlaue (Cr)'!$C:$FB,102)*100</f>
        <v>3.82</v>
      </c>
    </row>
    <row r="34" spans="1:10" x14ac:dyDescent="0.25">
      <c r="A34" s="101" t="str">
        <f>'NIFTY GRP'!C29</f>
        <v>JSWSTEEL</v>
      </c>
      <c r="B34" s="140">
        <f>VLOOKUP($A34,'Data shares'!$C:$FA,7)</f>
        <v>1030.7</v>
      </c>
      <c r="C34" s="140">
        <f>VLOOKUP($A34,'Data shares'!$C:$FA,3)</f>
        <v>1033.4000000000001</v>
      </c>
      <c r="D34" s="50">
        <f>VLOOKUP($A34,'Data shares'!$C:$FA,6)*100</f>
        <v>-0.2</v>
      </c>
      <c r="E34" s="51">
        <f>VLOOKUP($A34,'Data shares'!$C:$FA,98)</f>
        <v>54355725</v>
      </c>
      <c r="F34" s="51">
        <f>VLOOKUP($A34,'Data shares'!$C:$FA,99)</f>
        <v>56067525</v>
      </c>
      <c r="G34" s="50">
        <f>VLOOKUP($A34,'Data shares'!$C:$FA,101)*100</f>
        <v>-3.05</v>
      </c>
      <c r="H34" s="49">
        <f>VLOOKUP($A34,'Data Vlaue (Cr)'!$C:$FB,99)</f>
        <v>5617</v>
      </c>
      <c r="I34" s="49">
        <f>VLOOKUP($A34,'Data Vlaue (Cr)'!$C:$FB,100)</f>
        <v>5794</v>
      </c>
      <c r="J34" s="49">
        <f>VLOOKUP($A34,'Data Vlaue (Cr)'!$C:$FB,102)*100</f>
        <v>-3.05</v>
      </c>
    </row>
    <row r="35" spans="1:10" x14ac:dyDescent="0.25">
      <c r="A35" s="101" t="str">
        <f>'NIFTY GRP'!C30</f>
        <v>KOTAKBANK</v>
      </c>
      <c r="B35" s="140">
        <f>VLOOKUP($A35,'Data shares'!$C:$FA,7)</f>
        <v>2160.1999999999998</v>
      </c>
      <c r="C35" s="140">
        <f>VLOOKUP($A35,'Data shares'!$C:$FA,3)</f>
        <v>2161.8000000000002</v>
      </c>
      <c r="D35" s="50">
        <f>VLOOKUP($A35,'Data shares'!$C:$FA,6)*100</f>
        <v>-0.22999999999999998</v>
      </c>
      <c r="E35" s="51">
        <f>VLOOKUP($A35,'Data shares'!$C:$FA,98)</f>
        <v>48760800</v>
      </c>
      <c r="F35" s="51">
        <f>VLOOKUP($A35,'Data shares'!$C:$FA,99)</f>
        <v>48281200</v>
      </c>
      <c r="G35" s="50">
        <f>VLOOKUP($A35,'Data shares'!$C:$FA,101)*100</f>
        <v>0.9900000000000001</v>
      </c>
      <c r="H35" s="49">
        <f>VLOOKUP($A35,'Data Vlaue (Cr)'!$C:$FB,99)</f>
        <v>10541</v>
      </c>
      <c r="I35" s="49">
        <f>VLOOKUP($A35,'Data Vlaue (Cr)'!$C:$FB,100)</f>
        <v>10437</v>
      </c>
      <c r="J35" s="49">
        <f>VLOOKUP($A35,'Data Vlaue (Cr)'!$C:$FB,102)*100</f>
        <v>0.9900000000000001</v>
      </c>
    </row>
    <row r="36" spans="1:10" x14ac:dyDescent="0.25">
      <c r="A36" s="101" t="str">
        <f>'NIFTY GRP'!C31</f>
        <v>LT</v>
      </c>
      <c r="B36" s="140">
        <f>VLOOKUP($A36,'Data shares'!$C:$FA,7)</f>
        <v>3464.6</v>
      </c>
      <c r="C36" s="140">
        <f>VLOOKUP($A36,'Data shares'!$C:$FA,3)</f>
        <v>3475.2</v>
      </c>
      <c r="D36" s="50">
        <f>VLOOKUP($A36,'Data shares'!$C:$FA,6)*100</f>
        <v>-0.9900000000000001</v>
      </c>
      <c r="E36" s="51">
        <f>VLOOKUP($A36,'Data shares'!$C:$FA,98)</f>
        <v>30682225</v>
      </c>
      <c r="F36" s="51">
        <f>VLOOKUP($A36,'Data shares'!$C:$FA,99)</f>
        <v>30085300</v>
      </c>
      <c r="G36" s="50">
        <f>VLOOKUP($A36,'Data shares'!$C:$FA,101)*100</f>
        <v>1.9800000000000002</v>
      </c>
      <c r="H36" s="49">
        <f>VLOOKUP($A36,'Data Vlaue (Cr)'!$C:$FB,99)</f>
        <v>10663</v>
      </c>
      <c r="I36" s="49">
        <f>VLOOKUP($A36,'Data Vlaue (Cr)'!$C:$FB,100)</f>
        <v>10455</v>
      </c>
      <c r="J36" s="49">
        <f>VLOOKUP($A36,'Data Vlaue (Cr)'!$C:$FB,102)*100</f>
        <v>1.9800000000000002</v>
      </c>
    </row>
    <row r="37" spans="1:10" x14ac:dyDescent="0.25">
      <c r="A37" s="101" t="str">
        <f>'NIFTY GRP'!C32</f>
        <v>M&amp;M</v>
      </c>
      <c r="B37" s="140">
        <f>VLOOKUP($A37,'Data shares'!$C:$FA,7)</f>
        <v>3257.2</v>
      </c>
      <c r="C37" s="140">
        <f>VLOOKUP($A37,'Data shares'!$C:$FA,3)</f>
        <v>3261.9</v>
      </c>
      <c r="D37" s="50">
        <f>VLOOKUP($A37,'Data shares'!$C:$FA,6)*100</f>
        <v>0.33</v>
      </c>
      <c r="E37" s="51">
        <f>VLOOKUP($A37,'Data shares'!$C:$FA,98)</f>
        <v>33237800</v>
      </c>
      <c r="F37" s="51">
        <f>VLOOKUP($A37,'Data shares'!$C:$FA,99)</f>
        <v>33249200</v>
      </c>
      <c r="G37" s="50">
        <f>VLOOKUP($A37,'Data shares'!$C:$FA,101)*100</f>
        <v>-0.03</v>
      </c>
      <c r="H37" s="49">
        <f>VLOOKUP($A37,'Data Vlaue (Cr)'!$C:$FB,99)</f>
        <v>10842</v>
      </c>
      <c r="I37" s="49">
        <f>VLOOKUP($A37,'Data Vlaue (Cr)'!$C:$FB,100)</f>
        <v>10846</v>
      </c>
      <c r="J37" s="49">
        <f>VLOOKUP($A37,'Data Vlaue (Cr)'!$C:$FB,102)*100</f>
        <v>-0.03</v>
      </c>
    </row>
    <row r="38" spans="1:10" x14ac:dyDescent="0.25">
      <c r="A38" s="101" t="str">
        <f>'NIFTY GRP'!C33</f>
        <v>MARUTI</v>
      </c>
      <c r="B38" s="140">
        <f>VLOOKUP($A38,'Data shares'!$C:$FA,7)</f>
        <v>12492</v>
      </c>
      <c r="C38" s="140">
        <f>VLOOKUP($A38,'Data shares'!$C:$FA,3)</f>
        <v>12514</v>
      </c>
      <c r="D38" s="50">
        <f>VLOOKUP($A38,'Data shares'!$C:$FA,6)*100</f>
        <v>0.63</v>
      </c>
      <c r="E38" s="51">
        <f>VLOOKUP($A38,'Data shares'!$C:$FA,98)</f>
        <v>7233600</v>
      </c>
      <c r="F38" s="51">
        <f>VLOOKUP($A38,'Data shares'!$C:$FA,99)</f>
        <v>7259300</v>
      </c>
      <c r="G38" s="50">
        <f>VLOOKUP($A38,'Data shares'!$C:$FA,101)*100</f>
        <v>-0.35000000000000003</v>
      </c>
      <c r="H38" s="49">
        <f>VLOOKUP($A38,'Data Vlaue (Cr)'!$C:$FB,99)</f>
        <v>9052</v>
      </c>
      <c r="I38" s="49">
        <f>VLOOKUP($A38,'Data Vlaue (Cr)'!$C:$FB,100)</f>
        <v>9084</v>
      </c>
      <c r="J38" s="49">
        <f>VLOOKUP($A38,'Data Vlaue (Cr)'!$C:$FB,102)*100</f>
        <v>-0.35000000000000003</v>
      </c>
    </row>
    <row r="39" spans="1:10" x14ac:dyDescent="0.25">
      <c r="A39" s="101" t="str">
        <f>'NIFTY GRP'!C34</f>
        <v>NESTLEIND</v>
      </c>
      <c r="B39" s="140">
        <f>VLOOKUP($A39,'Data shares'!$C:$FA,7)</f>
        <v>2443.5</v>
      </c>
      <c r="C39" s="140">
        <f>VLOOKUP($A39,'Data shares'!$C:$FA,3)</f>
        <v>2445.6</v>
      </c>
      <c r="D39" s="50">
        <f>VLOOKUP($A39,'Data shares'!$C:$FA,6)*100</f>
        <v>-1.1900000000000002</v>
      </c>
      <c r="E39" s="51">
        <f>VLOOKUP($A39,'Data shares'!$C:$FA,98)</f>
        <v>14418500</v>
      </c>
      <c r="F39" s="51">
        <f>VLOOKUP($A39,'Data shares'!$C:$FA,99)</f>
        <v>14192500</v>
      </c>
      <c r="G39" s="50">
        <f>VLOOKUP($A39,'Data shares'!$C:$FA,101)*100</f>
        <v>1.59</v>
      </c>
      <c r="H39" s="49">
        <f>VLOOKUP($A39,'Data Vlaue (Cr)'!$C:$FB,99)</f>
        <v>3526</v>
      </c>
      <c r="I39" s="49">
        <f>VLOOKUP($A39,'Data Vlaue (Cr)'!$C:$FB,100)</f>
        <v>3471</v>
      </c>
      <c r="J39" s="49">
        <f>VLOOKUP($A39,'Data Vlaue (Cr)'!$C:$FB,102)*100</f>
        <v>1.59</v>
      </c>
    </row>
    <row r="40" spans="1:10" x14ac:dyDescent="0.25">
      <c r="A40" s="101" t="str">
        <f>'NIFTY GRP'!C35</f>
        <v>NTPC</v>
      </c>
      <c r="B40" s="140">
        <f>VLOOKUP($A40,'Data shares'!$C:$FA,7)</f>
        <v>340.85</v>
      </c>
      <c r="C40" s="140">
        <f>VLOOKUP($A40,'Data shares'!$C:$FA,3)</f>
        <v>341.3</v>
      </c>
      <c r="D40" s="50">
        <f>VLOOKUP($A40,'Data shares'!$C:$FA,6)*100</f>
        <v>-0.13</v>
      </c>
      <c r="E40" s="51">
        <f>VLOOKUP($A40,'Data shares'!$C:$FA,98)</f>
        <v>223299000</v>
      </c>
      <c r="F40" s="51">
        <f>VLOOKUP($A40,'Data shares'!$C:$FA,99)</f>
        <v>222039000</v>
      </c>
      <c r="G40" s="50">
        <f>VLOOKUP($A40,'Data shares'!$C:$FA,101)*100</f>
        <v>0.57000000000000006</v>
      </c>
      <c r="H40" s="49">
        <f>VLOOKUP($A40,'Data Vlaue (Cr)'!$C:$FB,99)</f>
        <v>7621</v>
      </c>
      <c r="I40" s="49">
        <f>VLOOKUP($A40,'Data Vlaue (Cr)'!$C:$FB,100)</f>
        <v>7578</v>
      </c>
      <c r="J40" s="49">
        <f>VLOOKUP($A40,'Data Vlaue (Cr)'!$C:$FB,102)*100</f>
        <v>0.57000000000000006</v>
      </c>
    </row>
    <row r="41" spans="1:10" x14ac:dyDescent="0.25">
      <c r="A41" s="101" t="str">
        <f>'NIFTY GRP'!C36</f>
        <v>ONGC</v>
      </c>
      <c r="B41" s="140">
        <f>VLOOKUP($A41,'Data shares'!$C:$FA,7)</f>
        <v>246.41</v>
      </c>
      <c r="C41" s="140">
        <f>VLOOKUP($A41,'Data shares'!$C:$FA,3)</f>
        <v>246.32</v>
      </c>
      <c r="D41" s="50">
        <f>VLOOKUP($A41,'Data shares'!$C:$FA,6)*100</f>
        <v>0.37</v>
      </c>
      <c r="E41" s="51">
        <f>VLOOKUP($A41,'Data shares'!$C:$FA,98)</f>
        <v>201183750</v>
      </c>
      <c r="F41" s="51">
        <f>VLOOKUP($A41,'Data shares'!$C:$FA,99)</f>
        <v>202596750</v>
      </c>
      <c r="G41" s="50">
        <f>VLOOKUP($A41,'Data shares'!$C:$FA,101)*100</f>
        <v>-0.70000000000000007</v>
      </c>
      <c r="H41" s="49">
        <f>VLOOKUP($A41,'Data Vlaue (Cr)'!$C:$FB,99)</f>
        <v>4956</v>
      </c>
      <c r="I41" s="49">
        <f>VLOOKUP($A41,'Data Vlaue (Cr)'!$C:$FB,100)</f>
        <v>4990</v>
      </c>
      <c r="J41" s="49">
        <f>VLOOKUP($A41,'Data Vlaue (Cr)'!$C:$FB,102)*100</f>
        <v>-0.70000000000000007</v>
      </c>
    </row>
    <row r="42" spans="1:10" x14ac:dyDescent="0.25">
      <c r="A42" s="101" t="str">
        <f>'NIFTY GRP'!C37</f>
        <v>POWERGRID</v>
      </c>
      <c r="B42" s="140">
        <f>VLOOKUP($A42,'Data shares'!$C:$FA,7)</f>
        <v>297.8</v>
      </c>
      <c r="C42" s="140">
        <f>VLOOKUP($A42,'Data shares'!$C:$FA,3)</f>
        <v>297.8</v>
      </c>
      <c r="D42" s="50">
        <f>VLOOKUP($A42,'Data shares'!$C:$FA,6)*100</f>
        <v>0.22</v>
      </c>
      <c r="E42" s="51">
        <f>VLOOKUP($A42,'Data shares'!$C:$FA,98)</f>
        <v>122181400</v>
      </c>
      <c r="F42" s="51">
        <f>VLOOKUP($A42,'Data shares'!$C:$FA,99)</f>
        <v>125360100</v>
      </c>
      <c r="G42" s="50">
        <f>VLOOKUP($A42,'Data shares'!$C:$FA,101)*100</f>
        <v>-2.54</v>
      </c>
      <c r="H42" s="49">
        <f>VLOOKUP($A42,'Data Vlaue (Cr)'!$C:$FB,99)</f>
        <v>3639</v>
      </c>
      <c r="I42" s="49">
        <f>VLOOKUP($A42,'Data Vlaue (Cr)'!$C:$FB,100)</f>
        <v>3733</v>
      </c>
      <c r="J42" s="49">
        <f>VLOOKUP($A42,'Data Vlaue (Cr)'!$C:$FB,102)*100</f>
        <v>-2.54</v>
      </c>
    </row>
    <row r="43" spans="1:10" x14ac:dyDescent="0.25">
      <c r="A43" s="101" t="str">
        <f>'NIFTY GRP'!C38</f>
        <v>RELIANCE</v>
      </c>
      <c r="B43" s="140">
        <f>VLOOKUP($A43,'Data shares'!$C:$FA,7)</f>
        <v>1412.8</v>
      </c>
      <c r="C43" s="140">
        <f>VLOOKUP($A43,'Data shares'!$C:$FA,3)</f>
        <v>1417.3</v>
      </c>
      <c r="D43" s="50">
        <f>VLOOKUP($A43,'Data shares'!$C:$FA,6)*100</f>
        <v>-1.05</v>
      </c>
      <c r="E43" s="51">
        <f>VLOOKUP($A43,'Data shares'!$C:$FA,98)</f>
        <v>278048500</v>
      </c>
      <c r="F43" s="51">
        <f>VLOOKUP($A43,'Data shares'!$C:$FA,99)</f>
        <v>259159000</v>
      </c>
      <c r="G43" s="50">
        <f>VLOOKUP($A43,'Data shares'!$C:$FA,101)*100</f>
        <v>7.2900000000000009</v>
      </c>
      <c r="H43" s="49">
        <f>VLOOKUP($A43,'Data Vlaue (Cr)'!$C:$FB,99)</f>
        <v>39408</v>
      </c>
      <c r="I43" s="49">
        <f>VLOOKUP($A43,'Data Vlaue (Cr)'!$C:$FB,100)</f>
        <v>36731</v>
      </c>
      <c r="J43" s="49">
        <f>VLOOKUP($A43,'Data Vlaue (Cr)'!$C:$FB,102)*100</f>
        <v>7.2900000000000009</v>
      </c>
    </row>
    <row r="44" spans="1:10" x14ac:dyDescent="0.25">
      <c r="A44" s="101" t="str">
        <f>'NIFTY GRP'!C39</f>
        <v>SBILIFE</v>
      </c>
      <c r="B44" s="140">
        <f>VLOOKUP($A44,'Data shares'!$C:$FA,7)</f>
        <v>1809</v>
      </c>
      <c r="C44" s="140">
        <f>VLOOKUP($A44,'Data shares'!$C:$FA,3)</f>
        <v>1812.1</v>
      </c>
      <c r="D44" s="50">
        <f>VLOOKUP($A44,'Data shares'!$C:$FA,6)*100</f>
        <v>0.16999999999999998</v>
      </c>
      <c r="E44" s="51">
        <f>VLOOKUP($A44,'Data shares'!$C:$FA,98)</f>
        <v>14244750</v>
      </c>
      <c r="F44" s="51">
        <f>VLOOKUP($A44,'Data shares'!$C:$FA,99)</f>
        <v>14206500</v>
      </c>
      <c r="G44" s="50">
        <f>VLOOKUP($A44,'Data shares'!$C:$FA,101)*100</f>
        <v>0.27</v>
      </c>
      <c r="H44" s="49">
        <f>VLOOKUP($A44,'Data Vlaue (Cr)'!$C:$FB,99)</f>
        <v>2581</v>
      </c>
      <c r="I44" s="49">
        <f>VLOOKUP($A44,'Data Vlaue (Cr)'!$C:$FB,100)</f>
        <v>2574</v>
      </c>
      <c r="J44" s="49">
        <f>VLOOKUP($A44,'Data Vlaue (Cr)'!$C:$FB,102)*100</f>
        <v>0.27</v>
      </c>
    </row>
    <row r="45" spans="1:10" x14ac:dyDescent="0.25">
      <c r="A45" s="101" t="str">
        <f>'NIFTY GRP'!C40</f>
        <v>SBIN</v>
      </c>
      <c r="B45" s="140">
        <f>VLOOKUP($A45,'Data shares'!$C:$FA,7)</f>
        <v>815</v>
      </c>
      <c r="C45" s="140">
        <f>VLOOKUP($A45,'Data shares'!$C:$FA,3)</f>
        <v>815.85</v>
      </c>
      <c r="D45" s="50">
        <f>VLOOKUP($A45,'Data shares'!$C:$FA,6)*100</f>
        <v>-1.0900000000000001</v>
      </c>
      <c r="E45" s="51">
        <f>VLOOKUP($A45,'Data shares'!$C:$FA,98)</f>
        <v>239349000</v>
      </c>
      <c r="F45" s="51">
        <f>VLOOKUP($A45,'Data shares'!$C:$FA,99)</f>
        <v>240355500</v>
      </c>
      <c r="G45" s="50">
        <f>VLOOKUP($A45,'Data shares'!$C:$FA,101)*100</f>
        <v>-0.42</v>
      </c>
      <c r="H45" s="49">
        <f>VLOOKUP($A45,'Data Vlaue (Cr)'!$C:$FB,99)</f>
        <v>19527</v>
      </c>
      <c r="I45" s="49">
        <f>VLOOKUP($A45,'Data Vlaue (Cr)'!$C:$FB,100)</f>
        <v>19609</v>
      </c>
      <c r="J45" s="49">
        <f>VLOOKUP($A45,'Data Vlaue (Cr)'!$C:$FB,102)*100</f>
        <v>-0.42</v>
      </c>
    </row>
    <row r="46" spans="1:10" x14ac:dyDescent="0.25">
      <c r="A46" s="101" t="str">
        <f>'NIFTY GRP'!C41</f>
        <v>SHRIRAMFIN</v>
      </c>
      <c r="B46" s="140">
        <f>VLOOKUP($A46,'Data shares'!$C:$FA,7)</f>
        <v>640.15</v>
      </c>
      <c r="C46" s="140">
        <f>VLOOKUP($A46,'Data shares'!$C:$FA,3)</f>
        <v>642.15</v>
      </c>
      <c r="D46" s="50">
        <f>VLOOKUP($A46,'Data shares'!$C:$FA,6)*100</f>
        <v>-2.23</v>
      </c>
      <c r="E46" s="51">
        <f>VLOOKUP($A46,'Data shares'!$C:$FA,98)</f>
        <v>58917375</v>
      </c>
      <c r="F46" s="51">
        <f>VLOOKUP($A46,'Data shares'!$C:$FA,99)</f>
        <v>57778875</v>
      </c>
      <c r="G46" s="50">
        <f>VLOOKUP($A46,'Data shares'!$C:$FA,101)*100</f>
        <v>1.97</v>
      </c>
      <c r="H46" s="49">
        <f>VLOOKUP($A46,'Data Vlaue (Cr)'!$C:$FB,99)</f>
        <v>3783</v>
      </c>
      <c r="I46" s="49">
        <f>VLOOKUP($A46,'Data Vlaue (Cr)'!$C:$FB,100)</f>
        <v>3710</v>
      </c>
      <c r="J46" s="49">
        <f>VLOOKUP($A46,'Data Vlaue (Cr)'!$C:$FB,102)*100</f>
        <v>1.97</v>
      </c>
    </row>
    <row r="47" spans="1:10" x14ac:dyDescent="0.25">
      <c r="A47" s="101" t="str">
        <f>'NIFTY GRP'!C42</f>
        <v>SUNPHARMA</v>
      </c>
      <c r="B47" s="140">
        <f>VLOOKUP($A47,'Data shares'!$C:$FA,7)</f>
        <v>1678</v>
      </c>
      <c r="C47" s="140">
        <f>VLOOKUP($A47,'Data shares'!$C:$FA,3)</f>
        <v>1680.4</v>
      </c>
      <c r="D47" s="50">
        <f>VLOOKUP($A47,'Data shares'!$C:$FA,6)*100</f>
        <v>-0.97</v>
      </c>
      <c r="E47" s="51">
        <f>VLOOKUP($A47,'Data shares'!$C:$FA,98)</f>
        <v>32637150</v>
      </c>
      <c r="F47" s="51">
        <f>VLOOKUP($A47,'Data shares'!$C:$FA,99)</f>
        <v>33001850</v>
      </c>
      <c r="G47" s="50">
        <f>VLOOKUP($A47,'Data shares'!$C:$FA,101)*100</f>
        <v>-1.1100000000000001</v>
      </c>
      <c r="H47" s="49">
        <f>VLOOKUP($A47,'Data Vlaue (Cr)'!$C:$FB,99)</f>
        <v>5484</v>
      </c>
      <c r="I47" s="49">
        <f>VLOOKUP($A47,'Data Vlaue (Cr)'!$C:$FB,100)</f>
        <v>5546</v>
      </c>
      <c r="J47" s="49">
        <f>VLOOKUP($A47,'Data Vlaue (Cr)'!$C:$FB,102)*100</f>
        <v>-1.1100000000000001</v>
      </c>
    </row>
    <row r="48" spans="1:10" x14ac:dyDescent="0.25">
      <c r="A48" s="101" t="str">
        <f>'NIFTY GRP'!C43</f>
        <v>TATACONSUM</v>
      </c>
      <c r="B48" s="140">
        <f>VLOOKUP($A48,'Data shares'!$C:$FA,7)</f>
        <v>1084.8</v>
      </c>
      <c r="C48" s="140">
        <f>VLOOKUP($A48,'Data shares'!$C:$FA,3)</f>
        <v>1085.2</v>
      </c>
      <c r="D48" s="50">
        <f>VLOOKUP($A48,'Data shares'!$C:$FA,6)*100</f>
        <v>-0.54</v>
      </c>
      <c r="E48" s="51">
        <f>VLOOKUP($A48,'Data shares'!$C:$FA,98)</f>
        <v>24759900</v>
      </c>
      <c r="F48" s="51">
        <f>VLOOKUP($A48,'Data shares'!$C:$FA,99)</f>
        <v>24518450</v>
      </c>
      <c r="G48" s="50">
        <f>VLOOKUP($A48,'Data shares'!$C:$FA,101)*100</f>
        <v>0.98</v>
      </c>
      <c r="H48" s="49">
        <f>VLOOKUP($A48,'Data Vlaue (Cr)'!$C:$FB,99)</f>
        <v>2687</v>
      </c>
      <c r="I48" s="49">
        <f>VLOOKUP($A48,'Data Vlaue (Cr)'!$C:$FB,100)</f>
        <v>2661</v>
      </c>
      <c r="J48" s="49">
        <f>VLOOKUP($A48,'Data Vlaue (Cr)'!$C:$FB,102)*100</f>
        <v>0.98</v>
      </c>
    </row>
    <row r="49" spans="1:10" x14ac:dyDescent="0.25">
      <c r="A49" s="101" t="str">
        <f>'NIFTY GRP'!C44</f>
        <v>TATAMOTORS</v>
      </c>
      <c r="B49" s="140">
        <f>VLOOKUP($A49,'Data shares'!$C:$FA,7)</f>
        <v>673.4</v>
      </c>
      <c r="C49" s="140">
        <f>VLOOKUP($A49,'Data shares'!$C:$FA,3)</f>
        <v>674.75</v>
      </c>
      <c r="D49" s="50">
        <f>VLOOKUP($A49,'Data shares'!$C:$FA,6)*100</f>
        <v>-1.9800000000000002</v>
      </c>
      <c r="E49" s="51">
        <f>VLOOKUP($A49,'Data shares'!$C:$FA,98)</f>
        <v>159094400</v>
      </c>
      <c r="F49" s="51">
        <f>VLOOKUP($A49,'Data shares'!$C:$FA,99)</f>
        <v>154877600</v>
      </c>
      <c r="G49" s="50">
        <f>VLOOKUP($A49,'Data shares'!$C:$FA,101)*100</f>
        <v>2.7199999999999998</v>
      </c>
      <c r="H49" s="49">
        <f>VLOOKUP($A49,'Data Vlaue (Cr)'!$C:$FB,99)</f>
        <v>10735</v>
      </c>
      <c r="I49" s="49">
        <f>VLOOKUP($A49,'Data Vlaue (Cr)'!$C:$FB,100)</f>
        <v>10450</v>
      </c>
      <c r="J49" s="49">
        <f>VLOOKUP($A49,'Data Vlaue (Cr)'!$C:$FB,102)*100</f>
        <v>2.7199999999999998</v>
      </c>
    </row>
    <row r="50" spans="1:10" x14ac:dyDescent="0.25">
      <c r="A50" s="101" t="str">
        <f>'NIFTY GRP'!C45</f>
        <v>TATASTEEL</v>
      </c>
      <c r="B50" s="140">
        <f>VLOOKUP($A50,'Data shares'!$C:$FA,7)</f>
        <v>163.04</v>
      </c>
      <c r="C50" s="140">
        <f>VLOOKUP($A50,'Data shares'!$C:$FA,3)</f>
        <v>163.5</v>
      </c>
      <c r="D50" s="50">
        <f>VLOOKUP($A50,'Data shares'!$C:$FA,6)*100</f>
        <v>-0.02</v>
      </c>
      <c r="E50" s="51">
        <f>VLOOKUP($A50,'Data shares'!$C:$FA,98)</f>
        <v>429434500</v>
      </c>
      <c r="F50" s="51">
        <f>VLOOKUP($A50,'Data shares'!$C:$FA,99)</f>
        <v>433026000</v>
      </c>
      <c r="G50" s="50">
        <f>VLOOKUP($A50,'Data shares'!$C:$FA,101)*100</f>
        <v>-0.83</v>
      </c>
      <c r="H50" s="49">
        <f>VLOOKUP($A50,'Data Vlaue (Cr)'!$C:$FB,99)</f>
        <v>7021</v>
      </c>
      <c r="I50" s="49">
        <f>VLOOKUP($A50,'Data Vlaue (Cr)'!$C:$FB,100)</f>
        <v>7080</v>
      </c>
      <c r="J50" s="49">
        <f>VLOOKUP($A50,'Data Vlaue (Cr)'!$C:$FB,102)*100</f>
        <v>-0.83</v>
      </c>
    </row>
    <row r="51" spans="1:10" x14ac:dyDescent="0.25">
      <c r="A51" s="101" t="str">
        <f>'NIFTY GRP'!C46</f>
        <v>TCS</v>
      </c>
      <c r="B51" s="140">
        <f>VLOOKUP($A51,'Data shares'!$C:$FA,7)</f>
        <v>3159.6</v>
      </c>
      <c r="C51" s="140">
        <f>VLOOKUP($A51,'Data shares'!$C:$FA,3)</f>
        <v>3166.8</v>
      </c>
      <c r="D51" s="50">
        <f>VLOOKUP($A51,'Data shares'!$C:$FA,6)*100</f>
        <v>-6.9999999999999993E-2</v>
      </c>
      <c r="E51" s="51">
        <f>VLOOKUP($A51,'Data shares'!$C:$FA,98)</f>
        <v>71609125</v>
      </c>
      <c r="F51" s="51">
        <f>VLOOKUP($A51,'Data shares'!$C:$FA,99)</f>
        <v>72263100</v>
      </c>
      <c r="G51" s="50">
        <f>VLOOKUP($A51,'Data shares'!$C:$FA,101)*100</f>
        <v>-0.89999999999999991</v>
      </c>
      <c r="H51" s="49">
        <f>VLOOKUP($A51,'Data Vlaue (Cr)'!$C:$FB,99)</f>
        <v>22677</v>
      </c>
      <c r="I51" s="49">
        <f>VLOOKUP($A51,'Data Vlaue (Cr)'!$C:$FB,100)</f>
        <v>22884</v>
      </c>
      <c r="J51" s="49">
        <f>VLOOKUP($A51,'Data Vlaue (Cr)'!$C:$FB,102)*100</f>
        <v>-0.89999999999999991</v>
      </c>
    </row>
    <row r="52" spans="1:10" x14ac:dyDescent="0.25">
      <c r="A52" s="101" t="str">
        <f>'NIFTY GRP'!C47</f>
        <v>TECHM</v>
      </c>
      <c r="B52" s="140">
        <f>VLOOKUP($A52,'Data shares'!$C:$FA,7)</f>
        <v>1547.2</v>
      </c>
      <c r="C52" s="140">
        <f>VLOOKUP($A52,'Data shares'!$C:$FA,3)</f>
        <v>1548.2</v>
      </c>
      <c r="D52" s="50">
        <f>VLOOKUP($A52,'Data shares'!$C:$FA,6)*100</f>
        <v>0.18</v>
      </c>
      <c r="E52" s="51">
        <f>VLOOKUP($A52,'Data shares'!$C:$FA,98)</f>
        <v>38638800</v>
      </c>
      <c r="F52" s="51">
        <f>VLOOKUP($A52,'Data shares'!$C:$FA,99)</f>
        <v>39852600</v>
      </c>
      <c r="G52" s="50">
        <f>VLOOKUP($A52,'Data shares'!$C:$FA,101)*100</f>
        <v>-3.05</v>
      </c>
      <c r="H52" s="49">
        <f>VLOOKUP($A52,'Data Vlaue (Cr)'!$C:$FB,99)</f>
        <v>5982</v>
      </c>
      <c r="I52" s="49">
        <f>VLOOKUP($A52,'Data Vlaue (Cr)'!$C:$FB,100)</f>
        <v>6170</v>
      </c>
      <c r="J52" s="49">
        <f>VLOOKUP($A52,'Data Vlaue (Cr)'!$C:$FB,102)*100</f>
        <v>-3.05</v>
      </c>
    </row>
    <row r="53" spans="1:10" x14ac:dyDescent="0.25">
      <c r="A53" s="101" t="str">
        <f>'NIFTY GRP'!C48</f>
        <v>TITAN</v>
      </c>
      <c r="B53" s="140">
        <f>VLOOKUP($A53,'Data shares'!$C:$FA,7)</f>
        <v>3472.4</v>
      </c>
      <c r="C53" s="140">
        <f>VLOOKUP($A53,'Data shares'!$C:$FA,3)</f>
        <v>3473.5</v>
      </c>
      <c r="D53" s="50">
        <f>VLOOKUP($A53,'Data shares'!$C:$FA,6)*100</f>
        <v>0.9900000000000001</v>
      </c>
      <c r="E53" s="51">
        <f>VLOOKUP($A53,'Data shares'!$C:$FA,98)</f>
        <v>21326550</v>
      </c>
      <c r="F53" s="51">
        <f>VLOOKUP($A53,'Data shares'!$C:$FA,99)</f>
        <v>22311450</v>
      </c>
      <c r="G53" s="50">
        <f>VLOOKUP($A53,'Data shares'!$C:$FA,101)*100</f>
        <v>-4.41</v>
      </c>
      <c r="H53" s="49">
        <f>VLOOKUP($A53,'Data Vlaue (Cr)'!$C:$FB,99)</f>
        <v>7408</v>
      </c>
      <c r="I53" s="49">
        <f>VLOOKUP($A53,'Data Vlaue (Cr)'!$C:$FB,100)</f>
        <v>7750</v>
      </c>
      <c r="J53" s="49">
        <f>VLOOKUP($A53,'Data Vlaue (Cr)'!$C:$FB,102)*100</f>
        <v>-4.41</v>
      </c>
    </row>
    <row r="54" spans="1:10" x14ac:dyDescent="0.25">
      <c r="A54" s="101" t="str">
        <f>'NIFTY GRP'!C49</f>
        <v>TRENT</v>
      </c>
      <c r="B54" s="140">
        <f>VLOOKUP($A54,'Data shares'!$C:$FA,7)</f>
        <v>5360.5</v>
      </c>
      <c r="C54" s="140">
        <f>VLOOKUP($A54,'Data shares'!$C:$FA,3)</f>
        <v>5372.5</v>
      </c>
      <c r="D54" s="50">
        <f>VLOOKUP($A54,'Data shares'!$C:$FA,6)*100</f>
        <v>-0.41000000000000003</v>
      </c>
      <c r="E54" s="51">
        <f>VLOOKUP($A54,'Data shares'!$C:$FA,98)</f>
        <v>19843200</v>
      </c>
      <c r="F54" s="51">
        <f>VLOOKUP($A54,'Data shares'!$C:$FA,99)</f>
        <v>19964400</v>
      </c>
      <c r="G54" s="50">
        <f>VLOOKUP($A54,'Data shares'!$C:$FA,101)*100</f>
        <v>-0.61</v>
      </c>
      <c r="H54" s="49">
        <f>VLOOKUP($A54,'Data Vlaue (Cr)'!$C:$FB,99)</f>
        <v>10661</v>
      </c>
      <c r="I54" s="49">
        <f>VLOOKUP($A54,'Data Vlaue (Cr)'!$C:$FB,100)</f>
        <v>10726</v>
      </c>
      <c r="J54" s="49">
        <f>VLOOKUP($A54,'Data Vlaue (Cr)'!$C:$FB,102)*100</f>
        <v>-0.61</v>
      </c>
    </row>
    <row r="55" spans="1:10" x14ac:dyDescent="0.25">
      <c r="A55" s="101" t="str">
        <f>'NIFTY GRP'!C50</f>
        <v>ULTRACEMCO</v>
      </c>
      <c r="B55" s="140">
        <f>VLOOKUP($A55,'Data shares'!$C:$FA,7)</f>
        <v>12452</v>
      </c>
      <c r="C55" s="140">
        <f>VLOOKUP($A55,'Data shares'!$C:$FA,3)</f>
        <v>12400</v>
      </c>
      <c r="D55" s="50">
        <f>VLOOKUP($A55,'Data shares'!$C:$FA,6)*100</f>
        <v>-1.44</v>
      </c>
      <c r="E55" s="51">
        <f>VLOOKUP($A55,'Data shares'!$C:$FA,98)</f>
        <v>5390800</v>
      </c>
      <c r="F55" s="51">
        <f>VLOOKUP($A55,'Data shares'!$C:$FA,99)</f>
        <v>5094750</v>
      </c>
      <c r="G55" s="50">
        <f>VLOOKUP($A55,'Data shares'!$C:$FA,101)*100</f>
        <v>5.81</v>
      </c>
      <c r="H55" s="49">
        <f>VLOOKUP($A55,'Data Vlaue (Cr)'!$C:$FB,99)</f>
        <v>6685</v>
      </c>
      <c r="I55" s="49">
        <f>VLOOKUP($A55,'Data Vlaue (Cr)'!$C:$FB,100)</f>
        <v>6317</v>
      </c>
      <c r="J55" s="49">
        <f>VLOOKUP($A55,'Data Vlaue (Cr)'!$C:$FB,102)*100</f>
        <v>5.81</v>
      </c>
    </row>
    <row r="56" spans="1:10" x14ac:dyDescent="0.25">
      <c r="A56" s="101" t="str">
        <f>'NIFTY GRP'!C51</f>
        <v>WIPRO</v>
      </c>
      <c r="B56" s="140">
        <f>VLOOKUP($A56,'Data shares'!$C:$FA,7)</f>
        <v>259.7</v>
      </c>
      <c r="C56" s="140">
        <f>VLOOKUP($A56,'Data shares'!$C:$FA,3)</f>
        <v>254.55</v>
      </c>
      <c r="D56" s="50">
        <f>VLOOKUP($A56,'Data shares'!$C:$FA,6)*100</f>
        <v>-0.38999999999999996</v>
      </c>
      <c r="E56" s="51">
        <f>VLOOKUP($A56,'Data shares'!$C:$FA,98)</f>
        <v>234453000</v>
      </c>
      <c r="F56" s="51">
        <f>VLOOKUP($A56,'Data shares'!$C:$FA,99)</f>
        <v>239766000</v>
      </c>
      <c r="G56" s="50">
        <f>VLOOKUP($A56,'Data shares'!$C:$FA,101)*100</f>
        <v>-2.2200000000000002</v>
      </c>
      <c r="H56" s="49">
        <f>VLOOKUP($A56,'Data Vlaue (Cr)'!$C:$FB,99)</f>
        <v>5968</v>
      </c>
      <c r="I56" s="49">
        <f>VLOOKUP($A56,'Data Vlaue (Cr)'!$C:$FB,100)</f>
        <v>6103</v>
      </c>
      <c r="J56" s="49">
        <f>VLOOKUP($A56,'Data Vlaue (Cr)'!$C:$FB,102)*100</f>
        <v>-2.2200000000000002</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4953085925</v>
      </c>
      <c r="F94" s="127">
        <f>SUM(F7:F93)</f>
        <v>4840754150</v>
      </c>
      <c r="G94" s="128">
        <f>(E94-F94)/F94</f>
        <v>2.3205428641733437E-2</v>
      </c>
      <c r="H94" s="127">
        <f>SUM(H7:H93)</f>
        <v>467452</v>
      </c>
      <c r="I94" s="127">
        <f>SUM(I7:I93)</f>
        <v>461050</v>
      </c>
      <c r="J94" s="128">
        <f>(H94-I94)/I94</f>
        <v>1.388569569461013E-2</v>
      </c>
    </row>
    <row r="95" spans="1:10" s="88" customFormat="1" ht="13.5" customHeight="1" x14ac:dyDescent="0.25">
      <c r="A95" s="126" t="s">
        <v>398</v>
      </c>
      <c r="B95" s="122"/>
      <c r="C95" s="122"/>
      <c r="D95" s="122"/>
      <c r="E95" s="125">
        <f>E94/10000000</f>
        <v>495.30859249999997</v>
      </c>
      <c r="F95" s="125">
        <f>F94/10000000</f>
        <v>484.07541500000002</v>
      </c>
      <c r="G95" s="128">
        <f>(E95-F95)/F95</f>
        <v>2.320542864173334E-2</v>
      </c>
      <c r="H95" s="129">
        <f>H94/10000000</f>
        <v>4.6745200000000001E-2</v>
      </c>
      <c r="I95" s="129">
        <f>I94/10000000</f>
        <v>4.6105E-2</v>
      </c>
      <c r="J95" s="128">
        <f>(H95-I95)/I95</f>
        <v>1.388569569461014E-2</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467452</v>
      </c>
      <c r="B103" s="38">
        <f>I94</f>
        <v>461050</v>
      </c>
      <c r="C103" s="42">
        <f>J94</f>
        <v>1.388569569461013E-2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45860</v>
      </c>
      <c r="C6" s="76" t="s">
        <v>328</v>
      </c>
      <c r="D6" s="3">
        <f>B6</f>
        <v>45860</v>
      </c>
      <c r="E6" s="76" t="s">
        <v>322</v>
      </c>
      <c r="F6" s="76" t="s">
        <v>328</v>
      </c>
      <c r="G6" s="3">
        <f>D6</f>
        <v>45860</v>
      </c>
      <c r="H6" s="76" t="s">
        <v>322</v>
      </c>
      <c r="I6" s="76" t="s">
        <v>328</v>
      </c>
      <c r="J6" s="3">
        <f>D6</f>
        <v>45860</v>
      </c>
      <c r="K6" s="76" t="s">
        <v>322</v>
      </c>
      <c r="L6" s="76" t="s">
        <v>328</v>
      </c>
      <c r="M6" s="3">
        <f>D6</f>
        <v>45860</v>
      </c>
      <c r="N6" s="76" t="s">
        <v>322</v>
      </c>
      <c r="O6" s="76" t="s">
        <v>328</v>
      </c>
    </row>
    <row r="7" spans="1:15" x14ac:dyDescent="0.25">
      <c r="A7" s="101" t="str">
        <f>'Data Vlaue (Cr)'!C2</f>
        <v>360ONE</v>
      </c>
      <c r="B7" s="50">
        <f>VLOOKUP($A7,'Data Vlaue (Cr)'!$C:$FB,8)</f>
        <v>1144.0999999999999</v>
      </c>
      <c r="C7" s="50">
        <f>VLOOKUP($A7,'Data Vlaue (Cr)'!$C:$FB,11)*100</f>
        <v>-6.3100000000000005</v>
      </c>
      <c r="D7" s="50">
        <f>VLOOKUP($A7,'Data Vlaue (Cr)'!$C:$FB,143)</f>
        <v>2603.06</v>
      </c>
      <c r="E7" s="50">
        <f>VLOOKUP($A7,'Data Vlaue (Cr)'!$C:$FB,144)</f>
        <v>450.08</v>
      </c>
      <c r="F7" s="50">
        <f>VLOOKUP($A7,'Data Vlaue (Cr)'!$C:$FB,146)*100</f>
        <v>478.35</v>
      </c>
      <c r="G7" s="49">
        <f>VLOOKUP($A7,'Data Vlaue (Cr)'!$C:$FB,43)</f>
        <v>757</v>
      </c>
      <c r="H7" s="49">
        <f>VLOOKUP($A7,'Data Vlaue (Cr)'!$C:$FB,44)</f>
        <v>66</v>
      </c>
      <c r="I7" s="49">
        <f>VLOOKUP($A7,'Data Vlaue (Cr)'!$C:$FB,46)*100</f>
        <v>1047.23</v>
      </c>
      <c r="J7" s="51">
        <f>VLOOKUP($A7,'Data Vlaue (Cr)'!$C:$FB,59)</f>
        <v>1006</v>
      </c>
      <c r="K7" s="51">
        <f>VLOOKUP($A7,'Data Vlaue (Cr)'!$C:$FB,60)</f>
        <v>272</v>
      </c>
      <c r="L7" s="51">
        <f>VLOOKUP($A7,'Data Vlaue (Cr)'!$C:$FB,62)*100</f>
        <v>269.93</v>
      </c>
      <c r="M7" s="51">
        <f>VLOOKUP($A7,'Data Vlaue (Cr)'!$C:$FB,63)</f>
        <v>776</v>
      </c>
      <c r="N7" s="51">
        <f>VLOOKUP($A7,'Data Vlaue (Cr)'!$C:$FB,64)</f>
        <v>73</v>
      </c>
      <c r="O7" s="51">
        <f>VLOOKUP($A7,'Data Vlaue (Cr)'!$C:$FB,66)*100</f>
        <v>961.74</v>
      </c>
    </row>
    <row r="8" spans="1:15" x14ac:dyDescent="0.25">
      <c r="A8" s="101" t="str">
        <f>'Data Vlaue (Cr)'!C3</f>
        <v>AARTIIND</v>
      </c>
      <c r="B8" s="50">
        <f>VLOOKUP($A8,'Data Vlaue (Cr)'!$C:$FB,8)</f>
        <v>422.95</v>
      </c>
      <c r="C8" s="50">
        <f>VLOOKUP($A8,'Data Vlaue (Cr)'!$C:$FB,11)*100</f>
        <v>-4.29</v>
      </c>
      <c r="D8" s="50">
        <f>VLOOKUP($A8,'Data Vlaue (Cr)'!$C:$FB,143)</f>
        <v>2007.99</v>
      </c>
      <c r="E8" s="50">
        <f>VLOOKUP($A8,'Data Vlaue (Cr)'!$C:$FB,144)</f>
        <v>568.37</v>
      </c>
      <c r="F8" s="50">
        <f>VLOOKUP($A8,'Data Vlaue (Cr)'!$C:$FB,146)*100</f>
        <v>253.29000000000002</v>
      </c>
      <c r="G8" s="49">
        <f>VLOOKUP($A8,'Data Vlaue (Cr)'!$C:$FB,43)</f>
        <v>239</v>
      </c>
      <c r="H8" s="49">
        <f>VLOOKUP($A8,'Data Vlaue (Cr)'!$C:$FB,44)</f>
        <v>93</v>
      </c>
      <c r="I8" s="49">
        <f>VLOOKUP($A8,'Data Vlaue (Cr)'!$C:$FB,46)*100</f>
        <v>158.16</v>
      </c>
      <c r="J8" s="51">
        <f>VLOOKUP($A8,'Data Vlaue (Cr)'!$C:$FB,59)</f>
        <v>1082</v>
      </c>
      <c r="K8" s="51">
        <f>VLOOKUP($A8,'Data Vlaue (Cr)'!$C:$FB,60)</f>
        <v>349</v>
      </c>
      <c r="L8" s="51">
        <f>VLOOKUP($A8,'Data Vlaue (Cr)'!$C:$FB,62)*100</f>
        <v>209.98999999999998</v>
      </c>
      <c r="M8" s="51">
        <f>VLOOKUP($A8,'Data Vlaue (Cr)'!$C:$FB,63)</f>
        <v>553</v>
      </c>
      <c r="N8" s="51">
        <f>VLOOKUP($A8,'Data Vlaue (Cr)'!$C:$FB,64)</f>
        <v>74</v>
      </c>
      <c r="O8" s="51">
        <f>VLOOKUP($A8,'Data Vlaue (Cr)'!$C:$FB,66)*100</f>
        <v>651.37</v>
      </c>
    </row>
    <row r="9" spans="1:15" x14ac:dyDescent="0.25">
      <c r="A9" s="101" t="str">
        <f>'Data Vlaue (Cr)'!C4</f>
        <v>ABB</v>
      </c>
      <c r="B9" s="50">
        <f>VLOOKUP($A9,'Data Vlaue (Cr)'!$C:$FB,8)</f>
        <v>5755</v>
      </c>
      <c r="C9" s="50">
        <f>VLOOKUP($A9,'Data Vlaue (Cr)'!$C:$FB,11)*100</f>
        <v>-1.39</v>
      </c>
      <c r="D9" s="50">
        <f>VLOOKUP($A9,'Data Vlaue (Cr)'!$C:$FB,143)</f>
        <v>2244.58</v>
      </c>
      <c r="E9" s="50">
        <f>VLOOKUP($A9,'Data Vlaue (Cr)'!$C:$FB,144)</f>
        <v>5178.6899999999996</v>
      </c>
      <c r="F9" s="50">
        <f>VLOOKUP($A9,'Data Vlaue (Cr)'!$C:$FB,146)*100</f>
        <v>-56.66</v>
      </c>
      <c r="G9" s="49">
        <f>VLOOKUP($A9,'Data Vlaue (Cr)'!$C:$FB,43)</f>
        <v>273</v>
      </c>
      <c r="H9" s="49">
        <f>VLOOKUP($A9,'Data Vlaue (Cr)'!$C:$FB,44)</f>
        <v>640</v>
      </c>
      <c r="I9" s="49">
        <f>VLOOKUP($A9,'Data Vlaue (Cr)'!$C:$FB,46)*100</f>
        <v>-57.42</v>
      </c>
      <c r="J9" s="51">
        <f>VLOOKUP($A9,'Data Vlaue (Cr)'!$C:$FB,59)</f>
        <v>1193</v>
      </c>
      <c r="K9" s="51">
        <f>VLOOKUP($A9,'Data Vlaue (Cr)'!$C:$FB,60)</f>
        <v>3156</v>
      </c>
      <c r="L9" s="51">
        <f>VLOOKUP($A9,'Data Vlaue (Cr)'!$C:$FB,62)*100</f>
        <v>-62.19</v>
      </c>
      <c r="M9" s="51">
        <f>VLOOKUP($A9,'Data Vlaue (Cr)'!$C:$FB,63)</f>
        <v>732</v>
      </c>
      <c r="N9" s="51">
        <f>VLOOKUP($A9,'Data Vlaue (Cr)'!$C:$FB,64)</f>
        <v>1273</v>
      </c>
      <c r="O9" s="51">
        <f>VLOOKUP($A9,'Data Vlaue (Cr)'!$C:$FB,66)*100</f>
        <v>-42.5</v>
      </c>
    </row>
    <row r="10" spans="1:15" x14ac:dyDescent="0.25">
      <c r="A10" s="101" t="str">
        <f>'Data Vlaue (Cr)'!C5</f>
        <v>ABCAPITAL</v>
      </c>
      <c r="B10" s="50">
        <f>VLOOKUP($A10,'Data Vlaue (Cr)'!$C:$FB,8)</f>
        <v>268.55</v>
      </c>
      <c r="C10" s="50">
        <f>VLOOKUP($A10,'Data Vlaue (Cr)'!$C:$FB,11)*100</f>
        <v>-0.91999999999999993</v>
      </c>
      <c r="D10" s="50">
        <f>VLOOKUP($A10,'Data Vlaue (Cr)'!$C:$FB,143)</f>
        <v>809.24</v>
      </c>
      <c r="E10" s="50">
        <f>VLOOKUP($A10,'Data Vlaue (Cr)'!$C:$FB,144)</f>
        <v>1288.5</v>
      </c>
      <c r="F10" s="50">
        <f>VLOOKUP($A10,'Data Vlaue (Cr)'!$C:$FB,146)*100</f>
        <v>-37.200000000000003</v>
      </c>
      <c r="G10" s="49">
        <f>VLOOKUP($A10,'Data Vlaue (Cr)'!$C:$FB,43)</f>
        <v>189</v>
      </c>
      <c r="H10" s="49">
        <f>VLOOKUP($A10,'Data Vlaue (Cr)'!$C:$FB,44)</f>
        <v>287</v>
      </c>
      <c r="I10" s="49">
        <f>VLOOKUP($A10,'Data Vlaue (Cr)'!$C:$FB,46)*100</f>
        <v>-34.07</v>
      </c>
      <c r="J10" s="51">
        <f>VLOOKUP($A10,'Data Vlaue (Cr)'!$C:$FB,59)</f>
        <v>388</v>
      </c>
      <c r="K10" s="51">
        <f>VLOOKUP($A10,'Data Vlaue (Cr)'!$C:$FB,60)</f>
        <v>600</v>
      </c>
      <c r="L10" s="51">
        <f>VLOOKUP($A10,'Data Vlaue (Cr)'!$C:$FB,62)*100</f>
        <v>-35.449999999999996</v>
      </c>
      <c r="M10" s="51">
        <f>VLOOKUP($A10,'Data Vlaue (Cr)'!$C:$FB,63)</f>
        <v>216</v>
      </c>
      <c r="N10" s="51">
        <f>VLOOKUP($A10,'Data Vlaue (Cr)'!$C:$FB,64)</f>
        <v>385</v>
      </c>
      <c r="O10" s="51">
        <f>VLOOKUP($A10,'Data Vlaue (Cr)'!$C:$FB,66)*100</f>
        <v>-43.9</v>
      </c>
    </row>
    <row r="11" spans="1:15" x14ac:dyDescent="0.25">
      <c r="A11" s="101" t="str">
        <f>'Data Vlaue (Cr)'!C6</f>
        <v>ABFRL</v>
      </c>
      <c r="B11" s="50">
        <f>VLOOKUP($A11,'Data Vlaue (Cr)'!$C:$FB,8)</f>
        <v>75.64</v>
      </c>
      <c r="C11" s="50">
        <f>VLOOKUP($A11,'Data Vlaue (Cr)'!$C:$FB,11)*100</f>
        <v>0.72</v>
      </c>
      <c r="D11" s="50">
        <f>VLOOKUP($A11,'Data Vlaue (Cr)'!$C:$FB,143)</f>
        <v>166.53</v>
      </c>
      <c r="E11" s="50">
        <f>VLOOKUP($A11,'Data Vlaue (Cr)'!$C:$FB,144)</f>
        <v>137.29</v>
      </c>
      <c r="F11" s="50">
        <f>VLOOKUP($A11,'Data Vlaue (Cr)'!$C:$FB,146)*100</f>
        <v>21.3</v>
      </c>
      <c r="G11" s="49">
        <f>VLOOKUP($A11,'Data Vlaue (Cr)'!$C:$FB,43)</f>
        <v>53</v>
      </c>
      <c r="H11" s="49">
        <f>VLOOKUP($A11,'Data Vlaue (Cr)'!$C:$FB,44)</f>
        <v>42</v>
      </c>
      <c r="I11" s="49">
        <f>VLOOKUP($A11,'Data Vlaue (Cr)'!$C:$FB,46)*100</f>
        <v>25.119999999999997</v>
      </c>
      <c r="J11" s="51">
        <f>VLOOKUP($A11,'Data Vlaue (Cr)'!$C:$FB,59)</f>
        <v>87</v>
      </c>
      <c r="K11" s="51">
        <f>VLOOKUP($A11,'Data Vlaue (Cr)'!$C:$FB,60)</f>
        <v>70</v>
      </c>
      <c r="L11" s="51">
        <f>VLOOKUP($A11,'Data Vlaue (Cr)'!$C:$FB,62)*100</f>
        <v>24.77</v>
      </c>
      <c r="M11" s="51">
        <f>VLOOKUP($A11,'Data Vlaue (Cr)'!$C:$FB,63)</f>
        <v>22</v>
      </c>
      <c r="N11" s="51">
        <f>VLOOKUP($A11,'Data Vlaue (Cr)'!$C:$FB,64)</f>
        <v>22</v>
      </c>
      <c r="O11" s="51">
        <f>VLOOKUP($A11,'Data Vlaue (Cr)'!$C:$FB,66)*100</f>
        <v>3.16</v>
      </c>
    </row>
    <row r="12" spans="1:15" x14ac:dyDescent="0.25">
      <c r="A12" s="101" t="str">
        <f>'Data Vlaue (Cr)'!C7</f>
        <v>ACC</v>
      </c>
      <c r="B12" s="50">
        <f>VLOOKUP($A12,'Data Vlaue (Cr)'!$C:$FB,8)</f>
        <v>1958.9</v>
      </c>
      <c r="C12" s="50">
        <f>VLOOKUP($A12,'Data Vlaue (Cr)'!$C:$FB,11)*100</f>
        <v>-0.9900000000000001</v>
      </c>
      <c r="D12" s="50">
        <f>VLOOKUP($A12,'Data Vlaue (Cr)'!$C:$FB,143)</f>
        <v>501.91</v>
      </c>
      <c r="E12" s="50">
        <f>VLOOKUP($A12,'Data Vlaue (Cr)'!$C:$FB,144)</f>
        <v>441.01</v>
      </c>
      <c r="F12" s="50">
        <f>VLOOKUP($A12,'Data Vlaue (Cr)'!$C:$FB,146)*100</f>
        <v>13.81</v>
      </c>
      <c r="G12" s="49">
        <f>VLOOKUP($A12,'Data Vlaue (Cr)'!$C:$FB,43)</f>
        <v>115</v>
      </c>
      <c r="H12" s="49">
        <f>VLOOKUP($A12,'Data Vlaue (Cr)'!$C:$FB,44)</f>
        <v>126</v>
      </c>
      <c r="I12" s="49">
        <f>VLOOKUP($A12,'Data Vlaue (Cr)'!$C:$FB,46)*100</f>
        <v>-9</v>
      </c>
      <c r="J12" s="51">
        <f>VLOOKUP($A12,'Data Vlaue (Cr)'!$C:$FB,59)</f>
        <v>305</v>
      </c>
      <c r="K12" s="51">
        <f>VLOOKUP($A12,'Data Vlaue (Cr)'!$C:$FB,60)</f>
        <v>240</v>
      </c>
      <c r="L12" s="51">
        <f>VLOOKUP($A12,'Data Vlaue (Cr)'!$C:$FB,62)*100</f>
        <v>26.950000000000003</v>
      </c>
      <c r="M12" s="51">
        <f>VLOOKUP($A12,'Data Vlaue (Cr)'!$C:$FB,63)</f>
        <v>69</v>
      </c>
      <c r="N12" s="51">
        <f>VLOOKUP($A12,'Data Vlaue (Cr)'!$C:$FB,64)</f>
        <v>64</v>
      </c>
      <c r="O12" s="51">
        <f>VLOOKUP($A12,'Data Vlaue (Cr)'!$C:$FB,66)*100</f>
        <v>8</v>
      </c>
    </row>
    <row r="13" spans="1:15" x14ac:dyDescent="0.25">
      <c r="A13" s="101" t="str">
        <f>'Data Vlaue (Cr)'!C8</f>
        <v>ADANIENSOL</v>
      </c>
      <c r="B13" s="50">
        <f>VLOOKUP($A13,'Data Vlaue (Cr)'!$C:$FB,8)</f>
        <v>867.2</v>
      </c>
      <c r="C13" s="50">
        <f>VLOOKUP($A13,'Data Vlaue (Cr)'!$C:$FB,11)*100</f>
        <v>-0.51</v>
      </c>
      <c r="D13" s="50">
        <f>VLOOKUP($A13,'Data Vlaue (Cr)'!$C:$FB,143)</f>
        <v>280.58999999999997</v>
      </c>
      <c r="E13" s="50">
        <f>VLOOKUP($A13,'Data Vlaue (Cr)'!$C:$FB,144)</f>
        <v>425.34</v>
      </c>
      <c r="F13" s="50">
        <f>VLOOKUP($A13,'Data Vlaue (Cr)'!$C:$FB,146)*100</f>
        <v>-34.03</v>
      </c>
      <c r="G13" s="49">
        <f>VLOOKUP($A13,'Data Vlaue (Cr)'!$C:$FB,43)</f>
        <v>75</v>
      </c>
      <c r="H13" s="49">
        <f>VLOOKUP($A13,'Data Vlaue (Cr)'!$C:$FB,44)</f>
        <v>109</v>
      </c>
      <c r="I13" s="49">
        <f>VLOOKUP($A13,'Data Vlaue (Cr)'!$C:$FB,46)*100</f>
        <v>-30.990000000000002</v>
      </c>
      <c r="J13" s="51">
        <f>VLOOKUP($A13,'Data Vlaue (Cr)'!$C:$FB,59)</f>
        <v>154</v>
      </c>
      <c r="K13" s="51">
        <f>VLOOKUP($A13,'Data Vlaue (Cr)'!$C:$FB,60)</f>
        <v>207</v>
      </c>
      <c r="L13" s="51">
        <f>VLOOKUP($A13,'Data Vlaue (Cr)'!$C:$FB,62)*100</f>
        <v>-25.55</v>
      </c>
      <c r="M13" s="51">
        <f>VLOOKUP($A13,'Data Vlaue (Cr)'!$C:$FB,63)</f>
        <v>40</v>
      </c>
      <c r="N13" s="51">
        <f>VLOOKUP($A13,'Data Vlaue (Cr)'!$C:$FB,64)</f>
        <v>95</v>
      </c>
      <c r="O13" s="51">
        <f>VLOOKUP($A13,'Data Vlaue (Cr)'!$C:$FB,66)*100</f>
        <v>-57.4</v>
      </c>
    </row>
    <row r="14" spans="1:15" x14ac:dyDescent="0.25">
      <c r="A14" s="101" t="str">
        <f>'Data Vlaue (Cr)'!C9</f>
        <v>ADANIENT</v>
      </c>
      <c r="B14" s="50">
        <f>VLOOKUP($A14,'Data Vlaue (Cr)'!$C:$FB,8)</f>
        <v>2587.8000000000002</v>
      </c>
      <c r="C14" s="50">
        <f>VLOOKUP($A14,'Data Vlaue (Cr)'!$C:$FB,11)*100</f>
        <v>-1.21</v>
      </c>
      <c r="D14" s="50">
        <f>VLOOKUP($A14,'Data Vlaue (Cr)'!$C:$FB,143)</f>
        <v>1983.11</v>
      </c>
      <c r="E14" s="50">
        <f>VLOOKUP($A14,'Data Vlaue (Cr)'!$C:$FB,144)</f>
        <v>2089.79</v>
      </c>
      <c r="F14" s="50">
        <f>VLOOKUP($A14,'Data Vlaue (Cr)'!$C:$FB,146)*100</f>
        <v>-5.1100000000000003</v>
      </c>
      <c r="G14" s="49">
        <f>VLOOKUP($A14,'Data Vlaue (Cr)'!$C:$FB,43)</f>
        <v>300</v>
      </c>
      <c r="H14" s="49">
        <f>VLOOKUP($A14,'Data Vlaue (Cr)'!$C:$FB,44)</f>
        <v>320</v>
      </c>
      <c r="I14" s="49">
        <f>VLOOKUP($A14,'Data Vlaue (Cr)'!$C:$FB,46)*100</f>
        <v>-6.32</v>
      </c>
      <c r="J14" s="51">
        <f>VLOOKUP($A14,'Data Vlaue (Cr)'!$C:$FB,59)</f>
        <v>1118</v>
      </c>
      <c r="K14" s="51">
        <f>VLOOKUP($A14,'Data Vlaue (Cr)'!$C:$FB,60)</f>
        <v>1115</v>
      </c>
      <c r="L14" s="51">
        <f>VLOOKUP($A14,'Data Vlaue (Cr)'!$C:$FB,62)*100</f>
        <v>0.27999999999999997</v>
      </c>
      <c r="M14" s="51">
        <f>VLOOKUP($A14,'Data Vlaue (Cr)'!$C:$FB,63)</f>
        <v>520</v>
      </c>
      <c r="N14" s="51">
        <f>VLOOKUP($A14,'Data Vlaue (Cr)'!$C:$FB,64)</f>
        <v>610</v>
      </c>
      <c r="O14" s="51">
        <f>VLOOKUP($A14,'Data Vlaue (Cr)'!$C:$FB,66)*100</f>
        <v>-14.81</v>
      </c>
    </row>
    <row r="15" spans="1:15" x14ac:dyDescent="0.25">
      <c r="A15" s="101" t="str">
        <f>'Data Vlaue (Cr)'!C10</f>
        <v>ADANIGREEN</v>
      </c>
      <c r="B15" s="50">
        <f>VLOOKUP($A15,'Data Vlaue (Cr)'!$C:$FB,8)</f>
        <v>1013.7</v>
      </c>
      <c r="C15" s="50">
        <f>VLOOKUP($A15,'Data Vlaue (Cr)'!$C:$FB,11)*100</f>
        <v>-2.21</v>
      </c>
      <c r="D15" s="50">
        <f>VLOOKUP($A15,'Data Vlaue (Cr)'!$C:$FB,143)</f>
        <v>1596.38</v>
      </c>
      <c r="E15" s="50">
        <f>VLOOKUP($A15,'Data Vlaue (Cr)'!$C:$FB,144)</f>
        <v>930.87</v>
      </c>
      <c r="F15" s="50">
        <f>VLOOKUP($A15,'Data Vlaue (Cr)'!$C:$FB,146)*100</f>
        <v>71.489999999999995</v>
      </c>
      <c r="G15" s="49">
        <f>VLOOKUP($A15,'Data Vlaue (Cr)'!$C:$FB,43)</f>
        <v>330</v>
      </c>
      <c r="H15" s="49">
        <f>VLOOKUP($A15,'Data Vlaue (Cr)'!$C:$FB,44)</f>
        <v>146</v>
      </c>
      <c r="I15" s="49">
        <f>VLOOKUP($A15,'Data Vlaue (Cr)'!$C:$FB,46)*100</f>
        <v>126.08999999999999</v>
      </c>
      <c r="J15" s="51">
        <f>VLOOKUP($A15,'Data Vlaue (Cr)'!$C:$FB,59)</f>
        <v>868</v>
      </c>
      <c r="K15" s="51">
        <f>VLOOKUP($A15,'Data Vlaue (Cr)'!$C:$FB,60)</f>
        <v>605</v>
      </c>
      <c r="L15" s="51">
        <f>VLOOKUP($A15,'Data Vlaue (Cr)'!$C:$FB,62)*100</f>
        <v>43.480000000000004</v>
      </c>
      <c r="M15" s="51">
        <f>VLOOKUP($A15,'Data Vlaue (Cr)'!$C:$FB,63)</f>
        <v>336</v>
      </c>
      <c r="N15" s="51">
        <f>VLOOKUP($A15,'Data Vlaue (Cr)'!$C:$FB,64)</f>
        <v>124</v>
      </c>
      <c r="O15" s="51">
        <f>VLOOKUP($A15,'Data Vlaue (Cr)'!$C:$FB,66)*100</f>
        <v>172.36</v>
      </c>
    </row>
    <row r="16" spans="1:15" x14ac:dyDescent="0.25">
      <c r="A16" s="101" t="str">
        <f>'Data Vlaue (Cr)'!C11</f>
        <v>ADANIPORTS</v>
      </c>
      <c r="B16" s="50">
        <f>VLOOKUP($A16,'Data Vlaue (Cr)'!$C:$FB,8)</f>
        <v>1420.7</v>
      </c>
      <c r="C16" s="50">
        <f>VLOOKUP($A16,'Data Vlaue (Cr)'!$C:$FB,11)*100</f>
        <v>-2.0500000000000003</v>
      </c>
      <c r="D16" s="50">
        <f>VLOOKUP($A16,'Data Vlaue (Cr)'!$C:$FB,143)</f>
        <v>1998.56</v>
      </c>
      <c r="E16" s="50">
        <f>VLOOKUP($A16,'Data Vlaue (Cr)'!$C:$FB,144)</f>
        <v>1531.68</v>
      </c>
      <c r="F16" s="50">
        <f>VLOOKUP($A16,'Data Vlaue (Cr)'!$C:$FB,146)*100</f>
        <v>30.48</v>
      </c>
      <c r="G16" s="49">
        <f>VLOOKUP($A16,'Data Vlaue (Cr)'!$C:$FB,43)</f>
        <v>476</v>
      </c>
      <c r="H16" s="49">
        <f>VLOOKUP($A16,'Data Vlaue (Cr)'!$C:$FB,44)</f>
        <v>242</v>
      </c>
      <c r="I16" s="49">
        <f>VLOOKUP($A16,'Data Vlaue (Cr)'!$C:$FB,46)*100</f>
        <v>96.56</v>
      </c>
      <c r="J16" s="51">
        <f>VLOOKUP($A16,'Data Vlaue (Cr)'!$C:$FB,59)</f>
        <v>941</v>
      </c>
      <c r="K16" s="51">
        <f>VLOOKUP($A16,'Data Vlaue (Cr)'!$C:$FB,60)</f>
        <v>896</v>
      </c>
      <c r="L16" s="51">
        <f>VLOOKUP($A16,'Data Vlaue (Cr)'!$C:$FB,62)*100</f>
        <v>5.04</v>
      </c>
      <c r="M16" s="51">
        <f>VLOOKUP($A16,'Data Vlaue (Cr)'!$C:$FB,63)</f>
        <v>537</v>
      </c>
      <c r="N16" s="51">
        <f>VLOOKUP($A16,'Data Vlaue (Cr)'!$C:$FB,64)</f>
        <v>347</v>
      </c>
      <c r="O16" s="51">
        <f>VLOOKUP($A16,'Data Vlaue (Cr)'!$C:$FB,66)*100</f>
        <v>54.730000000000004</v>
      </c>
    </row>
    <row r="17" spans="1:15" x14ac:dyDescent="0.25">
      <c r="A17" s="101" t="str">
        <f>'Data Vlaue (Cr)'!C12</f>
        <v>ALKEM</v>
      </c>
      <c r="B17" s="50">
        <f>VLOOKUP($A17,'Data Vlaue (Cr)'!$C:$FB,8)</f>
        <v>4971.8</v>
      </c>
      <c r="C17" s="50">
        <f>VLOOKUP($A17,'Data Vlaue (Cr)'!$C:$FB,11)*100</f>
        <v>-0.55999999999999994</v>
      </c>
      <c r="D17" s="50">
        <f>VLOOKUP($A17,'Data Vlaue (Cr)'!$C:$FB,143)</f>
        <v>237.14</v>
      </c>
      <c r="E17" s="50">
        <f>VLOOKUP($A17,'Data Vlaue (Cr)'!$C:$FB,144)</f>
        <v>152.21</v>
      </c>
      <c r="F17" s="50">
        <f>VLOOKUP($A17,'Data Vlaue (Cr)'!$C:$FB,146)*100</f>
        <v>55.800000000000004</v>
      </c>
      <c r="G17" s="49">
        <f>VLOOKUP($A17,'Data Vlaue (Cr)'!$C:$FB,43)</f>
        <v>58</v>
      </c>
      <c r="H17" s="49">
        <f>VLOOKUP($A17,'Data Vlaue (Cr)'!$C:$FB,44)</f>
        <v>57</v>
      </c>
      <c r="I17" s="49">
        <f>VLOOKUP($A17,'Data Vlaue (Cr)'!$C:$FB,46)*100</f>
        <v>1.97</v>
      </c>
      <c r="J17" s="51">
        <f>VLOOKUP($A17,'Data Vlaue (Cr)'!$C:$FB,59)</f>
        <v>131</v>
      </c>
      <c r="K17" s="51">
        <f>VLOOKUP($A17,'Data Vlaue (Cr)'!$C:$FB,60)</f>
        <v>56</v>
      </c>
      <c r="L17" s="51">
        <f>VLOOKUP($A17,'Data Vlaue (Cr)'!$C:$FB,62)*100</f>
        <v>133.32999999999998</v>
      </c>
      <c r="M17" s="51">
        <f>VLOOKUP($A17,'Data Vlaue (Cr)'!$C:$FB,63)</f>
        <v>43</v>
      </c>
      <c r="N17" s="51">
        <f>VLOOKUP($A17,'Data Vlaue (Cr)'!$C:$FB,64)</f>
        <v>38</v>
      </c>
      <c r="O17" s="51">
        <f>VLOOKUP($A17,'Data Vlaue (Cr)'!$C:$FB,66)*100</f>
        <v>15.540000000000001</v>
      </c>
    </row>
    <row r="18" spans="1:15" x14ac:dyDescent="0.25">
      <c r="A18" s="101" t="str">
        <f>'Data Vlaue (Cr)'!C13</f>
        <v>AMBER</v>
      </c>
      <c r="B18" s="50">
        <f>VLOOKUP($A18,'Data Vlaue (Cr)'!$C:$FB,8)</f>
        <v>7369</v>
      </c>
      <c r="C18" s="50">
        <f>VLOOKUP($A18,'Data Vlaue (Cr)'!$C:$FB,11)*100</f>
        <v>-1.35</v>
      </c>
      <c r="D18" s="50">
        <f>VLOOKUP($A18,'Data Vlaue (Cr)'!$C:$FB,143)</f>
        <v>461.34</v>
      </c>
      <c r="E18" s="50">
        <f>VLOOKUP($A18,'Data Vlaue (Cr)'!$C:$FB,144)</f>
        <v>512.11</v>
      </c>
      <c r="F18" s="50">
        <f>VLOOKUP($A18,'Data Vlaue (Cr)'!$C:$FB,146)*100</f>
        <v>-9.91</v>
      </c>
      <c r="G18" s="49">
        <f>VLOOKUP($A18,'Data Vlaue (Cr)'!$C:$FB,43)</f>
        <v>84</v>
      </c>
      <c r="H18" s="49">
        <f>VLOOKUP($A18,'Data Vlaue (Cr)'!$C:$FB,44)</f>
        <v>98</v>
      </c>
      <c r="I18" s="49">
        <f>VLOOKUP($A18,'Data Vlaue (Cr)'!$C:$FB,46)*100</f>
        <v>-14.27</v>
      </c>
      <c r="J18" s="51">
        <f>VLOOKUP($A18,'Data Vlaue (Cr)'!$C:$FB,59)</f>
        <v>296</v>
      </c>
      <c r="K18" s="51">
        <f>VLOOKUP($A18,'Data Vlaue (Cr)'!$C:$FB,60)</f>
        <v>286</v>
      </c>
      <c r="L18" s="51">
        <f>VLOOKUP($A18,'Data Vlaue (Cr)'!$C:$FB,62)*100</f>
        <v>3.4299999999999997</v>
      </c>
      <c r="M18" s="51">
        <f>VLOOKUP($A18,'Data Vlaue (Cr)'!$C:$FB,63)</f>
        <v>60</v>
      </c>
      <c r="N18" s="51">
        <f>VLOOKUP($A18,'Data Vlaue (Cr)'!$C:$FB,64)</f>
        <v>105</v>
      </c>
      <c r="O18" s="51">
        <f>VLOOKUP($A18,'Data Vlaue (Cr)'!$C:$FB,66)*100</f>
        <v>-42.75</v>
      </c>
    </row>
    <row r="19" spans="1:15" x14ac:dyDescent="0.25">
      <c r="A19" s="101" t="str">
        <f>'Data Vlaue (Cr)'!C14</f>
        <v>AMBUJACEM</v>
      </c>
      <c r="B19" s="50">
        <f>VLOOKUP($A19,'Data Vlaue (Cr)'!$C:$FB,8)</f>
        <v>620.54999999999995</v>
      </c>
      <c r="C19" s="50">
        <f>VLOOKUP($A19,'Data Vlaue (Cr)'!$C:$FB,11)*100</f>
        <v>1.1900000000000002</v>
      </c>
      <c r="D19" s="50">
        <f>VLOOKUP($A19,'Data Vlaue (Cr)'!$C:$FB,143)</f>
        <v>3261.41</v>
      </c>
      <c r="E19" s="50">
        <f>VLOOKUP($A19,'Data Vlaue (Cr)'!$C:$FB,144)</f>
        <v>3200.72</v>
      </c>
      <c r="F19" s="50">
        <f>VLOOKUP($A19,'Data Vlaue (Cr)'!$C:$FB,146)*100</f>
        <v>1.9</v>
      </c>
      <c r="G19" s="49">
        <f>VLOOKUP($A19,'Data Vlaue (Cr)'!$C:$FB,43)</f>
        <v>567</v>
      </c>
      <c r="H19" s="49">
        <f>VLOOKUP($A19,'Data Vlaue (Cr)'!$C:$FB,44)</f>
        <v>442</v>
      </c>
      <c r="I19" s="49">
        <f>VLOOKUP($A19,'Data Vlaue (Cr)'!$C:$FB,46)*100</f>
        <v>28.360000000000003</v>
      </c>
      <c r="J19" s="51">
        <f>VLOOKUP($A19,'Data Vlaue (Cr)'!$C:$FB,59)</f>
        <v>1914</v>
      </c>
      <c r="K19" s="51">
        <f>VLOOKUP($A19,'Data Vlaue (Cr)'!$C:$FB,60)</f>
        <v>2192</v>
      </c>
      <c r="L19" s="51">
        <f>VLOOKUP($A19,'Data Vlaue (Cr)'!$C:$FB,62)*100</f>
        <v>-12.709999999999999</v>
      </c>
      <c r="M19" s="51">
        <f>VLOOKUP($A19,'Data Vlaue (Cr)'!$C:$FB,63)</f>
        <v>744</v>
      </c>
      <c r="N19" s="51">
        <f>VLOOKUP($A19,'Data Vlaue (Cr)'!$C:$FB,64)</f>
        <v>583</v>
      </c>
      <c r="O19" s="51">
        <f>VLOOKUP($A19,'Data Vlaue (Cr)'!$C:$FB,66)*100</f>
        <v>27.67</v>
      </c>
    </row>
    <row r="20" spans="1:15" x14ac:dyDescent="0.25">
      <c r="A20" s="101" t="str">
        <f>'Data Vlaue (Cr)'!C15</f>
        <v>ANGELONE</v>
      </c>
      <c r="B20" s="50">
        <f>VLOOKUP($A20,'Data Vlaue (Cr)'!$C:$FB,8)</f>
        <v>2805.4</v>
      </c>
      <c r="C20" s="50">
        <f>VLOOKUP($A20,'Data Vlaue (Cr)'!$C:$FB,11)*100</f>
        <v>3.66</v>
      </c>
      <c r="D20" s="50">
        <f>VLOOKUP($A20,'Data Vlaue (Cr)'!$C:$FB,143)</f>
        <v>10652.87</v>
      </c>
      <c r="E20" s="50">
        <f>VLOOKUP($A20,'Data Vlaue (Cr)'!$C:$FB,144)</f>
        <v>148.81</v>
      </c>
      <c r="F20" s="50">
        <f>VLOOKUP($A20,'Data Vlaue (Cr)'!$C:$FB,146)*100</f>
        <v>7058.6600000000008</v>
      </c>
      <c r="G20" s="49">
        <f>VLOOKUP($A20,'Data Vlaue (Cr)'!$C:$FB,43)</f>
        <v>955</v>
      </c>
      <c r="H20" s="49">
        <f>VLOOKUP($A20,'Data Vlaue (Cr)'!$C:$FB,44)</f>
        <v>45</v>
      </c>
      <c r="I20" s="49">
        <f>VLOOKUP($A20,'Data Vlaue (Cr)'!$C:$FB,46)*100</f>
        <v>2016.07</v>
      </c>
      <c r="J20" s="51">
        <f>VLOOKUP($A20,'Data Vlaue (Cr)'!$C:$FB,59)</f>
        <v>7020</v>
      </c>
      <c r="K20" s="51">
        <f>VLOOKUP($A20,'Data Vlaue (Cr)'!$C:$FB,60)</f>
        <v>46</v>
      </c>
      <c r="L20" s="51">
        <f>VLOOKUP($A20,'Data Vlaue (Cr)'!$C:$FB,62)*100</f>
        <v>15027.92</v>
      </c>
      <c r="M20" s="51">
        <f>VLOOKUP($A20,'Data Vlaue (Cr)'!$C:$FB,63)</f>
        <v>2377</v>
      </c>
      <c r="N20" s="51">
        <f>VLOOKUP($A20,'Data Vlaue (Cr)'!$C:$FB,64)</f>
        <v>63</v>
      </c>
      <c r="O20" s="51">
        <f>VLOOKUP($A20,'Data Vlaue (Cr)'!$C:$FB,66)*100</f>
        <v>3689.4500000000003</v>
      </c>
    </row>
    <row r="21" spans="1:15" x14ac:dyDescent="0.25">
      <c r="A21" s="101" t="str">
        <f>'Data Vlaue (Cr)'!C16</f>
        <v>APLAPOLLO</v>
      </c>
      <c r="B21" s="50">
        <f>VLOOKUP($A21,'Data Vlaue (Cr)'!$C:$FB,8)</f>
        <v>1660.4</v>
      </c>
      <c r="C21" s="50">
        <f>VLOOKUP($A21,'Data Vlaue (Cr)'!$C:$FB,11)*100</f>
        <v>-1.9</v>
      </c>
      <c r="D21" s="50">
        <f>VLOOKUP($A21,'Data Vlaue (Cr)'!$C:$FB,143)</f>
        <v>538.17999999999995</v>
      </c>
      <c r="E21" s="50">
        <f>VLOOKUP($A21,'Data Vlaue (Cr)'!$C:$FB,144)</f>
        <v>546.88</v>
      </c>
      <c r="F21" s="50">
        <f>VLOOKUP($A21,'Data Vlaue (Cr)'!$C:$FB,146)*100</f>
        <v>-1.59</v>
      </c>
      <c r="G21" s="49">
        <f>VLOOKUP($A21,'Data Vlaue (Cr)'!$C:$FB,43)</f>
        <v>165</v>
      </c>
      <c r="H21" s="49">
        <f>VLOOKUP($A21,'Data Vlaue (Cr)'!$C:$FB,44)</f>
        <v>116</v>
      </c>
      <c r="I21" s="49">
        <f>VLOOKUP($A21,'Data Vlaue (Cr)'!$C:$FB,46)*100</f>
        <v>42.42</v>
      </c>
      <c r="J21" s="51">
        <f>VLOOKUP($A21,'Data Vlaue (Cr)'!$C:$FB,59)</f>
        <v>227</v>
      </c>
      <c r="K21" s="51">
        <f>VLOOKUP($A21,'Data Vlaue (Cr)'!$C:$FB,60)</f>
        <v>262</v>
      </c>
      <c r="L21" s="51">
        <f>VLOOKUP($A21,'Data Vlaue (Cr)'!$C:$FB,62)*100</f>
        <v>-13.62</v>
      </c>
      <c r="M21" s="51">
        <f>VLOOKUP($A21,'Data Vlaue (Cr)'!$C:$FB,63)</f>
        <v>123</v>
      </c>
      <c r="N21" s="51">
        <f>VLOOKUP($A21,'Data Vlaue (Cr)'!$C:$FB,64)</f>
        <v>142</v>
      </c>
      <c r="O21" s="51">
        <f>VLOOKUP($A21,'Data Vlaue (Cr)'!$C:$FB,66)*100</f>
        <v>-13.19</v>
      </c>
    </row>
    <row r="22" spans="1:15" x14ac:dyDescent="0.25">
      <c r="A22" s="101" t="str">
        <f>'Data Vlaue (Cr)'!C17</f>
        <v>APOLLOHOSP</v>
      </c>
      <c r="B22" s="50">
        <f>VLOOKUP($A22,'Data Vlaue (Cr)'!$C:$FB,8)</f>
        <v>7246.5</v>
      </c>
      <c r="C22" s="50">
        <f>VLOOKUP($A22,'Data Vlaue (Cr)'!$C:$FB,11)*100</f>
        <v>-0.11</v>
      </c>
      <c r="D22" s="50">
        <f>VLOOKUP($A22,'Data Vlaue (Cr)'!$C:$FB,143)</f>
        <v>1339.35</v>
      </c>
      <c r="E22" s="50">
        <f>VLOOKUP($A22,'Data Vlaue (Cr)'!$C:$FB,144)</f>
        <v>1582.85</v>
      </c>
      <c r="F22" s="50">
        <f>VLOOKUP($A22,'Data Vlaue (Cr)'!$C:$FB,146)*100</f>
        <v>-15.379999999999999</v>
      </c>
      <c r="G22" s="49">
        <f>VLOOKUP($A22,'Data Vlaue (Cr)'!$C:$FB,43)</f>
        <v>140</v>
      </c>
      <c r="H22" s="49">
        <f>VLOOKUP($A22,'Data Vlaue (Cr)'!$C:$FB,44)</f>
        <v>182</v>
      </c>
      <c r="I22" s="49">
        <f>VLOOKUP($A22,'Data Vlaue (Cr)'!$C:$FB,46)*100</f>
        <v>-23.02</v>
      </c>
      <c r="J22" s="51">
        <f>VLOOKUP($A22,'Data Vlaue (Cr)'!$C:$FB,59)</f>
        <v>803</v>
      </c>
      <c r="K22" s="51">
        <f>VLOOKUP($A22,'Data Vlaue (Cr)'!$C:$FB,60)</f>
        <v>850</v>
      </c>
      <c r="L22" s="51">
        <f>VLOOKUP($A22,'Data Vlaue (Cr)'!$C:$FB,62)*100</f>
        <v>-5.48</v>
      </c>
      <c r="M22" s="51">
        <f>VLOOKUP($A22,'Data Vlaue (Cr)'!$C:$FB,63)</f>
        <v>370</v>
      </c>
      <c r="N22" s="51">
        <f>VLOOKUP($A22,'Data Vlaue (Cr)'!$C:$FB,64)</f>
        <v>514</v>
      </c>
      <c r="O22" s="51">
        <f>VLOOKUP($A22,'Data Vlaue (Cr)'!$C:$FB,66)*100</f>
        <v>-27.99</v>
      </c>
    </row>
    <row r="23" spans="1:15" x14ac:dyDescent="0.25">
      <c r="A23" s="101" t="str">
        <f>'Data Vlaue (Cr)'!C18</f>
        <v>ASHOKLEY</v>
      </c>
      <c r="B23" s="50">
        <f>VLOOKUP($A23,'Data Vlaue (Cr)'!$C:$FB,8)</f>
        <v>124</v>
      </c>
      <c r="C23" s="50">
        <f>VLOOKUP($A23,'Data Vlaue (Cr)'!$C:$FB,11)*100</f>
        <v>-0.64</v>
      </c>
      <c r="D23" s="50">
        <f>VLOOKUP($A23,'Data Vlaue (Cr)'!$C:$FB,143)</f>
        <v>434.56</v>
      </c>
      <c r="E23" s="50">
        <f>VLOOKUP($A23,'Data Vlaue (Cr)'!$C:$FB,144)</f>
        <v>763.6</v>
      </c>
      <c r="F23" s="50">
        <f>VLOOKUP($A23,'Data Vlaue (Cr)'!$C:$FB,146)*100</f>
        <v>-43.09</v>
      </c>
      <c r="G23" s="49">
        <f>VLOOKUP($A23,'Data Vlaue (Cr)'!$C:$FB,43)</f>
        <v>156</v>
      </c>
      <c r="H23" s="49">
        <f>VLOOKUP($A23,'Data Vlaue (Cr)'!$C:$FB,44)</f>
        <v>202</v>
      </c>
      <c r="I23" s="49">
        <f>VLOOKUP($A23,'Data Vlaue (Cr)'!$C:$FB,46)*100</f>
        <v>-22.38</v>
      </c>
      <c r="J23" s="51">
        <f>VLOOKUP($A23,'Data Vlaue (Cr)'!$C:$FB,59)</f>
        <v>163</v>
      </c>
      <c r="K23" s="51">
        <f>VLOOKUP($A23,'Data Vlaue (Cr)'!$C:$FB,60)</f>
        <v>345</v>
      </c>
      <c r="L23" s="51">
        <f>VLOOKUP($A23,'Data Vlaue (Cr)'!$C:$FB,62)*100</f>
        <v>-52.900000000000006</v>
      </c>
      <c r="M23" s="51">
        <f>VLOOKUP($A23,'Data Vlaue (Cr)'!$C:$FB,63)</f>
        <v>109</v>
      </c>
      <c r="N23" s="51">
        <f>VLOOKUP($A23,'Data Vlaue (Cr)'!$C:$FB,64)</f>
        <v>204</v>
      </c>
      <c r="O23" s="51">
        <f>VLOOKUP($A23,'Data Vlaue (Cr)'!$C:$FB,66)*100</f>
        <v>-46.48</v>
      </c>
    </row>
    <row r="24" spans="1:15" x14ac:dyDescent="0.25">
      <c r="A24" s="101" t="str">
        <f>'Data Vlaue (Cr)'!C19</f>
        <v>ASIANPAINT</v>
      </c>
      <c r="B24" s="50">
        <f>VLOOKUP($A24,'Data Vlaue (Cr)'!$C:$FB,8)</f>
        <v>2365.1999999999998</v>
      </c>
      <c r="C24" s="50">
        <f>VLOOKUP($A24,'Data Vlaue (Cr)'!$C:$FB,11)*100</f>
        <v>-0.43</v>
      </c>
      <c r="D24" s="50">
        <f>VLOOKUP($A24,'Data Vlaue (Cr)'!$C:$FB,143)</f>
        <v>1599.61</v>
      </c>
      <c r="E24" s="50">
        <f>VLOOKUP($A24,'Data Vlaue (Cr)'!$C:$FB,144)</f>
        <v>2048.46</v>
      </c>
      <c r="F24" s="50">
        <f>VLOOKUP($A24,'Data Vlaue (Cr)'!$C:$FB,146)*100</f>
        <v>-21.91</v>
      </c>
      <c r="G24" s="49">
        <f>VLOOKUP($A24,'Data Vlaue (Cr)'!$C:$FB,43)</f>
        <v>224</v>
      </c>
      <c r="H24" s="49">
        <f>VLOOKUP($A24,'Data Vlaue (Cr)'!$C:$FB,44)</f>
        <v>272</v>
      </c>
      <c r="I24" s="49">
        <f>VLOOKUP($A24,'Data Vlaue (Cr)'!$C:$FB,46)*100</f>
        <v>-17.64</v>
      </c>
      <c r="J24" s="51">
        <f>VLOOKUP($A24,'Data Vlaue (Cr)'!$C:$FB,59)</f>
        <v>954</v>
      </c>
      <c r="K24" s="51">
        <f>VLOOKUP($A24,'Data Vlaue (Cr)'!$C:$FB,60)</f>
        <v>1208</v>
      </c>
      <c r="L24" s="51">
        <f>VLOOKUP($A24,'Data Vlaue (Cr)'!$C:$FB,62)*100</f>
        <v>-21.05</v>
      </c>
      <c r="M24" s="51">
        <f>VLOOKUP($A24,'Data Vlaue (Cr)'!$C:$FB,63)</f>
        <v>372</v>
      </c>
      <c r="N24" s="51">
        <f>VLOOKUP($A24,'Data Vlaue (Cr)'!$C:$FB,64)</f>
        <v>503</v>
      </c>
      <c r="O24" s="51">
        <f>VLOOKUP($A24,'Data Vlaue (Cr)'!$C:$FB,66)*100</f>
        <v>-25.979999999999997</v>
      </c>
    </row>
    <row r="25" spans="1:15" x14ac:dyDescent="0.25">
      <c r="A25" s="101" t="str">
        <f>'Data Vlaue (Cr)'!C20</f>
        <v>ASTRAL</v>
      </c>
      <c r="B25" s="50">
        <f>VLOOKUP($A25,'Data Vlaue (Cr)'!$C:$FB,8)</f>
        <v>1475</v>
      </c>
      <c r="C25" s="50">
        <f>VLOOKUP($A25,'Data Vlaue (Cr)'!$C:$FB,11)*100</f>
        <v>-1.73</v>
      </c>
      <c r="D25" s="50">
        <f>VLOOKUP($A25,'Data Vlaue (Cr)'!$C:$FB,143)</f>
        <v>1065.74</v>
      </c>
      <c r="E25" s="50">
        <f>VLOOKUP($A25,'Data Vlaue (Cr)'!$C:$FB,144)</f>
        <v>630.80999999999995</v>
      </c>
      <c r="F25" s="50">
        <f>VLOOKUP($A25,'Data Vlaue (Cr)'!$C:$FB,146)*100</f>
        <v>68.95</v>
      </c>
      <c r="G25" s="49">
        <f>VLOOKUP($A25,'Data Vlaue (Cr)'!$C:$FB,43)</f>
        <v>226</v>
      </c>
      <c r="H25" s="49">
        <f>VLOOKUP($A25,'Data Vlaue (Cr)'!$C:$FB,44)</f>
        <v>107</v>
      </c>
      <c r="I25" s="49">
        <f>VLOOKUP($A25,'Data Vlaue (Cr)'!$C:$FB,46)*100</f>
        <v>110.55999999999999</v>
      </c>
      <c r="J25" s="51">
        <f>VLOOKUP($A25,'Data Vlaue (Cr)'!$C:$FB,59)</f>
        <v>595</v>
      </c>
      <c r="K25" s="51">
        <f>VLOOKUP($A25,'Data Vlaue (Cr)'!$C:$FB,60)</f>
        <v>357</v>
      </c>
      <c r="L25" s="51">
        <f>VLOOKUP($A25,'Data Vlaue (Cr)'!$C:$FB,62)*100</f>
        <v>66.510000000000005</v>
      </c>
      <c r="M25" s="51">
        <f>VLOOKUP($A25,'Data Vlaue (Cr)'!$C:$FB,63)</f>
        <v>204</v>
      </c>
      <c r="N25" s="51">
        <f>VLOOKUP($A25,'Data Vlaue (Cr)'!$C:$FB,64)</f>
        <v>137</v>
      </c>
      <c r="O25" s="51">
        <f>VLOOKUP($A25,'Data Vlaue (Cr)'!$C:$FB,66)*100</f>
        <v>48.559999999999995</v>
      </c>
    </row>
    <row r="26" spans="1:15" x14ac:dyDescent="0.25">
      <c r="A26" s="101" t="str">
        <f>'Data Vlaue (Cr)'!C21</f>
        <v>ATGL</v>
      </c>
      <c r="B26" s="50">
        <f>VLOOKUP($A26,'Data Vlaue (Cr)'!$C:$FB,8)</f>
        <v>646.95000000000005</v>
      </c>
      <c r="C26" s="50">
        <f>VLOOKUP($A26,'Data Vlaue (Cr)'!$C:$FB,11)*100</f>
        <v>-1.6400000000000001</v>
      </c>
      <c r="D26" s="50">
        <f>VLOOKUP($A26,'Data Vlaue (Cr)'!$C:$FB,143)</f>
        <v>211.61</v>
      </c>
      <c r="E26" s="50">
        <f>VLOOKUP($A26,'Data Vlaue (Cr)'!$C:$FB,144)</f>
        <v>175.02</v>
      </c>
      <c r="F26" s="50">
        <f>VLOOKUP($A26,'Data Vlaue (Cr)'!$C:$FB,146)*100</f>
        <v>20.91</v>
      </c>
      <c r="G26" s="49">
        <f>VLOOKUP($A26,'Data Vlaue (Cr)'!$C:$FB,43)</f>
        <v>56</v>
      </c>
      <c r="H26" s="49">
        <f>VLOOKUP($A26,'Data Vlaue (Cr)'!$C:$FB,44)</f>
        <v>47</v>
      </c>
      <c r="I26" s="49">
        <f>VLOOKUP($A26,'Data Vlaue (Cr)'!$C:$FB,46)*100</f>
        <v>18.98</v>
      </c>
      <c r="J26" s="51">
        <f>VLOOKUP($A26,'Data Vlaue (Cr)'!$C:$FB,59)</f>
        <v>116</v>
      </c>
      <c r="K26" s="51">
        <f>VLOOKUP($A26,'Data Vlaue (Cr)'!$C:$FB,60)</f>
        <v>89</v>
      </c>
      <c r="L26" s="51">
        <f>VLOOKUP($A26,'Data Vlaue (Cr)'!$C:$FB,62)*100</f>
        <v>30.8</v>
      </c>
      <c r="M26" s="51">
        <f>VLOOKUP($A26,'Data Vlaue (Cr)'!$C:$FB,63)</f>
        <v>30</v>
      </c>
      <c r="N26" s="51">
        <f>VLOOKUP($A26,'Data Vlaue (Cr)'!$C:$FB,64)</f>
        <v>31</v>
      </c>
      <c r="O26" s="51">
        <f>VLOOKUP($A26,'Data Vlaue (Cr)'!$C:$FB,66)*100</f>
        <v>-2.3800000000000003</v>
      </c>
    </row>
    <row r="27" spans="1:15" x14ac:dyDescent="0.25">
      <c r="A27" s="101" t="str">
        <f>'Data Vlaue (Cr)'!C22</f>
        <v>AUBANK</v>
      </c>
      <c r="B27" s="50">
        <f>VLOOKUP($A27,'Data Vlaue (Cr)'!$C:$FB,8)</f>
        <v>725.8</v>
      </c>
      <c r="C27" s="50">
        <f>VLOOKUP($A27,'Data Vlaue (Cr)'!$C:$FB,11)*100</f>
        <v>-3.5999999999999996</v>
      </c>
      <c r="D27" s="50">
        <f>VLOOKUP($A27,'Data Vlaue (Cr)'!$C:$FB,143)</f>
        <v>3593.6</v>
      </c>
      <c r="E27" s="50">
        <f>VLOOKUP($A27,'Data Vlaue (Cr)'!$C:$FB,144)</f>
        <v>7855.4</v>
      </c>
      <c r="F27" s="50">
        <f>VLOOKUP($A27,'Data Vlaue (Cr)'!$C:$FB,146)*100</f>
        <v>-54.25</v>
      </c>
      <c r="G27" s="49">
        <f>VLOOKUP($A27,'Data Vlaue (Cr)'!$C:$FB,43)</f>
        <v>648</v>
      </c>
      <c r="H27" s="49">
        <f>VLOOKUP($A27,'Data Vlaue (Cr)'!$C:$FB,44)</f>
        <v>1385</v>
      </c>
      <c r="I27" s="49">
        <f>VLOOKUP($A27,'Data Vlaue (Cr)'!$C:$FB,46)*100</f>
        <v>-53.180000000000007</v>
      </c>
      <c r="J27" s="51">
        <f>VLOOKUP($A27,'Data Vlaue (Cr)'!$C:$FB,59)</f>
        <v>1751</v>
      </c>
      <c r="K27" s="51">
        <f>VLOOKUP($A27,'Data Vlaue (Cr)'!$C:$FB,60)</f>
        <v>3687</v>
      </c>
      <c r="L27" s="51">
        <f>VLOOKUP($A27,'Data Vlaue (Cr)'!$C:$FB,62)*100</f>
        <v>-52.5</v>
      </c>
      <c r="M27" s="51">
        <f>VLOOKUP($A27,'Data Vlaue (Cr)'!$C:$FB,63)</f>
        <v>1064</v>
      </c>
      <c r="N27" s="51">
        <f>VLOOKUP($A27,'Data Vlaue (Cr)'!$C:$FB,64)</f>
        <v>2333</v>
      </c>
      <c r="O27" s="51">
        <f>VLOOKUP($A27,'Data Vlaue (Cr)'!$C:$FB,66)*100</f>
        <v>-54.400000000000006</v>
      </c>
    </row>
    <row r="28" spans="1:15" x14ac:dyDescent="0.25">
      <c r="A28" s="101" t="str">
        <f>'Data Vlaue (Cr)'!C23</f>
        <v>AUROPHARMA</v>
      </c>
      <c r="B28" s="50">
        <f>VLOOKUP($A28,'Data Vlaue (Cr)'!$C:$FB,8)</f>
        <v>1101.4000000000001</v>
      </c>
      <c r="C28" s="50">
        <f>VLOOKUP($A28,'Data Vlaue (Cr)'!$C:$FB,11)*100</f>
        <v>-3.26</v>
      </c>
      <c r="D28" s="50">
        <f>VLOOKUP($A28,'Data Vlaue (Cr)'!$C:$FB,143)</f>
        <v>1665.63</v>
      </c>
      <c r="E28" s="50">
        <f>VLOOKUP($A28,'Data Vlaue (Cr)'!$C:$FB,144)</f>
        <v>825.2</v>
      </c>
      <c r="F28" s="50">
        <f>VLOOKUP($A28,'Data Vlaue (Cr)'!$C:$FB,146)*100</f>
        <v>101.85</v>
      </c>
      <c r="G28" s="49">
        <f>VLOOKUP($A28,'Data Vlaue (Cr)'!$C:$FB,43)</f>
        <v>445</v>
      </c>
      <c r="H28" s="49">
        <f>VLOOKUP($A28,'Data Vlaue (Cr)'!$C:$FB,44)</f>
        <v>509</v>
      </c>
      <c r="I28" s="49">
        <f>VLOOKUP($A28,'Data Vlaue (Cr)'!$C:$FB,46)*100</f>
        <v>-12.540000000000001</v>
      </c>
      <c r="J28" s="51">
        <f>VLOOKUP($A28,'Data Vlaue (Cr)'!$C:$FB,59)</f>
        <v>704</v>
      </c>
      <c r="K28" s="51">
        <f>VLOOKUP($A28,'Data Vlaue (Cr)'!$C:$FB,60)</f>
        <v>205</v>
      </c>
      <c r="L28" s="51">
        <f>VLOOKUP($A28,'Data Vlaue (Cr)'!$C:$FB,62)*100</f>
        <v>244.18</v>
      </c>
      <c r="M28" s="51">
        <f>VLOOKUP($A28,'Data Vlaue (Cr)'!$C:$FB,63)</f>
        <v>463</v>
      </c>
      <c r="N28" s="51">
        <f>VLOOKUP($A28,'Data Vlaue (Cr)'!$C:$FB,64)</f>
        <v>75</v>
      </c>
      <c r="O28" s="51">
        <f>VLOOKUP($A28,'Data Vlaue (Cr)'!$C:$FB,66)*100</f>
        <v>521.08999999999992</v>
      </c>
    </row>
    <row r="29" spans="1:15" x14ac:dyDescent="0.25">
      <c r="A29" s="101" t="str">
        <f>'Data Vlaue (Cr)'!C24</f>
        <v>AXISBANK</v>
      </c>
      <c r="B29" s="50">
        <f>VLOOKUP($A29,'Data Vlaue (Cr)'!$C:$FB,8)</f>
        <v>1098</v>
      </c>
      <c r="C29" s="50">
        <f>VLOOKUP($A29,'Data Vlaue (Cr)'!$C:$FB,11)*100</f>
        <v>-0.15</v>
      </c>
      <c r="D29" s="50">
        <f>VLOOKUP($A29,'Data Vlaue (Cr)'!$C:$FB,143)</f>
        <v>11871.34</v>
      </c>
      <c r="E29" s="50">
        <f>VLOOKUP($A29,'Data Vlaue (Cr)'!$C:$FB,144)</f>
        <v>24174.45</v>
      </c>
      <c r="F29" s="50">
        <f>VLOOKUP($A29,'Data Vlaue (Cr)'!$C:$FB,146)*100</f>
        <v>-50.89</v>
      </c>
      <c r="G29" s="49">
        <f>VLOOKUP($A29,'Data Vlaue (Cr)'!$C:$FB,43)</f>
        <v>1600</v>
      </c>
      <c r="H29" s="49">
        <f>VLOOKUP($A29,'Data Vlaue (Cr)'!$C:$FB,44)</f>
        <v>2532</v>
      </c>
      <c r="I29" s="49">
        <f>VLOOKUP($A29,'Data Vlaue (Cr)'!$C:$FB,46)*100</f>
        <v>-36.799999999999997</v>
      </c>
      <c r="J29" s="51">
        <f>VLOOKUP($A29,'Data Vlaue (Cr)'!$C:$FB,59)</f>
        <v>6900</v>
      </c>
      <c r="K29" s="51">
        <f>VLOOKUP($A29,'Data Vlaue (Cr)'!$C:$FB,60)</f>
        <v>13281</v>
      </c>
      <c r="L29" s="51">
        <f>VLOOKUP($A29,'Data Vlaue (Cr)'!$C:$FB,62)*100</f>
        <v>-48.05</v>
      </c>
      <c r="M29" s="51">
        <f>VLOOKUP($A29,'Data Vlaue (Cr)'!$C:$FB,63)</f>
        <v>3105</v>
      </c>
      <c r="N29" s="51">
        <f>VLOOKUP($A29,'Data Vlaue (Cr)'!$C:$FB,64)</f>
        <v>7997</v>
      </c>
      <c r="O29" s="51">
        <f>VLOOKUP($A29,'Data Vlaue (Cr)'!$C:$FB,66)*100</f>
        <v>-61.17</v>
      </c>
    </row>
    <row r="30" spans="1:15" x14ac:dyDescent="0.25">
      <c r="A30" s="101" t="str">
        <f>'Data Vlaue (Cr)'!C25</f>
        <v>BAJAJ-AUTO</v>
      </c>
      <c r="B30" s="50">
        <f>VLOOKUP($A30,'Data Vlaue (Cr)'!$C:$FB,8)</f>
        <v>8295</v>
      </c>
      <c r="C30" s="50">
        <f>VLOOKUP($A30,'Data Vlaue (Cr)'!$C:$FB,11)*100</f>
        <v>-1.7000000000000002</v>
      </c>
      <c r="D30" s="50">
        <f>VLOOKUP($A30,'Data Vlaue (Cr)'!$C:$FB,143)</f>
        <v>3220.12</v>
      </c>
      <c r="E30" s="50">
        <f>VLOOKUP($A30,'Data Vlaue (Cr)'!$C:$FB,144)</f>
        <v>2978.25</v>
      </c>
      <c r="F30" s="50">
        <f>VLOOKUP($A30,'Data Vlaue (Cr)'!$C:$FB,146)*100</f>
        <v>8.1199999999999992</v>
      </c>
      <c r="G30" s="49">
        <f>VLOOKUP($A30,'Data Vlaue (Cr)'!$C:$FB,43)</f>
        <v>307</v>
      </c>
      <c r="H30" s="49">
        <f>VLOOKUP($A30,'Data Vlaue (Cr)'!$C:$FB,44)</f>
        <v>285</v>
      </c>
      <c r="I30" s="49">
        <f>VLOOKUP($A30,'Data Vlaue (Cr)'!$C:$FB,46)*100</f>
        <v>7.7</v>
      </c>
      <c r="J30" s="51">
        <f>VLOOKUP($A30,'Data Vlaue (Cr)'!$C:$FB,59)</f>
        <v>1719</v>
      </c>
      <c r="K30" s="51">
        <f>VLOOKUP($A30,'Data Vlaue (Cr)'!$C:$FB,60)</f>
        <v>1728</v>
      </c>
      <c r="L30" s="51">
        <f>VLOOKUP($A30,'Data Vlaue (Cr)'!$C:$FB,62)*100</f>
        <v>-0.5</v>
      </c>
      <c r="M30" s="51">
        <f>VLOOKUP($A30,'Data Vlaue (Cr)'!$C:$FB,63)</f>
        <v>1143</v>
      </c>
      <c r="N30" s="51">
        <f>VLOOKUP($A30,'Data Vlaue (Cr)'!$C:$FB,64)</f>
        <v>898</v>
      </c>
      <c r="O30" s="51">
        <f>VLOOKUP($A30,'Data Vlaue (Cr)'!$C:$FB,66)*100</f>
        <v>27.18</v>
      </c>
    </row>
    <row r="31" spans="1:15" x14ac:dyDescent="0.25">
      <c r="A31" s="101" t="str">
        <f>'Data Vlaue (Cr)'!C26</f>
        <v>BAJAJFINSV</v>
      </c>
      <c r="B31" s="50">
        <f>VLOOKUP($A31,'Data Vlaue (Cr)'!$C:$FB,8)</f>
        <v>2039.6</v>
      </c>
      <c r="C31" s="50">
        <f>VLOOKUP($A31,'Data Vlaue (Cr)'!$C:$FB,11)*100</f>
        <v>-0.70000000000000007</v>
      </c>
      <c r="D31" s="50">
        <f>VLOOKUP($A31,'Data Vlaue (Cr)'!$C:$FB,143)</f>
        <v>4063.99</v>
      </c>
      <c r="E31" s="50">
        <f>VLOOKUP($A31,'Data Vlaue (Cr)'!$C:$FB,144)</f>
        <v>3630.01</v>
      </c>
      <c r="F31" s="50">
        <f>VLOOKUP($A31,'Data Vlaue (Cr)'!$C:$FB,146)*100</f>
        <v>11.959999999999999</v>
      </c>
      <c r="G31" s="49">
        <f>VLOOKUP($A31,'Data Vlaue (Cr)'!$C:$FB,43)</f>
        <v>614</v>
      </c>
      <c r="H31" s="49">
        <f>VLOOKUP($A31,'Data Vlaue (Cr)'!$C:$FB,44)</f>
        <v>463</v>
      </c>
      <c r="I31" s="49">
        <f>VLOOKUP($A31,'Data Vlaue (Cr)'!$C:$FB,46)*100</f>
        <v>32.769999999999996</v>
      </c>
      <c r="J31" s="51">
        <f>VLOOKUP($A31,'Data Vlaue (Cr)'!$C:$FB,59)</f>
        <v>2138</v>
      </c>
      <c r="K31" s="51">
        <f>VLOOKUP($A31,'Data Vlaue (Cr)'!$C:$FB,60)</f>
        <v>1995</v>
      </c>
      <c r="L31" s="51">
        <f>VLOOKUP($A31,'Data Vlaue (Cr)'!$C:$FB,62)*100</f>
        <v>7.16</v>
      </c>
      <c r="M31" s="51">
        <f>VLOOKUP($A31,'Data Vlaue (Cr)'!$C:$FB,63)</f>
        <v>1257</v>
      </c>
      <c r="N31" s="51">
        <f>VLOOKUP($A31,'Data Vlaue (Cr)'!$C:$FB,64)</f>
        <v>1117</v>
      </c>
      <c r="O31" s="51">
        <f>VLOOKUP($A31,'Data Vlaue (Cr)'!$C:$FB,66)*100</f>
        <v>12.620000000000001</v>
      </c>
    </row>
    <row r="32" spans="1:15" x14ac:dyDescent="0.25">
      <c r="A32" s="101" t="str">
        <f>'Data Vlaue (Cr)'!C27</f>
        <v>BAJFINANCE</v>
      </c>
      <c r="B32" s="50">
        <f>VLOOKUP($A32,'Data Vlaue (Cr)'!$C:$FB,8)</f>
        <v>952.55</v>
      </c>
      <c r="C32" s="50">
        <f>VLOOKUP($A32,'Data Vlaue (Cr)'!$C:$FB,11)*100</f>
        <v>0.43</v>
      </c>
      <c r="D32" s="50">
        <f>VLOOKUP($A32,'Data Vlaue (Cr)'!$C:$FB,143)</f>
        <v>6602.16</v>
      </c>
      <c r="E32" s="50">
        <f>VLOOKUP($A32,'Data Vlaue (Cr)'!$C:$FB,144)</f>
        <v>4576.76</v>
      </c>
      <c r="F32" s="50">
        <f>VLOOKUP($A32,'Data Vlaue (Cr)'!$C:$FB,146)*100</f>
        <v>44.25</v>
      </c>
      <c r="G32" s="49">
        <f>VLOOKUP($A32,'Data Vlaue (Cr)'!$C:$FB,43)</f>
        <v>1411</v>
      </c>
      <c r="H32" s="49">
        <f>VLOOKUP($A32,'Data Vlaue (Cr)'!$C:$FB,44)</f>
        <v>859</v>
      </c>
      <c r="I32" s="49">
        <f>VLOOKUP($A32,'Data Vlaue (Cr)'!$C:$FB,46)*100</f>
        <v>64.3</v>
      </c>
      <c r="J32" s="51">
        <f>VLOOKUP($A32,'Data Vlaue (Cr)'!$C:$FB,59)</f>
        <v>3207</v>
      </c>
      <c r="K32" s="51">
        <f>VLOOKUP($A32,'Data Vlaue (Cr)'!$C:$FB,60)</f>
        <v>2312</v>
      </c>
      <c r="L32" s="51">
        <f>VLOOKUP($A32,'Data Vlaue (Cr)'!$C:$FB,62)*100</f>
        <v>38.700000000000003</v>
      </c>
      <c r="M32" s="51">
        <f>VLOOKUP($A32,'Data Vlaue (Cr)'!$C:$FB,63)</f>
        <v>1927</v>
      </c>
      <c r="N32" s="51">
        <f>VLOOKUP($A32,'Data Vlaue (Cr)'!$C:$FB,64)</f>
        <v>1394</v>
      </c>
      <c r="O32" s="51">
        <f>VLOOKUP($A32,'Data Vlaue (Cr)'!$C:$FB,66)*100</f>
        <v>38.159999999999997</v>
      </c>
    </row>
    <row r="33" spans="1:15" x14ac:dyDescent="0.25">
      <c r="A33" s="101" t="str">
        <f>'Data Vlaue (Cr)'!C28</f>
        <v>BALKRISIND</v>
      </c>
      <c r="B33" s="50">
        <f>VLOOKUP($A33,'Data Vlaue (Cr)'!$C:$FB,8)</f>
        <v>2756.9</v>
      </c>
      <c r="C33" s="50">
        <f>VLOOKUP($A33,'Data Vlaue (Cr)'!$C:$FB,11)*100</f>
        <v>-0.62</v>
      </c>
      <c r="D33" s="50">
        <f>VLOOKUP($A33,'Data Vlaue (Cr)'!$C:$FB,143)</f>
        <v>467.7</v>
      </c>
      <c r="E33" s="50">
        <f>VLOOKUP($A33,'Data Vlaue (Cr)'!$C:$FB,144)</f>
        <v>806.96</v>
      </c>
      <c r="F33" s="50">
        <f>VLOOKUP($A33,'Data Vlaue (Cr)'!$C:$FB,146)*100</f>
        <v>-42.04</v>
      </c>
      <c r="G33" s="49">
        <f>VLOOKUP($A33,'Data Vlaue (Cr)'!$C:$FB,43)</f>
        <v>127</v>
      </c>
      <c r="H33" s="49">
        <f>VLOOKUP($A33,'Data Vlaue (Cr)'!$C:$FB,44)</f>
        <v>122</v>
      </c>
      <c r="I33" s="49">
        <f>VLOOKUP($A33,'Data Vlaue (Cr)'!$C:$FB,46)*100</f>
        <v>4.42</v>
      </c>
      <c r="J33" s="51">
        <f>VLOOKUP($A33,'Data Vlaue (Cr)'!$C:$FB,59)</f>
        <v>224</v>
      </c>
      <c r="K33" s="51">
        <f>VLOOKUP($A33,'Data Vlaue (Cr)'!$C:$FB,60)</f>
        <v>438</v>
      </c>
      <c r="L33" s="51">
        <f>VLOOKUP($A33,'Data Vlaue (Cr)'!$C:$FB,62)*100</f>
        <v>-48.91</v>
      </c>
      <c r="M33" s="51">
        <f>VLOOKUP($A33,'Data Vlaue (Cr)'!$C:$FB,63)</f>
        <v>110</v>
      </c>
      <c r="N33" s="51">
        <f>VLOOKUP($A33,'Data Vlaue (Cr)'!$C:$FB,64)</f>
        <v>237</v>
      </c>
      <c r="O33" s="51">
        <f>VLOOKUP($A33,'Data Vlaue (Cr)'!$C:$FB,66)*100</f>
        <v>-53.55</v>
      </c>
    </row>
    <row r="34" spans="1:15" x14ac:dyDescent="0.25">
      <c r="A34" s="101" t="str">
        <f>'Data Vlaue (Cr)'!C29</f>
        <v>BANDHANBNK</v>
      </c>
      <c r="B34" s="50">
        <f>VLOOKUP($A34,'Data Vlaue (Cr)'!$C:$FB,8)</f>
        <v>180.94</v>
      </c>
      <c r="C34" s="50">
        <f>VLOOKUP($A34,'Data Vlaue (Cr)'!$C:$FB,11)*100</f>
        <v>-0.72</v>
      </c>
      <c r="D34" s="50">
        <f>VLOOKUP($A34,'Data Vlaue (Cr)'!$C:$FB,143)</f>
        <v>131.82</v>
      </c>
      <c r="E34" s="50">
        <f>VLOOKUP($A34,'Data Vlaue (Cr)'!$C:$FB,144)</f>
        <v>495.07</v>
      </c>
      <c r="F34" s="50">
        <f>VLOOKUP($A34,'Data Vlaue (Cr)'!$C:$FB,146)*100</f>
        <v>-73.37</v>
      </c>
      <c r="G34" s="49">
        <f>VLOOKUP($A34,'Data Vlaue (Cr)'!$C:$FB,43)</f>
        <v>70</v>
      </c>
      <c r="H34" s="49">
        <f>VLOOKUP($A34,'Data Vlaue (Cr)'!$C:$FB,44)</f>
        <v>166</v>
      </c>
      <c r="I34" s="49">
        <f>VLOOKUP($A34,'Data Vlaue (Cr)'!$C:$FB,46)*100</f>
        <v>-58.099999999999994</v>
      </c>
      <c r="J34" s="51">
        <f>VLOOKUP($A34,'Data Vlaue (Cr)'!$C:$FB,59)</f>
        <v>44</v>
      </c>
      <c r="K34" s="51">
        <f>VLOOKUP($A34,'Data Vlaue (Cr)'!$C:$FB,60)</f>
        <v>203</v>
      </c>
      <c r="L34" s="51">
        <f>VLOOKUP($A34,'Data Vlaue (Cr)'!$C:$FB,62)*100</f>
        <v>-78.23</v>
      </c>
      <c r="M34" s="51">
        <f>VLOOKUP($A34,'Data Vlaue (Cr)'!$C:$FB,63)</f>
        <v>15</v>
      </c>
      <c r="N34" s="51">
        <f>VLOOKUP($A34,'Data Vlaue (Cr)'!$C:$FB,64)</f>
        <v>110</v>
      </c>
      <c r="O34" s="51">
        <f>VLOOKUP($A34,'Data Vlaue (Cr)'!$C:$FB,66)*100</f>
        <v>-86.350000000000009</v>
      </c>
    </row>
    <row r="35" spans="1:15" x14ac:dyDescent="0.25">
      <c r="A35" s="101" t="str">
        <f>'Data Vlaue (Cr)'!C30</f>
        <v>BANKBARODA</v>
      </c>
      <c r="B35" s="50">
        <f>VLOOKUP($A35,'Data Vlaue (Cr)'!$C:$FB,8)</f>
        <v>239.48</v>
      </c>
      <c r="C35" s="50">
        <f>VLOOKUP($A35,'Data Vlaue (Cr)'!$C:$FB,11)*100</f>
        <v>-1.6099999999999999</v>
      </c>
      <c r="D35" s="50">
        <f>VLOOKUP($A35,'Data Vlaue (Cr)'!$C:$FB,143)</f>
        <v>3268.29</v>
      </c>
      <c r="E35" s="50">
        <f>VLOOKUP($A35,'Data Vlaue (Cr)'!$C:$FB,144)</f>
        <v>2490.0700000000002</v>
      </c>
      <c r="F35" s="50">
        <f>VLOOKUP($A35,'Data Vlaue (Cr)'!$C:$FB,146)*100</f>
        <v>31.25</v>
      </c>
      <c r="G35" s="49">
        <f>VLOOKUP($A35,'Data Vlaue (Cr)'!$C:$FB,43)</f>
        <v>625</v>
      </c>
      <c r="H35" s="49">
        <f>VLOOKUP($A35,'Data Vlaue (Cr)'!$C:$FB,44)</f>
        <v>613</v>
      </c>
      <c r="I35" s="49">
        <f>VLOOKUP($A35,'Data Vlaue (Cr)'!$C:$FB,46)*100</f>
        <v>2.0099999999999998</v>
      </c>
      <c r="J35" s="51">
        <f>VLOOKUP($A35,'Data Vlaue (Cr)'!$C:$FB,59)</f>
        <v>1317</v>
      </c>
      <c r="K35" s="51">
        <f>VLOOKUP($A35,'Data Vlaue (Cr)'!$C:$FB,60)</f>
        <v>1038</v>
      </c>
      <c r="L35" s="51">
        <f>VLOOKUP($A35,'Data Vlaue (Cr)'!$C:$FB,62)*100</f>
        <v>26.86</v>
      </c>
      <c r="M35" s="51">
        <f>VLOOKUP($A35,'Data Vlaue (Cr)'!$C:$FB,63)</f>
        <v>1232</v>
      </c>
      <c r="N35" s="51">
        <f>VLOOKUP($A35,'Data Vlaue (Cr)'!$C:$FB,64)</f>
        <v>751</v>
      </c>
      <c r="O35" s="51">
        <f>VLOOKUP($A35,'Data Vlaue (Cr)'!$C:$FB,66)*100</f>
        <v>64.11</v>
      </c>
    </row>
    <row r="36" spans="1:15" x14ac:dyDescent="0.25">
      <c r="A36" s="101" t="str">
        <f>'Data Vlaue (Cr)'!C31</f>
        <v>BANKINDIA</v>
      </c>
      <c r="B36" s="50">
        <f>VLOOKUP($A36,'Data Vlaue (Cr)'!$C:$FB,8)</f>
        <v>113.13</v>
      </c>
      <c r="C36" s="50">
        <f>VLOOKUP($A36,'Data Vlaue (Cr)'!$C:$FB,11)*100</f>
        <v>-1.34</v>
      </c>
      <c r="D36" s="50">
        <f>VLOOKUP($A36,'Data Vlaue (Cr)'!$C:$FB,143)</f>
        <v>354.77</v>
      </c>
      <c r="E36" s="50">
        <f>VLOOKUP($A36,'Data Vlaue (Cr)'!$C:$FB,144)</f>
        <v>536.53</v>
      </c>
      <c r="F36" s="50">
        <f>VLOOKUP($A36,'Data Vlaue (Cr)'!$C:$FB,146)*100</f>
        <v>-33.879999999999995</v>
      </c>
      <c r="G36" s="49">
        <f>VLOOKUP($A36,'Data Vlaue (Cr)'!$C:$FB,43)</f>
        <v>144</v>
      </c>
      <c r="H36" s="49">
        <f>VLOOKUP($A36,'Data Vlaue (Cr)'!$C:$FB,44)</f>
        <v>137</v>
      </c>
      <c r="I36" s="49">
        <f>VLOOKUP($A36,'Data Vlaue (Cr)'!$C:$FB,46)*100</f>
        <v>4.7600000000000007</v>
      </c>
      <c r="J36" s="51">
        <f>VLOOKUP($A36,'Data Vlaue (Cr)'!$C:$FB,59)</f>
        <v>137</v>
      </c>
      <c r="K36" s="51">
        <f>VLOOKUP($A36,'Data Vlaue (Cr)'!$C:$FB,60)</f>
        <v>258</v>
      </c>
      <c r="L36" s="51">
        <f>VLOOKUP($A36,'Data Vlaue (Cr)'!$C:$FB,62)*100</f>
        <v>-47</v>
      </c>
      <c r="M36" s="51">
        <f>VLOOKUP($A36,'Data Vlaue (Cr)'!$C:$FB,63)</f>
        <v>63</v>
      </c>
      <c r="N36" s="51">
        <f>VLOOKUP($A36,'Data Vlaue (Cr)'!$C:$FB,64)</f>
        <v>120</v>
      </c>
      <c r="O36" s="51">
        <f>VLOOKUP($A36,'Data Vlaue (Cr)'!$C:$FB,66)*100</f>
        <v>-46.949999999999996</v>
      </c>
    </row>
    <row r="37" spans="1:15" x14ac:dyDescent="0.25">
      <c r="A37" s="101" t="str">
        <f>'Data Vlaue (Cr)'!C32</f>
        <v>BANKNIFTY</v>
      </c>
      <c r="B37" s="50">
        <f>VLOOKUP($A37,'Data Vlaue (Cr)'!$C:$FB,8)</f>
        <v>56756</v>
      </c>
      <c r="C37" s="50">
        <f>VLOOKUP($A37,'Data Vlaue (Cr)'!$C:$FB,11)*100</f>
        <v>-0.35000000000000003</v>
      </c>
      <c r="D37" s="50">
        <f>VLOOKUP($A37,'Data Vlaue (Cr)'!$C:$FB,143)</f>
        <v>786550.73</v>
      </c>
      <c r="E37" s="50">
        <f>VLOOKUP($A37,'Data Vlaue (Cr)'!$C:$FB,144)</f>
        <v>1066042.52</v>
      </c>
      <c r="F37" s="50">
        <f>VLOOKUP($A37,'Data Vlaue (Cr)'!$C:$FB,146)*100</f>
        <v>-26.22</v>
      </c>
      <c r="G37" s="49">
        <f>VLOOKUP($A37,'Data Vlaue (Cr)'!$C:$FB,43)</f>
        <v>5558</v>
      </c>
      <c r="H37" s="49">
        <f>VLOOKUP($A37,'Data Vlaue (Cr)'!$C:$FB,44)</f>
        <v>10155</v>
      </c>
      <c r="I37" s="49">
        <f>VLOOKUP($A37,'Data Vlaue (Cr)'!$C:$FB,46)*100</f>
        <v>-45.269999999999996</v>
      </c>
      <c r="J37" s="51">
        <f>VLOOKUP($A37,'Data Vlaue (Cr)'!$C:$FB,59)</f>
        <v>408850</v>
      </c>
      <c r="K37" s="51">
        <f>VLOOKUP($A37,'Data Vlaue (Cr)'!$C:$FB,60)</f>
        <v>586805</v>
      </c>
      <c r="L37" s="51">
        <f>VLOOKUP($A37,'Data Vlaue (Cr)'!$C:$FB,62)*100</f>
        <v>-30.330000000000002</v>
      </c>
      <c r="M37" s="51">
        <f>VLOOKUP($A37,'Data Vlaue (Cr)'!$C:$FB,63)</f>
        <v>366536</v>
      </c>
      <c r="N37" s="51">
        <f>VLOOKUP($A37,'Data Vlaue (Cr)'!$C:$FB,64)</f>
        <v>463185</v>
      </c>
      <c r="O37" s="51">
        <f>VLOOKUP($A37,'Data Vlaue (Cr)'!$C:$FB,66)*100</f>
        <v>-20.87</v>
      </c>
    </row>
    <row r="38" spans="1:15" x14ac:dyDescent="0.25">
      <c r="A38" s="101" t="str">
        <f>'Data Vlaue (Cr)'!C33</f>
        <v>BDL</v>
      </c>
      <c r="B38" s="50">
        <f>VLOOKUP($A38,'Data Vlaue (Cr)'!$C:$FB,8)</f>
        <v>1717.4</v>
      </c>
      <c r="C38" s="50">
        <f>VLOOKUP($A38,'Data Vlaue (Cr)'!$C:$FB,11)*100</f>
        <v>-0.06</v>
      </c>
      <c r="D38" s="50">
        <f>VLOOKUP($A38,'Data Vlaue (Cr)'!$C:$FB,143)</f>
        <v>1079.56</v>
      </c>
      <c r="E38" s="50">
        <f>VLOOKUP($A38,'Data Vlaue (Cr)'!$C:$FB,144)</f>
        <v>2823.27</v>
      </c>
      <c r="F38" s="50">
        <f>VLOOKUP($A38,'Data Vlaue (Cr)'!$C:$FB,146)*100</f>
        <v>-61.760000000000005</v>
      </c>
      <c r="G38" s="49">
        <f>VLOOKUP($A38,'Data Vlaue (Cr)'!$C:$FB,43)</f>
        <v>194</v>
      </c>
      <c r="H38" s="49">
        <f>VLOOKUP($A38,'Data Vlaue (Cr)'!$C:$FB,44)</f>
        <v>372</v>
      </c>
      <c r="I38" s="49">
        <f>VLOOKUP($A38,'Data Vlaue (Cr)'!$C:$FB,46)*100</f>
        <v>-47.72</v>
      </c>
      <c r="J38" s="51">
        <f>VLOOKUP($A38,'Data Vlaue (Cr)'!$C:$FB,59)</f>
        <v>623</v>
      </c>
      <c r="K38" s="51">
        <f>VLOOKUP($A38,'Data Vlaue (Cr)'!$C:$FB,60)</f>
        <v>1667</v>
      </c>
      <c r="L38" s="51">
        <f>VLOOKUP($A38,'Data Vlaue (Cr)'!$C:$FB,62)*100</f>
        <v>-62.629999999999995</v>
      </c>
      <c r="M38" s="51">
        <f>VLOOKUP($A38,'Data Vlaue (Cr)'!$C:$FB,63)</f>
        <v>205</v>
      </c>
      <c r="N38" s="51">
        <f>VLOOKUP($A38,'Data Vlaue (Cr)'!$C:$FB,64)</f>
        <v>695</v>
      </c>
      <c r="O38" s="51">
        <f>VLOOKUP($A38,'Data Vlaue (Cr)'!$C:$FB,66)*100</f>
        <v>-70.45</v>
      </c>
    </row>
    <row r="39" spans="1:15" x14ac:dyDescent="0.25">
      <c r="A39" s="101" t="str">
        <f>'Data Vlaue (Cr)'!C34</f>
        <v>BEL</v>
      </c>
      <c r="B39" s="50">
        <f>VLOOKUP($A39,'Data Vlaue (Cr)'!$C:$FB,8)</f>
        <v>403.1</v>
      </c>
      <c r="C39" s="50">
        <f>VLOOKUP($A39,'Data Vlaue (Cr)'!$C:$FB,11)*100</f>
        <v>0.79</v>
      </c>
      <c r="D39" s="50">
        <f>VLOOKUP($A39,'Data Vlaue (Cr)'!$C:$FB,143)</f>
        <v>6085.15</v>
      </c>
      <c r="E39" s="50">
        <f>VLOOKUP($A39,'Data Vlaue (Cr)'!$C:$FB,144)</f>
        <v>9096.26</v>
      </c>
      <c r="F39" s="50">
        <f>VLOOKUP($A39,'Data Vlaue (Cr)'!$C:$FB,146)*100</f>
        <v>-33.1</v>
      </c>
      <c r="G39" s="49">
        <f>VLOOKUP($A39,'Data Vlaue (Cr)'!$C:$FB,43)</f>
        <v>815</v>
      </c>
      <c r="H39" s="49">
        <f>VLOOKUP($A39,'Data Vlaue (Cr)'!$C:$FB,44)</f>
        <v>1054</v>
      </c>
      <c r="I39" s="49">
        <f>VLOOKUP($A39,'Data Vlaue (Cr)'!$C:$FB,46)*100</f>
        <v>-22.7</v>
      </c>
      <c r="J39" s="51">
        <f>VLOOKUP($A39,'Data Vlaue (Cr)'!$C:$FB,59)</f>
        <v>3498</v>
      </c>
      <c r="K39" s="51">
        <f>VLOOKUP($A39,'Data Vlaue (Cr)'!$C:$FB,60)</f>
        <v>5121</v>
      </c>
      <c r="L39" s="51">
        <f>VLOOKUP($A39,'Data Vlaue (Cr)'!$C:$FB,62)*100</f>
        <v>-31.69</v>
      </c>
      <c r="M39" s="51">
        <f>VLOOKUP($A39,'Data Vlaue (Cr)'!$C:$FB,63)</f>
        <v>1640</v>
      </c>
      <c r="N39" s="51">
        <f>VLOOKUP($A39,'Data Vlaue (Cr)'!$C:$FB,64)</f>
        <v>2795</v>
      </c>
      <c r="O39" s="51">
        <f>VLOOKUP($A39,'Data Vlaue (Cr)'!$C:$FB,66)*100</f>
        <v>-41.33</v>
      </c>
    </row>
    <row r="40" spans="1:15" x14ac:dyDescent="0.25">
      <c r="A40" s="101" t="str">
        <f>'Data Vlaue (Cr)'!C35</f>
        <v>BHARATFORG</v>
      </c>
      <c r="B40" s="50">
        <f>VLOOKUP($A40,'Data Vlaue (Cr)'!$C:$FB,8)</f>
        <v>1204.7</v>
      </c>
      <c r="C40" s="50">
        <f>VLOOKUP($A40,'Data Vlaue (Cr)'!$C:$FB,11)*100</f>
        <v>-1.32</v>
      </c>
      <c r="D40" s="50">
        <f>VLOOKUP($A40,'Data Vlaue (Cr)'!$C:$FB,143)</f>
        <v>606.29</v>
      </c>
      <c r="E40" s="50">
        <f>VLOOKUP($A40,'Data Vlaue (Cr)'!$C:$FB,144)</f>
        <v>449.29</v>
      </c>
      <c r="F40" s="50">
        <f>VLOOKUP($A40,'Data Vlaue (Cr)'!$C:$FB,146)*100</f>
        <v>34.94</v>
      </c>
      <c r="G40" s="49">
        <f>VLOOKUP($A40,'Data Vlaue (Cr)'!$C:$FB,43)</f>
        <v>158</v>
      </c>
      <c r="H40" s="49">
        <f>VLOOKUP($A40,'Data Vlaue (Cr)'!$C:$FB,44)</f>
        <v>121</v>
      </c>
      <c r="I40" s="49">
        <f>VLOOKUP($A40,'Data Vlaue (Cr)'!$C:$FB,46)*100</f>
        <v>30.620000000000005</v>
      </c>
      <c r="J40" s="51">
        <f>VLOOKUP($A40,'Data Vlaue (Cr)'!$C:$FB,59)</f>
        <v>278</v>
      </c>
      <c r="K40" s="51">
        <f>VLOOKUP($A40,'Data Vlaue (Cr)'!$C:$FB,60)</f>
        <v>221</v>
      </c>
      <c r="L40" s="51">
        <f>VLOOKUP($A40,'Data Vlaue (Cr)'!$C:$FB,62)*100</f>
        <v>26.07</v>
      </c>
      <c r="M40" s="51">
        <f>VLOOKUP($A40,'Data Vlaue (Cr)'!$C:$FB,63)</f>
        <v>153</v>
      </c>
      <c r="N40" s="51">
        <f>VLOOKUP($A40,'Data Vlaue (Cr)'!$C:$FB,64)</f>
        <v>90</v>
      </c>
      <c r="O40" s="51">
        <f>VLOOKUP($A40,'Data Vlaue (Cr)'!$C:$FB,66)*100</f>
        <v>70.69</v>
      </c>
    </row>
    <row r="41" spans="1:15" x14ac:dyDescent="0.25">
      <c r="A41" s="101" t="str">
        <f>'Data Vlaue (Cr)'!C36</f>
        <v>BHARTIARTL</v>
      </c>
      <c r="B41" s="50">
        <f>VLOOKUP($A41,'Data Vlaue (Cr)'!$C:$FB,8)</f>
        <v>1906.8</v>
      </c>
      <c r="C41" s="50">
        <f>VLOOKUP($A41,'Data Vlaue (Cr)'!$C:$FB,11)*100</f>
        <v>-0.13</v>
      </c>
      <c r="D41" s="50">
        <f>VLOOKUP($A41,'Data Vlaue (Cr)'!$C:$FB,143)</f>
        <v>4898.01</v>
      </c>
      <c r="E41" s="50">
        <f>VLOOKUP($A41,'Data Vlaue (Cr)'!$C:$FB,144)</f>
        <v>4837.32</v>
      </c>
      <c r="F41" s="50">
        <f>VLOOKUP($A41,'Data Vlaue (Cr)'!$C:$FB,146)*100</f>
        <v>1.25</v>
      </c>
      <c r="G41" s="49">
        <f>VLOOKUP($A41,'Data Vlaue (Cr)'!$C:$FB,43)</f>
        <v>566</v>
      </c>
      <c r="H41" s="49">
        <f>VLOOKUP($A41,'Data Vlaue (Cr)'!$C:$FB,44)</f>
        <v>618</v>
      </c>
      <c r="I41" s="49">
        <f>VLOOKUP($A41,'Data Vlaue (Cr)'!$C:$FB,46)*100</f>
        <v>-8.3699999999999992</v>
      </c>
      <c r="J41" s="51">
        <f>VLOOKUP($A41,'Data Vlaue (Cr)'!$C:$FB,59)</f>
        <v>3042</v>
      </c>
      <c r="K41" s="51">
        <f>VLOOKUP($A41,'Data Vlaue (Cr)'!$C:$FB,60)</f>
        <v>3146</v>
      </c>
      <c r="L41" s="51">
        <f>VLOOKUP($A41,'Data Vlaue (Cr)'!$C:$FB,62)*100</f>
        <v>-3.3300000000000005</v>
      </c>
      <c r="M41" s="51">
        <f>VLOOKUP($A41,'Data Vlaue (Cr)'!$C:$FB,63)</f>
        <v>1201</v>
      </c>
      <c r="N41" s="51">
        <f>VLOOKUP($A41,'Data Vlaue (Cr)'!$C:$FB,64)</f>
        <v>955</v>
      </c>
      <c r="O41" s="51">
        <f>VLOOKUP($A41,'Data Vlaue (Cr)'!$C:$FB,66)*100</f>
        <v>25.69</v>
      </c>
    </row>
    <row r="42" spans="1:15" x14ac:dyDescent="0.25">
      <c r="A42" s="101" t="str">
        <f>'Data Vlaue (Cr)'!C37</f>
        <v>BHEL</v>
      </c>
      <c r="B42" s="50">
        <f>VLOOKUP($A42,'Data Vlaue (Cr)'!$C:$FB,8)</f>
        <v>250.5</v>
      </c>
      <c r="C42" s="50">
        <f>VLOOKUP($A42,'Data Vlaue (Cr)'!$C:$FB,11)*100</f>
        <v>-1.63</v>
      </c>
      <c r="D42" s="50">
        <f>VLOOKUP($A42,'Data Vlaue (Cr)'!$C:$FB,143)</f>
        <v>1095.1300000000001</v>
      </c>
      <c r="E42" s="50">
        <f>VLOOKUP($A42,'Data Vlaue (Cr)'!$C:$FB,144)</f>
        <v>1130.8599999999999</v>
      </c>
      <c r="F42" s="50">
        <f>VLOOKUP($A42,'Data Vlaue (Cr)'!$C:$FB,146)*100</f>
        <v>-3.16</v>
      </c>
      <c r="G42" s="49">
        <f>VLOOKUP($A42,'Data Vlaue (Cr)'!$C:$FB,43)</f>
        <v>207</v>
      </c>
      <c r="H42" s="49">
        <f>VLOOKUP($A42,'Data Vlaue (Cr)'!$C:$FB,44)</f>
        <v>233</v>
      </c>
      <c r="I42" s="49">
        <f>VLOOKUP($A42,'Data Vlaue (Cr)'!$C:$FB,46)*100</f>
        <v>-10.94</v>
      </c>
      <c r="J42" s="51">
        <f>VLOOKUP($A42,'Data Vlaue (Cr)'!$C:$FB,59)</f>
        <v>552</v>
      </c>
      <c r="K42" s="51">
        <f>VLOOKUP($A42,'Data Vlaue (Cr)'!$C:$FB,60)</f>
        <v>590</v>
      </c>
      <c r="L42" s="51">
        <f>VLOOKUP($A42,'Data Vlaue (Cr)'!$C:$FB,62)*100</f>
        <v>-6.32</v>
      </c>
      <c r="M42" s="51">
        <f>VLOOKUP($A42,'Data Vlaue (Cr)'!$C:$FB,63)</f>
        <v>298</v>
      </c>
      <c r="N42" s="51">
        <f>VLOOKUP($A42,'Data Vlaue (Cr)'!$C:$FB,64)</f>
        <v>266</v>
      </c>
      <c r="O42" s="51">
        <f>VLOOKUP($A42,'Data Vlaue (Cr)'!$C:$FB,66)*100</f>
        <v>11.790000000000001</v>
      </c>
    </row>
    <row r="43" spans="1:15" x14ac:dyDescent="0.25">
      <c r="A43" s="101" t="str">
        <f>'Data Vlaue (Cr)'!C38</f>
        <v>BIOCON</v>
      </c>
      <c r="B43" s="50">
        <f>VLOOKUP($A43,'Data Vlaue (Cr)'!$C:$FB,8)</f>
        <v>387.2</v>
      </c>
      <c r="C43" s="50">
        <f>VLOOKUP($A43,'Data Vlaue (Cr)'!$C:$FB,11)*100</f>
        <v>-1.8900000000000001</v>
      </c>
      <c r="D43" s="50">
        <f>VLOOKUP($A43,'Data Vlaue (Cr)'!$C:$FB,143)</f>
        <v>1476.71</v>
      </c>
      <c r="E43" s="50">
        <f>VLOOKUP($A43,'Data Vlaue (Cr)'!$C:$FB,144)</f>
        <v>1125.3</v>
      </c>
      <c r="F43" s="50">
        <f>VLOOKUP($A43,'Data Vlaue (Cr)'!$C:$FB,146)*100</f>
        <v>31.230000000000004</v>
      </c>
      <c r="G43" s="49">
        <f>VLOOKUP($A43,'Data Vlaue (Cr)'!$C:$FB,43)</f>
        <v>310</v>
      </c>
      <c r="H43" s="49">
        <f>VLOOKUP($A43,'Data Vlaue (Cr)'!$C:$FB,44)</f>
        <v>224</v>
      </c>
      <c r="I43" s="49">
        <f>VLOOKUP($A43,'Data Vlaue (Cr)'!$C:$FB,46)*100</f>
        <v>38.200000000000003</v>
      </c>
      <c r="J43" s="51">
        <f>VLOOKUP($A43,'Data Vlaue (Cr)'!$C:$FB,59)</f>
        <v>706</v>
      </c>
      <c r="K43" s="51">
        <f>VLOOKUP($A43,'Data Vlaue (Cr)'!$C:$FB,60)</f>
        <v>568</v>
      </c>
      <c r="L43" s="51">
        <f>VLOOKUP($A43,'Data Vlaue (Cr)'!$C:$FB,62)*100</f>
        <v>24.16</v>
      </c>
      <c r="M43" s="51">
        <f>VLOOKUP($A43,'Data Vlaue (Cr)'!$C:$FB,63)</f>
        <v>419</v>
      </c>
      <c r="N43" s="51">
        <f>VLOOKUP($A43,'Data Vlaue (Cr)'!$C:$FB,64)</f>
        <v>287</v>
      </c>
      <c r="O43" s="51">
        <f>VLOOKUP($A43,'Data Vlaue (Cr)'!$C:$FB,66)*100</f>
        <v>45.96</v>
      </c>
    </row>
    <row r="44" spans="1:15" x14ac:dyDescent="0.25">
      <c r="A44" s="101" t="str">
        <f>'Data Vlaue (Cr)'!C39</f>
        <v>BLUESTARCO</v>
      </c>
      <c r="B44" s="50">
        <f>VLOOKUP($A44,'Data Vlaue (Cr)'!$C:$FB,8)</f>
        <v>1764.2</v>
      </c>
      <c r="C44" s="50">
        <f>VLOOKUP($A44,'Data Vlaue (Cr)'!$C:$FB,11)*100</f>
        <v>-3.04</v>
      </c>
      <c r="D44" s="50">
        <f>VLOOKUP($A44,'Data Vlaue (Cr)'!$C:$FB,143)</f>
        <v>1143.78</v>
      </c>
      <c r="E44" s="50">
        <f>VLOOKUP($A44,'Data Vlaue (Cr)'!$C:$FB,144)</f>
        <v>1087.28</v>
      </c>
      <c r="F44" s="50">
        <f>VLOOKUP($A44,'Data Vlaue (Cr)'!$C:$FB,146)*100</f>
        <v>5.2</v>
      </c>
      <c r="G44" s="49">
        <f>VLOOKUP($A44,'Data Vlaue (Cr)'!$C:$FB,43)</f>
        <v>186</v>
      </c>
      <c r="H44" s="49">
        <f>VLOOKUP($A44,'Data Vlaue (Cr)'!$C:$FB,44)</f>
        <v>90</v>
      </c>
      <c r="I44" s="49">
        <f>VLOOKUP($A44,'Data Vlaue (Cr)'!$C:$FB,46)*100</f>
        <v>106.19000000000001</v>
      </c>
      <c r="J44" s="51">
        <f>VLOOKUP($A44,'Data Vlaue (Cr)'!$C:$FB,59)</f>
        <v>498</v>
      </c>
      <c r="K44" s="51">
        <f>VLOOKUP($A44,'Data Vlaue (Cr)'!$C:$FB,60)</f>
        <v>351</v>
      </c>
      <c r="L44" s="51">
        <f>VLOOKUP($A44,'Data Vlaue (Cr)'!$C:$FB,62)*100</f>
        <v>41.79</v>
      </c>
      <c r="M44" s="51">
        <f>VLOOKUP($A44,'Data Vlaue (Cr)'!$C:$FB,63)</f>
        <v>423</v>
      </c>
      <c r="N44" s="51">
        <f>VLOOKUP($A44,'Data Vlaue (Cr)'!$C:$FB,64)</f>
        <v>622</v>
      </c>
      <c r="O44" s="51">
        <f>VLOOKUP($A44,'Data Vlaue (Cr)'!$C:$FB,66)*100</f>
        <v>-32.1</v>
      </c>
    </row>
    <row r="45" spans="1:15" x14ac:dyDescent="0.25">
      <c r="A45" s="101" t="str">
        <f>'Data Vlaue (Cr)'!C40</f>
        <v>BOSCHLTD</v>
      </c>
      <c r="B45" s="50">
        <f>VLOOKUP($A45,'Data Vlaue (Cr)'!$C:$FB,8)</f>
        <v>37755</v>
      </c>
      <c r="C45" s="50">
        <f>VLOOKUP($A45,'Data Vlaue (Cr)'!$C:$FB,11)*100</f>
        <v>-1.47</v>
      </c>
      <c r="D45" s="50">
        <f>VLOOKUP($A45,'Data Vlaue (Cr)'!$C:$FB,143)</f>
        <v>4424.0200000000004</v>
      </c>
      <c r="E45" s="50">
        <f>VLOOKUP($A45,'Data Vlaue (Cr)'!$C:$FB,144)</f>
        <v>3299.84</v>
      </c>
      <c r="F45" s="50">
        <f>VLOOKUP($A45,'Data Vlaue (Cr)'!$C:$FB,146)*100</f>
        <v>34.07</v>
      </c>
      <c r="G45" s="49">
        <f>VLOOKUP($A45,'Data Vlaue (Cr)'!$C:$FB,43)</f>
        <v>262</v>
      </c>
      <c r="H45" s="49">
        <f>VLOOKUP($A45,'Data Vlaue (Cr)'!$C:$FB,44)</f>
        <v>235</v>
      </c>
      <c r="I45" s="49">
        <f>VLOOKUP($A45,'Data Vlaue (Cr)'!$C:$FB,46)*100</f>
        <v>11.15</v>
      </c>
      <c r="J45" s="51">
        <f>VLOOKUP($A45,'Data Vlaue (Cr)'!$C:$FB,59)</f>
        <v>2659</v>
      </c>
      <c r="K45" s="51">
        <f>VLOOKUP($A45,'Data Vlaue (Cr)'!$C:$FB,60)</f>
        <v>2124</v>
      </c>
      <c r="L45" s="51">
        <f>VLOOKUP($A45,'Data Vlaue (Cr)'!$C:$FB,62)*100</f>
        <v>25.15</v>
      </c>
      <c r="M45" s="51">
        <f>VLOOKUP($A45,'Data Vlaue (Cr)'!$C:$FB,63)</f>
        <v>1370</v>
      </c>
      <c r="N45" s="51">
        <f>VLOOKUP($A45,'Data Vlaue (Cr)'!$C:$FB,64)</f>
        <v>786</v>
      </c>
      <c r="O45" s="51">
        <f>VLOOKUP($A45,'Data Vlaue (Cr)'!$C:$FB,66)*100</f>
        <v>74.2</v>
      </c>
    </row>
    <row r="46" spans="1:15" x14ac:dyDescent="0.25">
      <c r="A46" s="101" t="str">
        <f>'Data Vlaue (Cr)'!C41</f>
        <v>BPCL</v>
      </c>
      <c r="B46" s="50">
        <f>VLOOKUP($A46,'Data Vlaue (Cr)'!$C:$FB,8)</f>
        <v>340.35</v>
      </c>
      <c r="C46" s="50">
        <f>VLOOKUP($A46,'Data Vlaue (Cr)'!$C:$FB,11)*100</f>
        <v>-0.66</v>
      </c>
      <c r="D46" s="50">
        <f>VLOOKUP($A46,'Data Vlaue (Cr)'!$C:$FB,143)</f>
        <v>839.65</v>
      </c>
      <c r="E46" s="50">
        <f>VLOOKUP($A46,'Data Vlaue (Cr)'!$C:$FB,144)</f>
        <v>872</v>
      </c>
      <c r="F46" s="50">
        <f>VLOOKUP($A46,'Data Vlaue (Cr)'!$C:$FB,146)*100</f>
        <v>-3.71</v>
      </c>
      <c r="G46" s="49">
        <f>VLOOKUP($A46,'Data Vlaue (Cr)'!$C:$FB,43)</f>
        <v>203</v>
      </c>
      <c r="H46" s="49">
        <f>VLOOKUP($A46,'Data Vlaue (Cr)'!$C:$FB,44)</f>
        <v>185</v>
      </c>
      <c r="I46" s="49">
        <f>VLOOKUP($A46,'Data Vlaue (Cr)'!$C:$FB,46)*100</f>
        <v>9.7900000000000009</v>
      </c>
      <c r="J46" s="51">
        <f>VLOOKUP($A46,'Data Vlaue (Cr)'!$C:$FB,59)</f>
        <v>399</v>
      </c>
      <c r="K46" s="51">
        <f>VLOOKUP($A46,'Data Vlaue (Cr)'!$C:$FB,60)</f>
        <v>402</v>
      </c>
      <c r="L46" s="51">
        <f>VLOOKUP($A46,'Data Vlaue (Cr)'!$C:$FB,62)*100</f>
        <v>-0.86</v>
      </c>
      <c r="M46" s="51">
        <f>VLOOKUP($A46,'Data Vlaue (Cr)'!$C:$FB,63)</f>
        <v>215</v>
      </c>
      <c r="N46" s="51">
        <f>VLOOKUP($A46,'Data Vlaue (Cr)'!$C:$FB,64)</f>
        <v>263</v>
      </c>
      <c r="O46" s="51">
        <f>VLOOKUP($A46,'Data Vlaue (Cr)'!$C:$FB,66)*100</f>
        <v>-18.3</v>
      </c>
    </row>
    <row r="47" spans="1:15" x14ac:dyDescent="0.25">
      <c r="A47" s="101" t="str">
        <f>'Data Vlaue (Cr)'!C42</f>
        <v>BRITANNIA</v>
      </c>
      <c r="B47" s="50">
        <f>VLOOKUP($A47,'Data Vlaue (Cr)'!$C:$FB,8)</f>
        <v>5708.5</v>
      </c>
      <c r="C47" s="50">
        <f>VLOOKUP($A47,'Data Vlaue (Cr)'!$C:$FB,11)*100</f>
        <v>0.48</v>
      </c>
      <c r="D47" s="50">
        <f>VLOOKUP($A47,'Data Vlaue (Cr)'!$C:$FB,143)</f>
        <v>1258.48</v>
      </c>
      <c r="E47" s="50">
        <f>VLOOKUP($A47,'Data Vlaue (Cr)'!$C:$FB,144)</f>
        <v>889.41</v>
      </c>
      <c r="F47" s="50">
        <f>VLOOKUP($A47,'Data Vlaue (Cr)'!$C:$FB,146)*100</f>
        <v>41.5</v>
      </c>
      <c r="G47" s="49">
        <f>VLOOKUP($A47,'Data Vlaue (Cr)'!$C:$FB,43)</f>
        <v>199</v>
      </c>
      <c r="H47" s="49">
        <f>VLOOKUP($A47,'Data Vlaue (Cr)'!$C:$FB,44)</f>
        <v>196</v>
      </c>
      <c r="I47" s="49">
        <f>VLOOKUP($A47,'Data Vlaue (Cr)'!$C:$FB,46)*100</f>
        <v>1.5699999999999998</v>
      </c>
      <c r="J47" s="51">
        <f>VLOOKUP($A47,'Data Vlaue (Cr)'!$C:$FB,59)</f>
        <v>668</v>
      </c>
      <c r="K47" s="51">
        <f>VLOOKUP($A47,'Data Vlaue (Cr)'!$C:$FB,60)</f>
        <v>447</v>
      </c>
      <c r="L47" s="51">
        <f>VLOOKUP($A47,'Data Vlaue (Cr)'!$C:$FB,62)*100</f>
        <v>49.35</v>
      </c>
      <c r="M47" s="51">
        <f>VLOOKUP($A47,'Data Vlaue (Cr)'!$C:$FB,63)</f>
        <v>377</v>
      </c>
      <c r="N47" s="51">
        <f>VLOOKUP($A47,'Data Vlaue (Cr)'!$C:$FB,64)</f>
        <v>234</v>
      </c>
      <c r="O47" s="51">
        <f>VLOOKUP($A47,'Data Vlaue (Cr)'!$C:$FB,66)*100</f>
        <v>60.980000000000004</v>
      </c>
    </row>
    <row r="48" spans="1:15" x14ac:dyDescent="0.25">
      <c r="A48" s="101" t="str">
        <f>'Data Vlaue (Cr)'!C43</f>
        <v>BSE</v>
      </c>
      <c r="B48" s="50">
        <f>VLOOKUP($A48,'Data Vlaue (Cr)'!$C:$FB,8)</f>
        <v>2548.4</v>
      </c>
      <c r="C48" s="50">
        <f>VLOOKUP($A48,'Data Vlaue (Cr)'!$C:$FB,11)*100</f>
        <v>1.0699999999999998</v>
      </c>
      <c r="D48" s="50">
        <f>VLOOKUP($A48,'Data Vlaue (Cr)'!$C:$FB,143)</f>
        <v>9132.8799999999992</v>
      </c>
      <c r="E48" s="50">
        <f>VLOOKUP($A48,'Data Vlaue (Cr)'!$C:$FB,144)</f>
        <v>16504.97</v>
      </c>
      <c r="F48" s="50">
        <f>VLOOKUP($A48,'Data Vlaue (Cr)'!$C:$FB,146)*100</f>
        <v>-44.67</v>
      </c>
      <c r="G48" s="49">
        <f>VLOOKUP($A48,'Data Vlaue (Cr)'!$C:$FB,43)</f>
        <v>782</v>
      </c>
      <c r="H48" s="49">
        <f>VLOOKUP($A48,'Data Vlaue (Cr)'!$C:$FB,44)</f>
        <v>1232</v>
      </c>
      <c r="I48" s="49">
        <f>VLOOKUP($A48,'Data Vlaue (Cr)'!$C:$FB,46)*100</f>
        <v>-36.54</v>
      </c>
      <c r="J48" s="51">
        <f>VLOOKUP($A48,'Data Vlaue (Cr)'!$C:$FB,59)</f>
        <v>5278</v>
      </c>
      <c r="K48" s="51">
        <f>VLOOKUP($A48,'Data Vlaue (Cr)'!$C:$FB,60)</f>
        <v>10367</v>
      </c>
      <c r="L48" s="51">
        <f>VLOOKUP($A48,'Data Vlaue (Cr)'!$C:$FB,62)*100</f>
        <v>-49.08</v>
      </c>
      <c r="M48" s="51">
        <f>VLOOKUP($A48,'Data Vlaue (Cr)'!$C:$FB,63)</f>
        <v>2771</v>
      </c>
      <c r="N48" s="51">
        <f>VLOOKUP($A48,'Data Vlaue (Cr)'!$C:$FB,64)</f>
        <v>4485</v>
      </c>
      <c r="O48" s="51">
        <f>VLOOKUP($A48,'Data Vlaue (Cr)'!$C:$FB,66)*100</f>
        <v>-38.229999999999997</v>
      </c>
    </row>
    <row r="49" spans="1:15" x14ac:dyDescent="0.25">
      <c r="A49" s="101" t="str">
        <f>'Data Vlaue (Cr)'!C44</f>
        <v>BSOFT</v>
      </c>
      <c r="B49" s="50">
        <f>VLOOKUP($A49,'Data Vlaue (Cr)'!$C:$FB,8)</f>
        <v>404.3</v>
      </c>
      <c r="C49" s="50">
        <f>VLOOKUP($A49,'Data Vlaue (Cr)'!$C:$FB,11)*100</f>
        <v>-2.96</v>
      </c>
      <c r="D49" s="50">
        <f>VLOOKUP($A49,'Data Vlaue (Cr)'!$C:$FB,143)</f>
        <v>537.54</v>
      </c>
      <c r="E49" s="50">
        <f>VLOOKUP($A49,'Data Vlaue (Cr)'!$C:$FB,144)</f>
        <v>203.49</v>
      </c>
      <c r="F49" s="50">
        <f>VLOOKUP($A49,'Data Vlaue (Cr)'!$C:$FB,146)*100</f>
        <v>164.16</v>
      </c>
      <c r="G49" s="49">
        <f>VLOOKUP($A49,'Data Vlaue (Cr)'!$C:$FB,43)</f>
        <v>61</v>
      </c>
      <c r="H49" s="49">
        <f>VLOOKUP($A49,'Data Vlaue (Cr)'!$C:$FB,44)</f>
        <v>31</v>
      </c>
      <c r="I49" s="49">
        <f>VLOOKUP($A49,'Data Vlaue (Cr)'!$C:$FB,46)*100</f>
        <v>95.309999999999988</v>
      </c>
      <c r="J49" s="51">
        <f>VLOOKUP($A49,'Data Vlaue (Cr)'!$C:$FB,59)</f>
        <v>354</v>
      </c>
      <c r="K49" s="51">
        <f>VLOOKUP($A49,'Data Vlaue (Cr)'!$C:$FB,60)</f>
        <v>126</v>
      </c>
      <c r="L49" s="51">
        <f>VLOOKUP($A49,'Data Vlaue (Cr)'!$C:$FB,62)*100</f>
        <v>180.33999999999997</v>
      </c>
      <c r="M49" s="51">
        <f>VLOOKUP($A49,'Data Vlaue (Cr)'!$C:$FB,63)</f>
        <v>86</v>
      </c>
      <c r="N49" s="51">
        <f>VLOOKUP($A49,'Data Vlaue (Cr)'!$C:$FB,64)</f>
        <v>30</v>
      </c>
      <c r="O49" s="51">
        <f>VLOOKUP($A49,'Data Vlaue (Cr)'!$C:$FB,66)*100</f>
        <v>187.08</v>
      </c>
    </row>
    <row r="50" spans="1:15" x14ac:dyDescent="0.25">
      <c r="A50" s="101" t="str">
        <f>'Data Vlaue (Cr)'!C45</f>
        <v>CAMS</v>
      </c>
      <c r="B50" s="50">
        <f>VLOOKUP($A50,'Data Vlaue (Cr)'!$C:$FB,8)</f>
        <v>4247.5</v>
      </c>
      <c r="C50" s="50">
        <f>VLOOKUP($A50,'Data Vlaue (Cr)'!$C:$FB,11)*100</f>
        <v>0</v>
      </c>
      <c r="D50" s="50">
        <f>VLOOKUP($A50,'Data Vlaue (Cr)'!$C:$FB,143)</f>
        <v>664.8</v>
      </c>
      <c r="E50" s="50">
        <f>VLOOKUP($A50,'Data Vlaue (Cr)'!$C:$FB,144)</f>
        <v>579.79</v>
      </c>
      <c r="F50" s="50">
        <f>VLOOKUP($A50,'Data Vlaue (Cr)'!$C:$FB,146)*100</f>
        <v>14.66</v>
      </c>
      <c r="G50" s="49">
        <f>VLOOKUP($A50,'Data Vlaue (Cr)'!$C:$FB,43)</f>
        <v>137</v>
      </c>
      <c r="H50" s="49">
        <f>VLOOKUP($A50,'Data Vlaue (Cr)'!$C:$FB,44)</f>
        <v>115</v>
      </c>
      <c r="I50" s="49">
        <f>VLOOKUP($A50,'Data Vlaue (Cr)'!$C:$FB,46)*100</f>
        <v>19.3</v>
      </c>
      <c r="J50" s="51">
        <f>VLOOKUP($A50,'Data Vlaue (Cr)'!$C:$FB,59)</f>
        <v>372</v>
      </c>
      <c r="K50" s="51">
        <f>VLOOKUP($A50,'Data Vlaue (Cr)'!$C:$FB,60)</f>
        <v>305</v>
      </c>
      <c r="L50" s="51">
        <f>VLOOKUP($A50,'Data Vlaue (Cr)'!$C:$FB,62)*100</f>
        <v>21.95</v>
      </c>
      <c r="M50" s="51">
        <f>VLOOKUP($A50,'Data Vlaue (Cr)'!$C:$FB,63)</f>
        <v>147</v>
      </c>
      <c r="N50" s="51">
        <f>VLOOKUP($A50,'Data Vlaue (Cr)'!$C:$FB,64)</f>
        <v>153</v>
      </c>
      <c r="O50" s="51">
        <f>VLOOKUP($A50,'Data Vlaue (Cr)'!$C:$FB,66)*100</f>
        <v>-3.8899999999999997</v>
      </c>
    </row>
    <row r="51" spans="1:15" x14ac:dyDescent="0.25">
      <c r="A51" s="101" t="str">
        <f>'Data Vlaue (Cr)'!C46</f>
        <v>CANBK</v>
      </c>
      <c r="B51" s="50">
        <f>VLOOKUP($A51,'Data Vlaue (Cr)'!$C:$FB,8)</f>
        <v>108.05</v>
      </c>
      <c r="C51" s="50">
        <f>VLOOKUP($A51,'Data Vlaue (Cr)'!$C:$FB,11)*100</f>
        <v>-3.55</v>
      </c>
      <c r="D51" s="50">
        <f>VLOOKUP($A51,'Data Vlaue (Cr)'!$C:$FB,143)</f>
        <v>5615.73</v>
      </c>
      <c r="E51" s="50">
        <f>VLOOKUP($A51,'Data Vlaue (Cr)'!$C:$FB,144)</f>
        <v>4847.7</v>
      </c>
      <c r="F51" s="50">
        <f>VLOOKUP($A51,'Data Vlaue (Cr)'!$C:$FB,146)*100</f>
        <v>15.840000000000002</v>
      </c>
      <c r="G51" s="49">
        <f>VLOOKUP($A51,'Data Vlaue (Cr)'!$C:$FB,43)</f>
        <v>1075</v>
      </c>
      <c r="H51" s="49">
        <f>VLOOKUP($A51,'Data Vlaue (Cr)'!$C:$FB,44)</f>
        <v>817</v>
      </c>
      <c r="I51" s="49">
        <f>VLOOKUP($A51,'Data Vlaue (Cr)'!$C:$FB,46)*100</f>
        <v>31.619999999999997</v>
      </c>
      <c r="J51" s="51">
        <f>VLOOKUP($A51,'Data Vlaue (Cr)'!$C:$FB,59)</f>
        <v>2887</v>
      </c>
      <c r="K51" s="51">
        <f>VLOOKUP($A51,'Data Vlaue (Cr)'!$C:$FB,60)</f>
        <v>2636</v>
      </c>
      <c r="L51" s="51">
        <f>VLOOKUP($A51,'Data Vlaue (Cr)'!$C:$FB,62)*100</f>
        <v>9.5</v>
      </c>
      <c r="M51" s="51">
        <f>VLOOKUP($A51,'Data Vlaue (Cr)'!$C:$FB,63)</f>
        <v>1370</v>
      </c>
      <c r="N51" s="51">
        <f>VLOOKUP($A51,'Data Vlaue (Cr)'!$C:$FB,64)</f>
        <v>1028</v>
      </c>
      <c r="O51" s="51">
        <f>VLOOKUP($A51,'Data Vlaue (Cr)'!$C:$FB,66)*100</f>
        <v>33.200000000000003</v>
      </c>
    </row>
    <row r="52" spans="1:15" x14ac:dyDescent="0.25">
      <c r="A52" s="101" t="str">
        <f>'Data Vlaue (Cr)'!C47</f>
        <v>CDSL</v>
      </c>
      <c r="B52" s="50">
        <f>VLOOKUP($A52,'Data Vlaue (Cr)'!$C:$FB,8)</f>
        <v>1714.7</v>
      </c>
      <c r="C52" s="50">
        <f>VLOOKUP($A52,'Data Vlaue (Cr)'!$C:$FB,11)*100</f>
        <v>-0.97</v>
      </c>
      <c r="D52" s="50">
        <f>VLOOKUP($A52,'Data Vlaue (Cr)'!$C:$FB,143)</f>
        <v>3037.07</v>
      </c>
      <c r="E52" s="50">
        <f>VLOOKUP($A52,'Data Vlaue (Cr)'!$C:$FB,144)</f>
        <v>2567.23</v>
      </c>
      <c r="F52" s="50">
        <f>VLOOKUP($A52,'Data Vlaue (Cr)'!$C:$FB,146)*100</f>
        <v>18.3</v>
      </c>
      <c r="G52" s="49">
        <f>VLOOKUP($A52,'Data Vlaue (Cr)'!$C:$FB,43)</f>
        <v>493</v>
      </c>
      <c r="H52" s="49">
        <f>VLOOKUP($A52,'Data Vlaue (Cr)'!$C:$FB,44)</f>
        <v>423</v>
      </c>
      <c r="I52" s="49">
        <f>VLOOKUP($A52,'Data Vlaue (Cr)'!$C:$FB,46)*100</f>
        <v>16.38</v>
      </c>
      <c r="J52" s="51">
        <f>VLOOKUP($A52,'Data Vlaue (Cr)'!$C:$FB,59)</f>
        <v>1820</v>
      </c>
      <c r="K52" s="51">
        <f>VLOOKUP($A52,'Data Vlaue (Cr)'!$C:$FB,60)</f>
        <v>1478</v>
      </c>
      <c r="L52" s="51">
        <f>VLOOKUP($A52,'Data Vlaue (Cr)'!$C:$FB,62)*100</f>
        <v>23.1</v>
      </c>
      <c r="M52" s="51">
        <f>VLOOKUP($A52,'Data Vlaue (Cr)'!$C:$FB,63)</f>
        <v>608</v>
      </c>
      <c r="N52" s="51">
        <f>VLOOKUP($A52,'Data Vlaue (Cr)'!$C:$FB,64)</f>
        <v>592</v>
      </c>
      <c r="O52" s="51">
        <f>VLOOKUP($A52,'Data Vlaue (Cr)'!$C:$FB,66)*100</f>
        <v>2.8000000000000003</v>
      </c>
    </row>
    <row r="53" spans="1:15" x14ac:dyDescent="0.25">
      <c r="A53" s="101" t="str">
        <f>'Data Vlaue (Cr)'!C48</f>
        <v>CESC</v>
      </c>
      <c r="B53" s="50">
        <f>VLOOKUP($A53,'Data Vlaue (Cr)'!$C:$FB,8)</f>
        <v>177.93</v>
      </c>
      <c r="C53" s="50">
        <f>VLOOKUP($A53,'Data Vlaue (Cr)'!$C:$FB,11)*100</f>
        <v>-0.5</v>
      </c>
      <c r="D53" s="50">
        <f>VLOOKUP($A53,'Data Vlaue (Cr)'!$C:$FB,143)</f>
        <v>112.25</v>
      </c>
      <c r="E53" s="50">
        <f>VLOOKUP($A53,'Data Vlaue (Cr)'!$C:$FB,144)</f>
        <v>301.98</v>
      </c>
      <c r="F53" s="50">
        <f>VLOOKUP($A53,'Data Vlaue (Cr)'!$C:$FB,146)*100</f>
        <v>-62.83</v>
      </c>
      <c r="G53" s="49">
        <f>VLOOKUP($A53,'Data Vlaue (Cr)'!$C:$FB,43)</f>
        <v>38</v>
      </c>
      <c r="H53" s="49">
        <f>VLOOKUP($A53,'Data Vlaue (Cr)'!$C:$FB,44)</f>
        <v>80</v>
      </c>
      <c r="I53" s="49">
        <f>VLOOKUP($A53,'Data Vlaue (Cr)'!$C:$FB,46)*100</f>
        <v>-52.5</v>
      </c>
      <c r="J53" s="51">
        <f>VLOOKUP($A53,'Data Vlaue (Cr)'!$C:$FB,59)</f>
        <v>57</v>
      </c>
      <c r="K53" s="51">
        <f>VLOOKUP($A53,'Data Vlaue (Cr)'!$C:$FB,60)</f>
        <v>156</v>
      </c>
      <c r="L53" s="51">
        <f>VLOOKUP($A53,'Data Vlaue (Cr)'!$C:$FB,62)*100</f>
        <v>-63.61</v>
      </c>
      <c r="M53" s="51">
        <f>VLOOKUP($A53,'Data Vlaue (Cr)'!$C:$FB,63)</f>
        <v>14</v>
      </c>
      <c r="N53" s="51">
        <f>VLOOKUP($A53,'Data Vlaue (Cr)'!$C:$FB,64)</f>
        <v>59</v>
      </c>
      <c r="O53" s="51">
        <f>VLOOKUP($A53,'Data Vlaue (Cr)'!$C:$FB,66)*100</f>
        <v>-75.990000000000009</v>
      </c>
    </row>
    <row r="54" spans="1:15" x14ac:dyDescent="0.25">
      <c r="A54" s="101" t="str">
        <f>'Data Vlaue (Cr)'!C49</f>
        <v>CGPOWER</v>
      </c>
      <c r="B54" s="50">
        <f>VLOOKUP($A54,'Data Vlaue (Cr)'!$C:$FB,8)</f>
        <v>683.8</v>
      </c>
      <c r="C54" s="50">
        <f>VLOOKUP($A54,'Data Vlaue (Cr)'!$C:$FB,11)*100</f>
        <v>0.45999999999999996</v>
      </c>
      <c r="D54" s="50">
        <f>VLOOKUP($A54,'Data Vlaue (Cr)'!$C:$FB,143)</f>
        <v>900.44</v>
      </c>
      <c r="E54" s="50">
        <f>VLOOKUP($A54,'Data Vlaue (Cr)'!$C:$FB,144)</f>
        <v>850.94</v>
      </c>
      <c r="F54" s="50">
        <f>VLOOKUP($A54,'Data Vlaue (Cr)'!$C:$FB,146)*100</f>
        <v>5.82</v>
      </c>
      <c r="G54" s="49">
        <f>VLOOKUP($A54,'Data Vlaue (Cr)'!$C:$FB,43)</f>
        <v>276</v>
      </c>
      <c r="H54" s="49">
        <f>VLOOKUP($A54,'Data Vlaue (Cr)'!$C:$FB,44)</f>
        <v>274</v>
      </c>
      <c r="I54" s="49">
        <f>VLOOKUP($A54,'Data Vlaue (Cr)'!$C:$FB,46)*100</f>
        <v>0.85000000000000009</v>
      </c>
      <c r="J54" s="51">
        <f>VLOOKUP($A54,'Data Vlaue (Cr)'!$C:$FB,59)</f>
        <v>453</v>
      </c>
      <c r="K54" s="51">
        <f>VLOOKUP($A54,'Data Vlaue (Cr)'!$C:$FB,60)</f>
        <v>426</v>
      </c>
      <c r="L54" s="51">
        <f>VLOOKUP($A54,'Data Vlaue (Cr)'!$C:$FB,62)*100</f>
        <v>6.4600000000000009</v>
      </c>
      <c r="M54" s="51">
        <f>VLOOKUP($A54,'Data Vlaue (Cr)'!$C:$FB,63)</f>
        <v>159</v>
      </c>
      <c r="N54" s="51">
        <f>VLOOKUP($A54,'Data Vlaue (Cr)'!$C:$FB,64)</f>
        <v>143</v>
      </c>
      <c r="O54" s="51">
        <f>VLOOKUP($A54,'Data Vlaue (Cr)'!$C:$FB,66)*100</f>
        <v>11.14</v>
      </c>
    </row>
    <row r="55" spans="1:15" x14ac:dyDescent="0.25">
      <c r="A55" s="101" t="str">
        <f>'Data Vlaue (Cr)'!C50</f>
        <v>CHAMBLFERT</v>
      </c>
      <c r="B55" s="50">
        <f>VLOOKUP($A55,'Data Vlaue (Cr)'!$C:$FB,8)</f>
        <v>550.20000000000005</v>
      </c>
      <c r="C55" s="50">
        <f>VLOOKUP($A55,'Data Vlaue (Cr)'!$C:$FB,11)*100</f>
        <v>-0.27</v>
      </c>
      <c r="D55" s="50">
        <f>VLOOKUP($A55,'Data Vlaue (Cr)'!$C:$FB,143)</f>
        <v>237.08</v>
      </c>
      <c r="E55" s="50">
        <f>VLOOKUP($A55,'Data Vlaue (Cr)'!$C:$FB,144)</f>
        <v>319.42</v>
      </c>
      <c r="F55" s="50">
        <f>VLOOKUP($A55,'Data Vlaue (Cr)'!$C:$FB,146)*100</f>
        <v>-25.779999999999998</v>
      </c>
      <c r="G55" s="49">
        <f>VLOOKUP($A55,'Data Vlaue (Cr)'!$C:$FB,43)</f>
        <v>66</v>
      </c>
      <c r="H55" s="49">
        <f>VLOOKUP($A55,'Data Vlaue (Cr)'!$C:$FB,44)</f>
        <v>84</v>
      </c>
      <c r="I55" s="49">
        <f>VLOOKUP($A55,'Data Vlaue (Cr)'!$C:$FB,46)*100</f>
        <v>-22.16</v>
      </c>
      <c r="J55" s="51">
        <f>VLOOKUP($A55,'Data Vlaue (Cr)'!$C:$FB,59)</f>
        <v>130</v>
      </c>
      <c r="K55" s="51">
        <f>VLOOKUP($A55,'Data Vlaue (Cr)'!$C:$FB,60)</f>
        <v>165</v>
      </c>
      <c r="L55" s="51">
        <f>VLOOKUP($A55,'Data Vlaue (Cr)'!$C:$FB,62)*100</f>
        <v>-21.21</v>
      </c>
      <c r="M55" s="51">
        <f>VLOOKUP($A55,'Data Vlaue (Cr)'!$C:$FB,63)</f>
        <v>35</v>
      </c>
      <c r="N55" s="51">
        <f>VLOOKUP($A55,'Data Vlaue (Cr)'!$C:$FB,64)</f>
        <v>63</v>
      </c>
      <c r="O55" s="51">
        <f>VLOOKUP($A55,'Data Vlaue (Cr)'!$C:$FB,66)*100</f>
        <v>-43.97</v>
      </c>
    </row>
    <row r="56" spans="1:15" x14ac:dyDescent="0.25">
      <c r="A56" s="101" t="str">
        <f>'Data Vlaue (Cr)'!C51</f>
        <v>CHOLAFIN</v>
      </c>
      <c r="B56" s="50">
        <f>VLOOKUP($A56,'Data Vlaue (Cr)'!$C:$FB,8)</f>
        <v>1565.4</v>
      </c>
      <c r="C56" s="50">
        <f>VLOOKUP($A56,'Data Vlaue (Cr)'!$C:$FB,11)*100</f>
        <v>-0.53</v>
      </c>
      <c r="D56" s="50">
        <f>VLOOKUP($A56,'Data Vlaue (Cr)'!$C:$FB,143)</f>
        <v>743.04</v>
      </c>
      <c r="E56" s="50">
        <f>VLOOKUP($A56,'Data Vlaue (Cr)'!$C:$FB,144)</f>
        <v>2017.74</v>
      </c>
      <c r="F56" s="50">
        <f>VLOOKUP($A56,'Data Vlaue (Cr)'!$C:$FB,146)*100</f>
        <v>-63.17</v>
      </c>
      <c r="G56" s="49">
        <f>VLOOKUP($A56,'Data Vlaue (Cr)'!$C:$FB,43)</f>
        <v>206</v>
      </c>
      <c r="H56" s="49">
        <f>VLOOKUP($A56,'Data Vlaue (Cr)'!$C:$FB,44)</f>
        <v>652</v>
      </c>
      <c r="I56" s="49">
        <f>VLOOKUP($A56,'Data Vlaue (Cr)'!$C:$FB,46)*100</f>
        <v>-68.430000000000007</v>
      </c>
      <c r="J56" s="51">
        <f>VLOOKUP($A56,'Data Vlaue (Cr)'!$C:$FB,59)</f>
        <v>352</v>
      </c>
      <c r="K56" s="51">
        <f>VLOOKUP($A56,'Data Vlaue (Cr)'!$C:$FB,60)</f>
        <v>882</v>
      </c>
      <c r="L56" s="51">
        <f>VLOOKUP($A56,'Data Vlaue (Cr)'!$C:$FB,62)*100</f>
        <v>-60.140000000000008</v>
      </c>
      <c r="M56" s="51">
        <f>VLOOKUP($A56,'Data Vlaue (Cr)'!$C:$FB,63)</f>
        <v>175</v>
      </c>
      <c r="N56" s="51">
        <f>VLOOKUP($A56,'Data Vlaue (Cr)'!$C:$FB,64)</f>
        <v>468</v>
      </c>
      <c r="O56" s="51">
        <f>VLOOKUP($A56,'Data Vlaue (Cr)'!$C:$FB,66)*100</f>
        <v>-62.6</v>
      </c>
    </row>
    <row r="57" spans="1:15" x14ac:dyDescent="0.25">
      <c r="A57" s="101" t="str">
        <f>'Data Vlaue (Cr)'!C52</f>
        <v>CIPLA</v>
      </c>
      <c r="B57" s="50">
        <f>VLOOKUP($A57,'Data Vlaue (Cr)'!$C:$FB,8)</f>
        <v>1464.4</v>
      </c>
      <c r="C57" s="50">
        <f>VLOOKUP($A57,'Data Vlaue (Cr)'!$C:$FB,11)*100</f>
        <v>-0.64</v>
      </c>
      <c r="D57" s="50">
        <f>VLOOKUP($A57,'Data Vlaue (Cr)'!$C:$FB,143)</f>
        <v>1029.51</v>
      </c>
      <c r="E57" s="50">
        <f>VLOOKUP($A57,'Data Vlaue (Cr)'!$C:$FB,144)</f>
        <v>593.15</v>
      </c>
      <c r="F57" s="50">
        <f>VLOOKUP($A57,'Data Vlaue (Cr)'!$C:$FB,146)*100</f>
        <v>73.570000000000007</v>
      </c>
      <c r="G57" s="49">
        <f>VLOOKUP($A57,'Data Vlaue (Cr)'!$C:$FB,43)</f>
        <v>241</v>
      </c>
      <c r="H57" s="49">
        <f>VLOOKUP($A57,'Data Vlaue (Cr)'!$C:$FB,44)</f>
        <v>168</v>
      </c>
      <c r="I57" s="49">
        <f>VLOOKUP($A57,'Data Vlaue (Cr)'!$C:$FB,46)*100</f>
        <v>42.9</v>
      </c>
      <c r="J57" s="51">
        <f>VLOOKUP($A57,'Data Vlaue (Cr)'!$C:$FB,59)</f>
        <v>451</v>
      </c>
      <c r="K57" s="51">
        <f>VLOOKUP($A57,'Data Vlaue (Cr)'!$C:$FB,60)</f>
        <v>254</v>
      </c>
      <c r="L57" s="51">
        <f>VLOOKUP($A57,'Data Vlaue (Cr)'!$C:$FB,62)*100</f>
        <v>77.17</v>
      </c>
      <c r="M57" s="51">
        <f>VLOOKUP($A57,'Data Vlaue (Cr)'!$C:$FB,63)</f>
        <v>322</v>
      </c>
      <c r="N57" s="51">
        <f>VLOOKUP($A57,'Data Vlaue (Cr)'!$C:$FB,64)</f>
        <v>158</v>
      </c>
      <c r="O57" s="51">
        <f>VLOOKUP($A57,'Data Vlaue (Cr)'!$C:$FB,66)*100</f>
        <v>103.50999999999999</v>
      </c>
    </row>
    <row r="58" spans="1:15" x14ac:dyDescent="0.25">
      <c r="A58" s="101" t="str">
        <f>'Data Vlaue (Cr)'!C53</f>
        <v>COALINDIA</v>
      </c>
      <c r="B58" s="50">
        <f>VLOOKUP($A58,'Data Vlaue (Cr)'!$C:$FB,8)</f>
        <v>389.1</v>
      </c>
      <c r="C58" s="50">
        <f>VLOOKUP($A58,'Data Vlaue (Cr)'!$C:$FB,11)*100</f>
        <v>0.59</v>
      </c>
      <c r="D58" s="50">
        <f>VLOOKUP($A58,'Data Vlaue (Cr)'!$C:$FB,143)</f>
        <v>2485.8200000000002</v>
      </c>
      <c r="E58" s="50">
        <f>VLOOKUP($A58,'Data Vlaue (Cr)'!$C:$FB,144)</f>
        <v>1657.4</v>
      </c>
      <c r="F58" s="50">
        <f>VLOOKUP($A58,'Data Vlaue (Cr)'!$C:$FB,146)*100</f>
        <v>49.980000000000004</v>
      </c>
      <c r="G58" s="49">
        <f>VLOOKUP($A58,'Data Vlaue (Cr)'!$C:$FB,43)</f>
        <v>403</v>
      </c>
      <c r="H58" s="49">
        <f>VLOOKUP($A58,'Data Vlaue (Cr)'!$C:$FB,44)</f>
        <v>354</v>
      </c>
      <c r="I58" s="49">
        <f>VLOOKUP($A58,'Data Vlaue (Cr)'!$C:$FB,46)*100</f>
        <v>13.84</v>
      </c>
      <c r="J58" s="51">
        <f>VLOOKUP($A58,'Data Vlaue (Cr)'!$C:$FB,59)</f>
        <v>1338</v>
      </c>
      <c r="K58" s="51">
        <f>VLOOKUP($A58,'Data Vlaue (Cr)'!$C:$FB,60)</f>
        <v>772</v>
      </c>
      <c r="L58" s="51">
        <f>VLOOKUP($A58,'Data Vlaue (Cr)'!$C:$FB,62)*100</f>
        <v>73.460000000000008</v>
      </c>
      <c r="M58" s="51">
        <f>VLOOKUP($A58,'Data Vlaue (Cr)'!$C:$FB,63)</f>
        <v>705</v>
      </c>
      <c r="N58" s="51">
        <f>VLOOKUP($A58,'Data Vlaue (Cr)'!$C:$FB,64)</f>
        <v>491</v>
      </c>
      <c r="O58" s="51">
        <f>VLOOKUP($A58,'Data Vlaue (Cr)'!$C:$FB,66)*100</f>
        <v>43.64</v>
      </c>
    </row>
    <row r="59" spans="1:15" x14ac:dyDescent="0.25">
      <c r="A59" s="101" t="str">
        <f>'Data Vlaue (Cr)'!C54</f>
        <v>COFORGE</v>
      </c>
      <c r="B59" s="50">
        <f>VLOOKUP($A59,'Data Vlaue (Cr)'!$C:$FB,8)</f>
        <v>1858.4</v>
      </c>
      <c r="C59" s="50">
        <f>VLOOKUP($A59,'Data Vlaue (Cr)'!$C:$FB,11)*100</f>
        <v>-0.85000000000000009</v>
      </c>
      <c r="D59" s="50">
        <f>VLOOKUP($A59,'Data Vlaue (Cr)'!$C:$FB,143)</f>
        <v>1562.81</v>
      </c>
      <c r="E59" s="50">
        <f>VLOOKUP($A59,'Data Vlaue (Cr)'!$C:$FB,144)</f>
        <v>1224.45</v>
      </c>
      <c r="F59" s="50">
        <f>VLOOKUP($A59,'Data Vlaue (Cr)'!$C:$FB,146)*100</f>
        <v>27.63</v>
      </c>
      <c r="G59" s="49">
        <f>VLOOKUP($A59,'Data Vlaue (Cr)'!$C:$FB,43)</f>
        <v>422</v>
      </c>
      <c r="H59" s="49">
        <f>VLOOKUP($A59,'Data Vlaue (Cr)'!$C:$FB,44)</f>
        <v>320</v>
      </c>
      <c r="I59" s="49">
        <f>VLOOKUP($A59,'Data Vlaue (Cr)'!$C:$FB,46)*100</f>
        <v>31.830000000000002</v>
      </c>
      <c r="J59" s="51">
        <f>VLOOKUP($A59,'Data Vlaue (Cr)'!$C:$FB,59)</f>
        <v>806</v>
      </c>
      <c r="K59" s="51">
        <f>VLOOKUP($A59,'Data Vlaue (Cr)'!$C:$FB,60)</f>
        <v>630</v>
      </c>
      <c r="L59" s="51">
        <f>VLOOKUP($A59,'Data Vlaue (Cr)'!$C:$FB,62)*100</f>
        <v>27.860000000000003</v>
      </c>
      <c r="M59" s="51">
        <f>VLOOKUP($A59,'Data Vlaue (Cr)'!$C:$FB,63)</f>
        <v>290</v>
      </c>
      <c r="N59" s="51">
        <f>VLOOKUP($A59,'Data Vlaue (Cr)'!$C:$FB,64)</f>
        <v>236</v>
      </c>
      <c r="O59" s="51">
        <f>VLOOKUP($A59,'Data Vlaue (Cr)'!$C:$FB,66)*100</f>
        <v>22.79</v>
      </c>
    </row>
    <row r="60" spans="1:15" x14ac:dyDescent="0.25">
      <c r="A60" s="101" t="str">
        <f>'Data Vlaue (Cr)'!C55</f>
        <v>COLPAL</v>
      </c>
      <c r="B60" s="50">
        <f>VLOOKUP($A60,'Data Vlaue (Cr)'!$C:$FB,8)</f>
        <v>2379.5</v>
      </c>
      <c r="C60" s="50">
        <f>VLOOKUP($A60,'Data Vlaue (Cr)'!$C:$FB,11)*100</f>
        <v>-0.52</v>
      </c>
      <c r="D60" s="50">
        <f>VLOOKUP($A60,'Data Vlaue (Cr)'!$C:$FB,143)</f>
        <v>4172.99</v>
      </c>
      <c r="E60" s="50">
        <f>VLOOKUP($A60,'Data Vlaue (Cr)'!$C:$FB,144)</f>
        <v>710.88</v>
      </c>
      <c r="F60" s="50">
        <f>VLOOKUP($A60,'Data Vlaue (Cr)'!$C:$FB,146)*100</f>
        <v>487.01</v>
      </c>
      <c r="G60" s="49">
        <f>VLOOKUP($A60,'Data Vlaue (Cr)'!$C:$FB,43)</f>
        <v>937</v>
      </c>
      <c r="H60" s="49">
        <f>VLOOKUP($A60,'Data Vlaue (Cr)'!$C:$FB,44)</f>
        <v>241</v>
      </c>
      <c r="I60" s="49">
        <f>VLOOKUP($A60,'Data Vlaue (Cr)'!$C:$FB,46)*100</f>
        <v>289.06</v>
      </c>
      <c r="J60" s="51">
        <f>VLOOKUP($A60,'Data Vlaue (Cr)'!$C:$FB,59)</f>
        <v>1929</v>
      </c>
      <c r="K60" s="51">
        <f>VLOOKUP($A60,'Data Vlaue (Cr)'!$C:$FB,60)</f>
        <v>297</v>
      </c>
      <c r="L60" s="51">
        <f>VLOOKUP($A60,'Data Vlaue (Cr)'!$C:$FB,62)*100</f>
        <v>550.23</v>
      </c>
      <c r="M60" s="51">
        <f>VLOOKUP($A60,'Data Vlaue (Cr)'!$C:$FB,63)</f>
        <v>1232</v>
      </c>
      <c r="N60" s="51">
        <f>VLOOKUP($A60,'Data Vlaue (Cr)'!$C:$FB,64)</f>
        <v>156</v>
      </c>
      <c r="O60" s="51">
        <f>VLOOKUP($A60,'Data Vlaue (Cr)'!$C:$FB,66)*100</f>
        <v>688.67000000000007</v>
      </c>
    </row>
    <row r="61" spans="1:15" x14ac:dyDescent="0.25">
      <c r="A61" s="101" t="str">
        <f>'Data Vlaue (Cr)'!C56</f>
        <v>CONCOR</v>
      </c>
      <c r="B61" s="50">
        <f>VLOOKUP($A61,'Data Vlaue (Cr)'!$C:$FB,8)</f>
        <v>607.5</v>
      </c>
      <c r="C61" s="50">
        <f>VLOOKUP($A61,'Data Vlaue (Cr)'!$C:$FB,11)*100</f>
        <v>-0.97</v>
      </c>
      <c r="D61" s="50">
        <f>VLOOKUP($A61,'Data Vlaue (Cr)'!$C:$FB,143)</f>
        <v>597.97</v>
      </c>
      <c r="E61" s="50">
        <f>VLOOKUP($A61,'Data Vlaue (Cr)'!$C:$FB,144)</f>
        <v>434.96</v>
      </c>
      <c r="F61" s="50">
        <f>VLOOKUP($A61,'Data Vlaue (Cr)'!$C:$FB,146)*100</f>
        <v>37.480000000000004</v>
      </c>
      <c r="G61" s="49">
        <f>VLOOKUP($A61,'Data Vlaue (Cr)'!$C:$FB,43)</f>
        <v>231</v>
      </c>
      <c r="H61" s="49">
        <f>VLOOKUP($A61,'Data Vlaue (Cr)'!$C:$FB,44)</f>
        <v>115</v>
      </c>
      <c r="I61" s="49">
        <f>VLOOKUP($A61,'Data Vlaue (Cr)'!$C:$FB,46)*100</f>
        <v>100.93</v>
      </c>
      <c r="J61" s="51">
        <f>VLOOKUP($A61,'Data Vlaue (Cr)'!$C:$FB,59)</f>
        <v>259</v>
      </c>
      <c r="K61" s="51">
        <f>VLOOKUP($A61,'Data Vlaue (Cr)'!$C:$FB,60)</f>
        <v>221</v>
      </c>
      <c r="L61" s="51">
        <f>VLOOKUP($A61,'Data Vlaue (Cr)'!$C:$FB,62)*100</f>
        <v>16.830000000000002</v>
      </c>
      <c r="M61" s="51">
        <f>VLOOKUP($A61,'Data Vlaue (Cr)'!$C:$FB,63)</f>
        <v>97</v>
      </c>
      <c r="N61" s="51">
        <f>VLOOKUP($A61,'Data Vlaue (Cr)'!$C:$FB,64)</f>
        <v>88</v>
      </c>
      <c r="O61" s="51">
        <f>VLOOKUP($A61,'Data Vlaue (Cr)'!$C:$FB,66)*100</f>
        <v>9.6199999999999992</v>
      </c>
    </row>
    <row r="62" spans="1:15" x14ac:dyDescent="0.25">
      <c r="A62" s="101" t="str">
        <f>'Data Vlaue (Cr)'!C57</f>
        <v>CROMPTON</v>
      </c>
      <c r="B62" s="50">
        <f>VLOOKUP($A62,'Data Vlaue (Cr)'!$C:$FB,8)</f>
        <v>335.95</v>
      </c>
      <c r="C62" s="50">
        <f>VLOOKUP($A62,'Data Vlaue (Cr)'!$C:$FB,11)*100</f>
        <v>-1.52</v>
      </c>
      <c r="D62" s="50">
        <f>VLOOKUP($A62,'Data Vlaue (Cr)'!$C:$FB,143)</f>
        <v>725.18</v>
      </c>
      <c r="E62" s="50">
        <f>VLOOKUP($A62,'Data Vlaue (Cr)'!$C:$FB,144)</f>
        <v>298.76</v>
      </c>
      <c r="F62" s="50">
        <f>VLOOKUP($A62,'Data Vlaue (Cr)'!$C:$FB,146)*100</f>
        <v>142.72999999999999</v>
      </c>
      <c r="G62" s="49">
        <f>VLOOKUP($A62,'Data Vlaue (Cr)'!$C:$FB,43)</f>
        <v>251</v>
      </c>
      <c r="H62" s="49">
        <f>VLOOKUP($A62,'Data Vlaue (Cr)'!$C:$FB,44)</f>
        <v>104</v>
      </c>
      <c r="I62" s="49">
        <f>VLOOKUP($A62,'Data Vlaue (Cr)'!$C:$FB,46)*100</f>
        <v>141.75</v>
      </c>
      <c r="J62" s="51">
        <f>VLOOKUP($A62,'Data Vlaue (Cr)'!$C:$FB,59)</f>
        <v>313</v>
      </c>
      <c r="K62" s="51">
        <f>VLOOKUP($A62,'Data Vlaue (Cr)'!$C:$FB,60)</f>
        <v>128</v>
      </c>
      <c r="L62" s="51">
        <f>VLOOKUP($A62,'Data Vlaue (Cr)'!$C:$FB,62)*100</f>
        <v>143.72</v>
      </c>
      <c r="M62" s="51">
        <f>VLOOKUP($A62,'Data Vlaue (Cr)'!$C:$FB,63)</f>
        <v>147</v>
      </c>
      <c r="N62" s="51">
        <f>VLOOKUP($A62,'Data Vlaue (Cr)'!$C:$FB,64)</f>
        <v>55</v>
      </c>
      <c r="O62" s="51">
        <f>VLOOKUP($A62,'Data Vlaue (Cr)'!$C:$FB,66)*100</f>
        <v>165.18</v>
      </c>
    </row>
    <row r="63" spans="1:15" x14ac:dyDescent="0.25">
      <c r="A63" s="101" t="str">
        <f>'Data Vlaue (Cr)'!C58</f>
        <v>CUMMINSIND</v>
      </c>
      <c r="B63" s="50">
        <f>VLOOKUP($A63,'Data Vlaue (Cr)'!$C:$FB,8)</f>
        <v>3587.4</v>
      </c>
      <c r="C63" s="50">
        <f>VLOOKUP($A63,'Data Vlaue (Cr)'!$C:$FB,11)*100</f>
        <v>-0.84</v>
      </c>
      <c r="D63" s="50">
        <f>VLOOKUP($A63,'Data Vlaue (Cr)'!$C:$FB,143)</f>
        <v>758.18</v>
      </c>
      <c r="E63" s="50">
        <f>VLOOKUP($A63,'Data Vlaue (Cr)'!$C:$FB,144)</f>
        <v>1481.27</v>
      </c>
      <c r="F63" s="50">
        <f>VLOOKUP($A63,'Data Vlaue (Cr)'!$C:$FB,146)*100</f>
        <v>-48.82</v>
      </c>
      <c r="G63" s="49">
        <f>VLOOKUP($A63,'Data Vlaue (Cr)'!$C:$FB,43)</f>
        <v>169</v>
      </c>
      <c r="H63" s="49">
        <f>VLOOKUP($A63,'Data Vlaue (Cr)'!$C:$FB,44)</f>
        <v>248</v>
      </c>
      <c r="I63" s="49">
        <f>VLOOKUP($A63,'Data Vlaue (Cr)'!$C:$FB,46)*100</f>
        <v>-31.919999999999998</v>
      </c>
      <c r="J63" s="51">
        <f>VLOOKUP($A63,'Data Vlaue (Cr)'!$C:$FB,59)</f>
        <v>370</v>
      </c>
      <c r="K63" s="51">
        <f>VLOOKUP($A63,'Data Vlaue (Cr)'!$C:$FB,60)</f>
        <v>907</v>
      </c>
      <c r="L63" s="51">
        <f>VLOOKUP($A63,'Data Vlaue (Cr)'!$C:$FB,62)*100</f>
        <v>-59.27</v>
      </c>
      <c r="M63" s="51">
        <f>VLOOKUP($A63,'Data Vlaue (Cr)'!$C:$FB,63)</f>
        <v>211</v>
      </c>
      <c r="N63" s="51">
        <f>VLOOKUP($A63,'Data Vlaue (Cr)'!$C:$FB,64)</f>
        <v>306</v>
      </c>
      <c r="O63" s="51">
        <f>VLOOKUP($A63,'Data Vlaue (Cr)'!$C:$FB,66)*100</f>
        <v>-31.16</v>
      </c>
    </row>
    <row r="64" spans="1:15" x14ac:dyDescent="0.25">
      <c r="A64" s="101" t="str">
        <f>'Data Vlaue (Cr)'!C59</f>
        <v>CYIENT</v>
      </c>
      <c r="B64" s="50">
        <f>VLOOKUP($A64,'Data Vlaue (Cr)'!$C:$FB,8)</f>
        <v>1271.2</v>
      </c>
      <c r="C64" s="50">
        <f>VLOOKUP($A64,'Data Vlaue (Cr)'!$C:$FB,11)*100</f>
        <v>-0.92999999999999994</v>
      </c>
      <c r="D64" s="50">
        <f>VLOOKUP($A64,'Data Vlaue (Cr)'!$C:$FB,143)</f>
        <v>141.9</v>
      </c>
      <c r="E64" s="50">
        <f>VLOOKUP($A64,'Data Vlaue (Cr)'!$C:$FB,144)</f>
        <v>172.96</v>
      </c>
      <c r="F64" s="50">
        <f>VLOOKUP($A64,'Data Vlaue (Cr)'!$C:$FB,146)*100</f>
        <v>-17.96</v>
      </c>
      <c r="G64" s="49">
        <f>VLOOKUP($A64,'Data Vlaue (Cr)'!$C:$FB,43)</f>
        <v>38</v>
      </c>
      <c r="H64" s="49">
        <f>VLOOKUP($A64,'Data Vlaue (Cr)'!$C:$FB,44)</f>
        <v>36</v>
      </c>
      <c r="I64" s="49">
        <f>VLOOKUP($A64,'Data Vlaue (Cr)'!$C:$FB,46)*100</f>
        <v>5.86</v>
      </c>
      <c r="J64" s="51">
        <f>VLOOKUP($A64,'Data Vlaue (Cr)'!$C:$FB,59)</f>
        <v>61</v>
      </c>
      <c r="K64" s="51">
        <f>VLOOKUP($A64,'Data Vlaue (Cr)'!$C:$FB,60)</f>
        <v>89</v>
      </c>
      <c r="L64" s="51">
        <f>VLOOKUP($A64,'Data Vlaue (Cr)'!$C:$FB,62)*100</f>
        <v>-30.56</v>
      </c>
      <c r="M64" s="51">
        <f>VLOOKUP($A64,'Data Vlaue (Cr)'!$C:$FB,63)</f>
        <v>39</v>
      </c>
      <c r="N64" s="51">
        <f>VLOOKUP($A64,'Data Vlaue (Cr)'!$C:$FB,64)</f>
        <v>44</v>
      </c>
      <c r="O64" s="51">
        <f>VLOOKUP($A64,'Data Vlaue (Cr)'!$C:$FB,66)*100</f>
        <v>-11.21</v>
      </c>
    </row>
    <row r="65" spans="1:15" x14ac:dyDescent="0.25">
      <c r="A65" s="101" t="str">
        <f>'Data Vlaue (Cr)'!C60</f>
        <v>DABUR</v>
      </c>
      <c r="B65" s="50">
        <f>VLOOKUP($A65,'Data Vlaue (Cr)'!$C:$FB,8)</f>
        <v>515.04999999999995</v>
      </c>
      <c r="C65" s="50">
        <f>VLOOKUP($A65,'Data Vlaue (Cr)'!$C:$FB,11)*100</f>
        <v>0.1</v>
      </c>
      <c r="D65" s="50">
        <f>VLOOKUP($A65,'Data Vlaue (Cr)'!$C:$FB,143)</f>
        <v>591.46</v>
      </c>
      <c r="E65" s="50">
        <f>VLOOKUP($A65,'Data Vlaue (Cr)'!$C:$FB,144)</f>
        <v>724.35</v>
      </c>
      <c r="F65" s="50">
        <f>VLOOKUP($A65,'Data Vlaue (Cr)'!$C:$FB,146)*100</f>
        <v>-18.350000000000001</v>
      </c>
      <c r="G65" s="49">
        <f>VLOOKUP($A65,'Data Vlaue (Cr)'!$C:$FB,43)</f>
        <v>86</v>
      </c>
      <c r="H65" s="49">
        <f>VLOOKUP($A65,'Data Vlaue (Cr)'!$C:$FB,44)</f>
        <v>116</v>
      </c>
      <c r="I65" s="49">
        <f>VLOOKUP($A65,'Data Vlaue (Cr)'!$C:$FB,46)*100</f>
        <v>-25.580000000000002</v>
      </c>
      <c r="J65" s="51">
        <f>VLOOKUP($A65,'Data Vlaue (Cr)'!$C:$FB,59)</f>
        <v>346</v>
      </c>
      <c r="K65" s="51">
        <f>VLOOKUP($A65,'Data Vlaue (Cr)'!$C:$FB,60)</f>
        <v>336</v>
      </c>
      <c r="L65" s="51">
        <f>VLOOKUP($A65,'Data Vlaue (Cr)'!$C:$FB,62)*100</f>
        <v>2.87</v>
      </c>
      <c r="M65" s="51">
        <f>VLOOKUP($A65,'Data Vlaue (Cr)'!$C:$FB,63)</f>
        <v>149</v>
      </c>
      <c r="N65" s="51">
        <f>VLOOKUP($A65,'Data Vlaue (Cr)'!$C:$FB,64)</f>
        <v>261</v>
      </c>
      <c r="O65" s="51">
        <f>VLOOKUP($A65,'Data Vlaue (Cr)'!$C:$FB,66)*100</f>
        <v>-42.85</v>
      </c>
    </row>
    <row r="66" spans="1:15" x14ac:dyDescent="0.25">
      <c r="A66" s="101" t="str">
        <f>'Data Vlaue (Cr)'!C61</f>
        <v>DALBHARAT</v>
      </c>
      <c r="B66" s="50">
        <f>VLOOKUP($A66,'Data Vlaue (Cr)'!$C:$FB,8)</f>
        <v>2320.1999999999998</v>
      </c>
      <c r="C66" s="50">
        <f>VLOOKUP($A66,'Data Vlaue (Cr)'!$C:$FB,11)*100</f>
        <v>2.56</v>
      </c>
      <c r="D66" s="50">
        <f>VLOOKUP($A66,'Data Vlaue (Cr)'!$C:$FB,143)</f>
        <v>2133.5100000000002</v>
      </c>
      <c r="E66" s="50">
        <f>VLOOKUP($A66,'Data Vlaue (Cr)'!$C:$FB,144)</f>
        <v>1051.08</v>
      </c>
      <c r="F66" s="50">
        <f>VLOOKUP($A66,'Data Vlaue (Cr)'!$C:$FB,146)*100</f>
        <v>102.98</v>
      </c>
      <c r="G66" s="49">
        <f>VLOOKUP($A66,'Data Vlaue (Cr)'!$C:$FB,43)</f>
        <v>391</v>
      </c>
      <c r="H66" s="49">
        <f>VLOOKUP($A66,'Data Vlaue (Cr)'!$C:$FB,44)</f>
        <v>240</v>
      </c>
      <c r="I66" s="49">
        <f>VLOOKUP($A66,'Data Vlaue (Cr)'!$C:$FB,46)*100</f>
        <v>62.92</v>
      </c>
      <c r="J66" s="51">
        <f>VLOOKUP($A66,'Data Vlaue (Cr)'!$C:$FB,59)</f>
        <v>1217</v>
      </c>
      <c r="K66" s="51">
        <f>VLOOKUP($A66,'Data Vlaue (Cr)'!$C:$FB,60)</f>
        <v>662</v>
      </c>
      <c r="L66" s="51">
        <f>VLOOKUP($A66,'Data Vlaue (Cr)'!$C:$FB,62)*100</f>
        <v>83.87</v>
      </c>
      <c r="M66" s="51">
        <f>VLOOKUP($A66,'Data Vlaue (Cr)'!$C:$FB,63)</f>
        <v>492</v>
      </c>
      <c r="N66" s="51">
        <f>VLOOKUP($A66,'Data Vlaue (Cr)'!$C:$FB,64)</f>
        <v>151</v>
      </c>
      <c r="O66" s="51">
        <f>VLOOKUP($A66,'Data Vlaue (Cr)'!$C:$FB,66)*100</f>
        <v>224.76</v>
      </c>
    </row>
    <row r="67" spans="1:15" x14ac:dyDescent="0.25">
      <c r="A67" s="101" t="str">
        <f>'Data Vlaue (Cr)'!C62</f>
        <v>DELHIVERY</v>
      </c>
      <c r="B67" s="50">
        <f>VLOOKUP($A67,'Data Vlaue (Cr)'!$C:$FB,8)</f>
        <v>436.85</v>
      </c>
      <c r="C67" s="50">
        <f>VLOOKUP($A67,'Data Vlaue (Cr)'!$C:$FB,11)*100</f>
        <v>0.86999999999999988</v>
      </c>
      <c r="D67" s="50">
        <f>VLOOKUP($A67,'Data Vlaue (Cr)'!$C:$FB,143)</f>
        <v>1365.99</v>
      </c>
      <c r="E67" s="50">
        <f>VLOOKUP($A67,'Data Vlaue (Cr)'!$C:$FB,144)</f>
        <v>669.67</v>
      </c>
      <c r="F67" s="50">
        <f>VLOOKUP($A67,'Data Vlaue (Cr)'!$C:$FB,146)*100</f>
        <v>103.98</v>
      </c>
      <c r="G67" s="49">
        <f>VLOOKUP($A67,'Data Vlaue (Cr)'!$C:$FB,43)</f>
        <v>328</v>
      </c>
      <c r="H67" s="49">
        <f>VLOOKUP($A67,'Data Vlaue (Cr)'!$C:$FB,44)</f>
        <v>111</v>
      </c>
      <c r="I67" s="49">
        <f>VLOOKUP($A67,'Data Vlaue (Cr)'!$C:$FB,46)*100</f>
        <v>196.57</v>
      </c>
      <c r="J67" s="51">
        <f>VLOOKUP($A67,'Data Vlaue (Cr)'!$C:$FB,59)</f>
        <v>675</v>
      </c>
      <c r="K67" s="51">
        <f>VLOOKUP($A67,'Data Vlaue (Cr)'!$C:$FB,60)</f>
        <v>394</v>
      </c>
      <c r="L67" s="51">
        <f>VLOOKUP($A67,'Data Vlaue (Cr)'!$C:$FB,62)*100</f>
        <v>71.41</v>
      </c>
      <c r="M67" s="51">
        <f>VLOOKUP($A67,'Data Vlaue (Cr)'!$C:$FB,63)</f>
        <v>344</v>
      </c>
      <c r="N67" s="51">
        <f>VLOOKUP($A67,'Data Vlaue (Cr)'!$C:$FB,64)</f>
        <v>163</v>
      </c>
      <c r="O67" s="51">
        <f>VLOOKUP($A67,'Data Vlaue (Cr)'!$C:$FB,66)*100</f>
        <v>110.72</v>
      </c>
    </row>
    <row r="68" spans="1:15" x14ac:dyDescent="0.25">
      <c r="A68" s="101" t="str">
        <f>'Data Vlaue (Cr)'!C63</f>
        <v>DIVISLAB</v>
      </c>
      <c r="B68" s="50">
        <f>VLOOKUP($A68,'Data Vlaue (Cr)'!$C:$FB,8)</f>
        <v>6613</v>
      </c>
      <c r="C68" s="50">
        <f>VLOOKUP($A68,'Data Vlaue (Cr)'!$C:$FB,11)*100</f>
        <v>-1.1199999999999999</v>
      </c>
      <c r="D68" s="50">
        <f>VLOOKUP($A68,'Data Vlaue (Cr)'!$C:$FB,143)</f>
        <v>1151.6300000000001</v>
      </c>
      <c r="E68" s="50">
        <f>VLOOKUP($A68,'Data Vlaue (Cr)'!$C:$FB,144)</f>
        <v>903.58</v>
      </c>
      <c r="F68" s="50">
        <f>VLOOKUP($A68,'Data Vlaue (Cr)'!$C:$FB,146)*100</f>
        <v>27.450000000000003</v>
      </c>
      <c r="G68" s="49">
        <f>VLOOKUP($A68,'Data Vlaue (Cr)'!$C:$FB,43)</f>
        <v>197</v>
      </c>
      <c r="H68" s="49">
        <f>VLOOKUP($A68,'Data Vlaue (Cr)'!$C:$FB,44)</f>
        <v>130</v>
      </c>
      <c r="I68" s="49">
        <f>VLOOKUP($A68,'Data Vlaue (Cr)'!$C:$FB,46)*100</f>
        <v>51.749999999999993</v>
      </c>
      <c r="J68" s="51">
        <f>VLOOKUP($A68,'Data Vlaue (Cr)'!$C:$FB,59)</f>
        <v>624</v>
      </c>
      <c r="K68" s="51">
        <f>VLOOKUP($A68,'Data Vlaue (Cr)'!$C:$FB,60)</f>
        <v>492</v>
      </c>
      <c r="L68" s="51">
        <f>VLOOKUP($A68,'Data Vlaue (Cr)'!$C:$FB,62)*100</f>
        <v>26.91</v>
      </c>
      <c r="M68" s="51">
        <f>VLOOKUP($A68,'Data Vlaue (Cr)'!$C:$FB,63)</f>
        <v>298</v>
      </c>
      <c r="N68" s="51">
        <f>VLOOKUP($A68,'Data Vlaue (Cr)'!$C:$FB,64)</f>
        <v>249</v>
      </c>
      <c r="O68" s="51">
        <f>VLOOKUP($A68,'Data Vlaue (Cr)'!$C:$FB,66)*100</f>
        <v>19.400000000000002</v>
      </c>
    </row>
    <row r="69" spans="1:15" x14ac:dyDescent="0.25">
      <c r="A69" s="101" t="str">
        <f>'Data Vlaue (Cr)'!C64</f>
        <v>DIXON</v>
      </c>
      <c r="B69" s="50">
        <f>VLOOKUP($A69,'Data Vlaue (Cr)'!$C:$FB,8)</f>
        <v>16112</v>
      </c>
      <c r="C69" s="50">
        <f>VLOOKUP($A69,'Data Vlaue (Cr)'!$C:$FB,11)*100</f>
        <v>-1.04</v>
      </c>
      <c r="D69" s="50">
        <f>VLOOKUP($A69,'Data Vlaue (Cr)'!$C:$FB,143)</f>
        <v>7969.06</v>
      </c>
      <c r="E69" s="50">
        <f>VLOOKUP($A69,'Data Vlaue (Cr)'!$C:$FB,144)</f>
        <v>8026.61</v>
      </c>
      <c r="F69" s="50">
        <f>VLOOKUP($A69,'Data Vlaue (Cr)'!$C:$FB,146)*100</f>
        <v>-0.72</v>
      </c>
      <c r="G69" s="49">
        <f>VLOOKUP($A69,'Data Vlaue (Cr)'!$C:$FB,43)</f>
        <v>949</v>
      </c>
      <c r="H69" s="49">
        <f>VLOOKUP($A69,'Data Vlaue (Cr)'!$C:$FB,44)</f>
        <v>1180</v>
      </c>
      <c r="I69" s="49">
        <f>VLOOKUP($A69,'Data Vlaue (Cr)'!$C:$FB,46)*100</f>
        <v>-19.55</v>
      </c>
      <c r="J69" s="51">
        <f>VLOOKUP($A69,'Data Vlaue (Cr)'!$C:$FB,59)</f>
        <v>4072</v>
      </c>
      <c r="K69" s="51">
        <f>VLOOKUP($A69,'Data Vlaue (Cr)'!$C:$FB,60)</f>
        <v>4418</v>
      </c>
      <c r="L69" s="51">
        <f>VLOOKUP($A69,'Data Vlaue (Cr)'!$C:$FB,62)*100</f>
        <v>-7.8299999999999992</v>
      </c>
      <c r="M69" s="51">
        <f>VLOOKUP($A69,'Data Vlaue (Cr)'!$C:$FB,63)</f>
        <v>2759</v>
      </c>
      <c r="N69" s="51">
        <f>VLOOKUP($A69,'Data Vlaue (Cr)'!$C:$FB,64)</f>
        <v>2213</v>
      </c>
      <c r="O69" s="51">
        <f>VLOOKUP($A69,'Data Vlaue (Cr)'!$C:$FB,66)*100</f>
        <v>24.66</v>
      </c>
    </row>
    <row r="70" spans="1:15" x14ac:dyDescent="0.25">
      <c r="A70" s="101" t="str">
        <f>'Data Vlaue (Cr)'!C65</f>
        <v>DLF</v>
      </c>
      <c r="B70" s="50">
        <f>VLOOKUP($A70,'Data Vlaue (Cr)'!$C:$FB,8)</f>
        <v>845.5</v>
      </c>
      <c r="C70" s="50">
        <f>VLOOKUP($A70,'Data Vlaue (Cr)'!$C:$FB,11)*100</f>
        <v>-0.83</v>
      </c>
      <c r="D70" s="50">
        <f>VLOOKUP($A70,'Data Vlaue (Cr)'!$C:$FB,143)</f>
        <v>2353.02</v>
      </c>
      <c r="E70" s="50">
        <f>VLOOKUP($A70,'Data Vlaue (Cr)'!$C:$FB,144)</f>
        <v>1926.99</v>
      </c>
      <c r="F70" s="50">
        <f>VLOOKUP($A70,'Data Vlaue (Cr)'!$C:$FB,146)*100</f>
        <v>22.11</v>
      </c>
      <c r="G70" s="49">
        <f>VLOOKUP($A70,'Data Vlaue (Cr)'!$C:$FB,43)</f>
        <v>439</v>
      </c>
      <c r="H70" s="49">
        <f>VLOOKUP($A70,'Data Vlaue (Cr)'!$C:$FB,44)</f>
        <v>334</v>
      </c>
      <c r="I70" s="49">
        <f>VLOOKUP($A70,'Data Vlaue (Cr)'!$C:$FB,46)*100</f>
        <v>31.490000000000002</v>
      </c>
      <c r="J70" s="51">
        <f>VLOOKUP($A70,'Data Vlaue (Cr)'!$C:$FB,59)</f>
        <v>1243</v>
      </c>
      <c r="K70" s="51">
        <f>VLOOKUP($A70,'Data Vlaue (Cr)'!$C:$FB,60)</f>
        <v>1071</v>
      </c>
      <c r="L70" s="51">
        <f>VLOOKUP($A70,'Data Vlaue (Cr)'!$C:$FB,62)*100</f>
        <v>16.09</v>
      </c>
      <c r="M70" s="51">
        <f>VLOOKUP($A70,'Data Vlaue (Cr)'!$C:$FB,63)</f>
        <v>620</v>
      </c>
      <c r="N70" s="51">
        <f>VLOOKUP($A70,'Data Vlaue (Cr)'!$C:$FB,64)</f>
        <v>479</v>
      </c>
      <c r="O70" s="51">
        <f>VLOOKUP($A70,'Data Vlaue (Cr)'!$C:$FB,66)*100</f>
        <v>29.4</v>
      </c>
    </row>
    <row r="71" spans="1:15" x14ac:dyDescent="0.25">
      <c r="A71" s="101" t="str">
        <f>'Data Vlaue (Cr)'!C66</f>
        <v>DMART</v>
      </c>
      <c r="B71" s="50">
        <f>VLOOKUP($A71,'Data Vlaue (Cr)'!$C:$FB,8)</f>
        <v>4033.3</v>
      </c>
      <c r="C71" s="50">
        <f>VLOOKUP($A71,'Data Vlaue (Cr)'!$C:$FB,11)*100</f>
        <v>0.24</v>
      </c>
      <c r="D71" s="50">
        <f>VLOOKUP($A71,'Data Vlaue (Cr)'!$C:$FB,143)</f>
        <v>1747.47</v>
      </c>
      <c r="E71" s="50">
        <f>VLOOKUP($A71,'Data Vlaue (Cr)'!$C:$FB,144)</f>
        <v>1346.36</v>
      </c>
      <c r="F71" s="50">
        <f>VLOOKUP($A71,'Data Vlaue (Cr)'!$C:$FB,146)*100</f>
        <v>29.79</v>
      </c>
      <c r="G71" s="49">
        <f>VLOOKUP($A71,'Data Vlaue (Cr)'!$C:$FB,43)</f>
        <v>244</v>
      </c>
      <c r="H71" s="49">
        <f>VLOOKUP($A71,'Data Vlaue (Cr)'!$C:$FB,44)</f>
        <v>145</v>
      </c>
      <c r="I71" s="49">
        <f>VLOOKUP($A71,'Data Vlaue (Cr)'!$C:$FB,46)*100</f>
        <v>68.39</v>
      </c>
      <c r="J71" s="51">
        <f>VLOOKUP($A71,'Data Vlaue (Cr)'!$C:$FB,59)</f>
        <v>1107</v>
      </c>
      <c r="K71" s="51">
        <f>VLOOKUP($A71,'Data Vlaue (Cr)'!$C:$FB,60)</f>
        <v>852</v>
      </c>
      <c r="L71" s="51">
        <f>VLOOKUP($A71,'Data Vlaue (Cr)'!$C:$FB,62)*100</f>
        <v>29.9</v>
      </c>
      <c r="M71" s="51">
        <f>VLOOKUP($A71,'Data Vlaue (Cr)'!$C:$FB,63)</f>
        <v>348</v>
      </c>
      <c r="N71" s="51">
        <f>VLOOKUP($A71,'Data Vlaue (Cr)'!$C:$FB,64)</f>
        <v>307</v>
      </c>
      <c r="O71" s="51">
        <f>VLOOKUP($A71,'Data Vlaue (Cr)'!$C:$FB,66)*100</f>
        <v>13.29</v>
      </c>
    </row>
    <row r="72" spans="1:15" x14ac:dyDescent="0.25">
      <c r="A72" s="101" t="str">
        <f>'Data Vlaue (Cr)'!C67</f>
        <v>DRREDDY</v>
      </c>
      <c r="B72" s="50">
        <f>VLOOKUP($A72,'Data Vlaue (Cr)'!$C:$FB,8)</f>
        <v>1240</v>
      </c>
      <c r="C72" s="50">
        <f>VLOOKUP($A72,'Data Vlaue (Cr)'!$C:$FB,11)*100</f>
        <v>-1.53</v>
      </c>
      <c r="D72" s="50">
        <f>VLOOKUP($A72,'Data Vlaue (Cr)'!$C:$FB,143)</f>
        <v>1871.22</v>
      </c>
      <c r="E72" s="50">
        <f>VLOOKUP($A72,'Data Vlaue (Cr)'!$C:$FB,144)</f>
        <v>793.73</v>
      </c>
      <c r="F72" s="50">
        <f>VLOOKUP($A72,'Data Vlaue (Cr)'!$C:$FB,146)*100</f>
        <v>135.75</v>
      </c>
      <c r="G72" s="49">
        <f>VLOOKUP($A72,'Data Vlaue (Cr)'!$C:$FB,43)</f>
        <v>433</v>
      </c>
      <c r="H72" s="49">
        <f>VLOOKUP($A72,'Data Vlaue (Cr)'!$C:$FB,44)</f>
        <v>197</v>
      </c>
      <c r="I72" s="49">
        <f>VLOOKUP($A72,'Data Vlaue (Cr)'!$C:$FB,46)*100</f>
        <v>119.69000000000001</v>
      </c>
      <c r="J72" s="51">
        <f>VLOOKUP($A72,'Data Vlaue (Cr)'!$C:$FB,59)</f>
        <v>754</v>
      </c>
      <c r="K72" s="51">
        <f>VLOOKUP($A72,'Data Vlaue (Cr)'!$C:$FB,60)</f>
        <v>379</v>
      </c>
      <c r="L72" s="51">
        <f>VLOOKUP($A72,'Data Vlaue (Cr)'!$C:$FB,62)*100</f>
        <v>98.79</v>
      </c>
      <c r="M72" s="51">
        <f>VLOOKUP($A72,'Data Vlaue (Cr)'!$C:$FB,63)</f>
        <v>637</v>
      </c>
      <c r="N72" s="51">
        <f>VLOOKUP($A72,'Data Vlaue (Cr)'!$C:$FB,64)</f>
        <v>187</v>
      </c>
      <c r="O72" s="51">
        <f>VLOOKUP($A72,'Data Vlaue (Cr)'!$C:$FB,66)*100</f>
        <v>239.93</v>
      </c>
    </row>
    <row r="73" spans="1:15" x14ac:dyDescent="0.25">
      <c r="A73" s="101" t="str">
        <f>'Data Vlaue (Cr)'!C68</f>
        <v>EICHERMOT</v>
      </c>
      <c r="B73" s="50">
        <f>VLOOKUP($A73,'Data Vlaue (Cr)'!$C:$FB,8)</f>
        <v>5439.5</v>
      </c>
      <c r="C73" s="50">
        <f>VLOOKUP($A73,'Data Vlaue (Cr)'!$C:$FB,11)*100</f>
        <v>-2.13</v>
      </c>
      <c r="D73" s="50">
        <f>VLOOKUP($A73,'Data Vlaue (Cr)'!$C:$FB,143)</f>
        <v>2063.35</v>
      </c>
      <c r="E73" s="50">
        <f>VLOOKUP($A73,'Data Vlaue (Cr)'!$C:$FB,144)</f>
        <v>1249.72</v>
      </c>
      <c r="F73" s="50">
        <f>VLOOKUP($A73,'Data Vlaue (Cr)'!$C:$FB,146)*100</f>
        <v>65.11</v>
      </c>
      <c r="G73" s="49">
        <f>VLOOKUP($A73,'Data Vlaue (Cr)'!$C:$FB,43)</f>
        <v>243</v>
      </c>
      <c r="H73" s="49">
        <f>VLOOKUP($A73,'Data Vlaue (Cr)'!$C:$FB,44)</f>
        <v>162</v>
      </c>
      <c r="I73" s="49">
        <f>VLOOKUP($A73,'Data Vlaue (Cr)'!$C:$FB,46)*100</f>
        <v>50.529999999999994</v>
      </c>
      <c r="J73" s="51">
        <f>VLOOKUP($A73,'Data Vlaue (Cr)'!$C:$FB,59)</f>
        <v>1093</v>
      </c>
      <c r="K73" s="51">
        <f>VLOOKUP($A73,'Data Vlaue (Cr)'!$C:$FB,60)</f>
        <v>626</v>
      </c>
      <c r="L73" s="51">
        <f>VLOOKUP($A73,'Data Vlaue (Cr)'!$C:$FB,62)*100</f>
        <v>74.53</v>
      </c>
      <c r="M73" s="51">
        <f>VLOOKUP($A73,'Data Vlaue (Cr)'!$C:$FB,63)</f>
        <v>679</v>
      </c>
      <c r="N73" s="51">
        <f>VLOOKUP($A73,'Data Vlaue (Cr)'!$C:$FB,64)</f>
        <v>414</v>
      </c>
      <c r="O73" s="51">
        <f>VLOOKUP($A73,'Data Vlaue (Cr)'!$C:$FB,66)*100</f>
        <v>64.08</v>
      </c>
    </row>
    <row r="74" spans="1:15" x14ac:dyDescent="0.25">
      <c r="A74" s="101" t="str">
        <f>'Data Vlaue (Cr)'!C69</f>
        <v>ETERNAL</v>
      </c>
      <c r="B74" s="50">
        <f>VLOOKUP($A74,'Data Vlaue (Cr)'!$C:$FB,8)</f>
        <v>299.8</v>
      </c>
      <c r="C74" s="50">
        <f>VLOOKUP($A74,'Data Vlaue (Cr)'!$C:$FB,11)*100</f>
        <v>10.34</v>
      </c>
      <c r="D74" s="50">
        <f>VLOOKUP($A74,'Data Vlaue (Cr)'!$C:$FB,143)</f>
        <v>50693.45</v>
      </c>
      <c r="E74" s="50">
        <f>VLOOKUP($A74,'Data Vlaue (Cr)'!$C:$FB,144)</f>
        <v>16963.21</v>
      </c>
      <c r="F74" s="50">
        <f>VLOOKUP($A74,'Data Vlaue (Cr)'!$C:$FB,146)*100</f>
        <v>198.84</v>
      </c>
      <c r="G74" s="49">
        <f>VLOOKUP($A74,'Data Vlaue (Cr)'!$C:$FB,43)</f>
        <v>5884</v>
      </c>
      <c r="H74" s="49">
        <f>VLOOKUP($A74,'Data Vlaue (Cr)'!$C:$FB,44)</f>
        <v>3474</v>
      </c>
      <c r="I74" s="49">
        <f>VLOOKUP($A74,'Data Vlaue (Cr)'!$C:$FB,46)*100</f>
        <v>69.349999999999994</v>
      </c>
      <c r="J74" s="51">
        <f>VLOOKUP($A74,'Data Vlaue (Cr)'!$C:$FB,59)</f>
        <v>25169</v>
      </c>
      <c r="K74" s="51">
        <f>VLOOKUP($A74,'Data Vlaue (Cr)'!$C:$FB,60)</f>
        <v>9389</v>
      </c>
      <c r="L74" s="51">
        <f>VLOOKUP($A74,'Data Vlaue (Cr)'!$C:$FB,62)*100</f>
        <v>168.06</v>
      </c>
      <c r="M74" s="51">
        <f>VLOOKUP($A74,'Data Vlaue (Cr)'!$C:$FB,63)</f>
        <v>19418</v>
      </c>
      <c r="N74" s="51">
        <f>VLOOKUP($A74,'Data Vlaue (Cr)'!$C:$FB,64)</f>
        <v>5836</v>
      </c>
      <c r="O74" s="51">
        <f>VLOOKUP($A74,'Data Vlaue (Cr)'!$C:$FB,66)*100</f>
        <v>232.72</v>
      </c>
    </row>
    <row r="75" spans="1:15" x14ac:dyDescent="0.25">
      <c r="A75" s="101" t="str">
        <f>'Data Vlaue (Cr)'!C70</f>
        <v>EXIDEIND</v>
      </c>
      <c r="B75" s="50">
        <f>VLOOKUP($A75,'Data Vlaue (Cr)'!$C:$FB,8)</f>
        <v>394.25</v>
      </c>
      <c r="C75" s="50">
        <f>VLOOKUP($A75,'Data Vlaue (Cr)'!$C:$FB,11)*100</f>
        <v>1.32</v>
      </c>
      <c r="D75" s="50">
        <f>VLOOKUP($A75,'Data Vlaue (Cr)'!$C:$FB,143)</f>
        <v>1971.3</v>
      </c>
      <c r="E75" s="50">
        <f>VLOOKUP($A75,'Data Vlaue (Cr)'!$C:$FB,144)</f>
        <v>1697.03</v>
      </c>
      <c r="F75" s="50">
        <f>VLOOKUP($A75,'Data Vlaue (Cr)'!$C:$FB,146)*100</f>
        <v>16.16</v>
      </c>
      <c r="G75" s="49">
        <f>VLOOKUP($A75,'Data Vlaue (Cr)'!$C:$FB,43)</f>
        <v>341</v>
      </c>
      <c r="H75" s="49">
        <f>VLOOKUP($A75,'Data Vlaue (Cr)'!$C:$FB,44)</f>
        <v>254</v>
      </c>
      <c r="I75" s="49">
        <f>VLOOKUP($A75,'Data Vlaue (Cr)'!$C:$FB,46)*100</f>
        <v>33.97</v>
      </c>
      <c r="J75" s="51">
        <f>VLOOKUP($A75,'Data Vlaue (Cr)'!$C:$FB,59)</f>
        <v>1331</v>
      </c>
      <c r="K75" s="51">
        <f>VLOOKUP($A75,'Data Vlaue (Cr)'!$C:$FB,60)</f>
        <v>1149</v>
      </c>
      <c r="L75" s="51">
        <f>VLOOKUP($A75,'Data Vlaue (Cr)'!$C:$FB,62)*100</f>
        <v>15.78</v>
      </c>
      <c r="M75" s="51">
        <f>VLOOKUP($A75,'Data Vlaue (Cr)'!$C:$FB,63)</f>
        <v>255</v>
      </c>
      <c r="N75" s="51">
        <f>VLOOKUP($A75,'Data Vlaue (Cr)'!$C:$FB,64)</f>
        <v>272</v>
      </c>
      <c r="O75" s="51">
        <f>VLOOKUP($A75,'Data Vlaue (Cr)'!$C:$FB,66)*100</f>
        <v>-6.43</v>
      </c>
    </row>
    <row r="76" spans="1:15" x14ac:dyDescent="0.25">
      <c r="A76" s="101" t="str">
        <f>'Data Vlaue (Cr)'!C71</f>
        <v>FEDERALBNK</v>
      </c>
      <c r="B76" s="50">
        <f>VLOOKUP($A76,'Data Vlaue (Cr)'!$C:$FB,8)</f>
        <v>212.4</v>
      </c>
      <c r="C76" s="50">
        <f>VLOOKUP($A76,'Data Vlaue (Cr)'!$C:$FB,11)*100</f>
        <v>-0.18</v>
      </c>
      <c r="D76" s="50">
        <f>VLOOKUP($A76,'Data Vlaue (Cr)'!$C:$FB,143)</f>
        <v>1300.94</v>
      </c>
      <c r="E76" s="50">
        <f>VLOOKUP($A76,'Data Vlaue (Cr)'!$C:$FB,144)</f>
        <v>2678.73</v>
      </c>
      <c r="F76" s="50">
        <f>VLOOKUP($A76,'Data Vlaue (Cr)'!$C:$FB,146)*100</f>
        <v>-51.43</v>
      </c>
      <c r="G76" s="49">
        <f>VLOOKUP($A76,'Data Vlaue (Cr)'!$C:$FB,43)</f>
        <v>264</v>
      </c>
      <c r="H76" s="49">
        <f>VLOOKUP($A76,'Data Vlaue (Cr)'!$C:$FB,44)</f>
        <v>467</v>
      </c>
      <c r="I76" s="49">
        <f>VLOOKUP($A76,'Data Vlaue (Cr)'!$C:$FB,46)*100</f>
        <v>-43.39</v>
      </c>
      <c r="J76" s="51">
        <f>VLOOKUP($A76,'Data Vlaue (Cr)'!$C:$FB,59)</f>
        <v>611</v>
      </c>
      <c r="K76" s="51">
        <f>VLOOKUP($A76,'Data Vlaue (Cr)'!$C:$FB,60)</f>
        <v>1341</v>
      </c>
      <c r="L76" s="51">
        <f>VLOOKUP($A76,'Data Vlaue (Cr)'!$C:$FB,62)*100</f>
        <v>-54.43</v>
      </c>
      <c r="M76" s="51">
        <f>VLOOKUP($A76,'Data Vlaue (Cr)'!$C:$FB,63)</f>
        <v>407</v>
      </c>
      <c r="N76" s="51">
        <f>VLOOKUP($A76,'Data Vlaue (Cr)'!$C:$FB,64)</f>
        <v>832</v>
      </c>
      <c r="O76" s="51">
        <f>VLOOKUP($A76,'Data Vlaue (Cr)'!$C:$FB,66)*100</f>
        <v>-51.01</v>
      </c>
    </row>
    <row r="77" spans="1:15" x14ac:dyDescent="0.25">
      <c r="A77" s="101" t="str">
        <f>'Data Vlaue (Cr)'!C72</f>
        <v>FINNIFTY</v>
      </c>
      <c r="B77" s="50">
        <f>VLOOKUP($A77,'Data Vlaue (Cr)'!$C:$FB,8)</f>
        <v>26990.45</v>
      </c>
      <c r="C77" s="50">
        <f>VLOOKUP($A77,'Data Vlaue (Cr)'!$C:$FB,11)*100</f>
        <v>0.01</v>
      </c>
      <c r="D77" s="50">
        <f>VLOOKUP($A77,'Data Vlaue (Cr)'!$C:$FB,143)</f>
        <v>17875.400000000001</v>
      </c>
      <c r="E77" s="50">
        <f>VLOOKUP($A77,'Data Vlaue (Cr)'!$C:$FB,144)</f>
        <v>25626.59</v>
      </c>
      <c r="F77" s="50">
        <f>VLOOKUP($A77,'Data Vlaue (Cr)'!$C:$FB,146)*100</f>
        <v>-30.25</v>
      </c>
      <c r="G77" s="49">
        <f>VLOOKUP($A77,'Data Vlaue (Cr)'!$C:$FB,43)</f>
        <v>47</v>
      </c>
      <c r="H77" s="49">
        <f>VLOOKUP($A77,'Data Vlaue (Cr)'!$C:$FB,44)</f>
        <v>126</v>
      </c>
      <c r="I77" s="49">
        <f>VLOOKUP($A77,'Data Vlaue (Cr)'!$C:$FB,46)*100</f>
        <v>-62.29</v>
      </c>
      <c r="J77" s="51">
        <f>VLOOKUP($A77,'Data Vlaue (Cr)'!$C:$FB,59)</f>
        <v>9332</v>
      </c>
      <c r="K77" s="51">
        <f>VLOOKUP($A77,'Data Vlaue (Cr)'!$C:$FB,60)</f>
        <v>13566</v>
      </c>
      <c r="L77" s="51">
        <f>VLOOKUP($A77,'Data Vlaue (Cr)'!$C:$FB,62)*100</f>
        <v>-31.209999999999997</v>
      </c>
      <c r="M77" s="51">
        <f>VLOOKUP($A77,'Data Vlaue (Cr)'!$C:$FB,63)</f>
        <v>8434</v>
      </c>
      <c r="N77" s="51">
        <f>VLOOKUP($A77,'Data Vlaue (Cr)'!$C:$FB,64)</f>
        <v>11945</v>
      </c>
      <c r="O77" s="51">
        <f>VLOOKUP($A77,'Data Vlaue (Cr)'!$C:$FB,66)*100</f>
        <v>-29.39</v>
      </c>
    </row>
    <row r="78" spans="1:15" x14ac:dyDescent="0.25">
      <c r="A78" s="101" t="str">
        <f>'Data Vlaue (Cr)'!C73</f>
        <v>FORTIS</v>
      </c>
      <c r="B78" s="50">
        <f>VLOOKUP($A78,'Data Vlaue (Cr)'!$C:$FB,8)</f>
        <v>809.1</v>
      </c>
      <c r="C78" s="50">
        <f>VLOOKUP($A78,'Data Vlaue (Cr)'!$C:$FB,11)*100</f>
        <v>0.85000000000000009</v>
      </c>
      <c r="D78" s="50">
        <f>VLOOKUP($A78,'Data Vlaue (Cr)'!$C:$FB,143)</f>
        <v>758.07</v>
      </c>
      <c r="E78" s="50">
        <f>VLOOKUP($A78,'Data Vlaue (Cr)'!$C:$FB,144)</f>
        <v>622.72</v>
      </c>
      <c r="F78" s="50">
        <f>VLOOKUP($A78,'Data Vlaue (Cr)'!$C:$FB,146)*100</f>
        <v>21.73</v>
      </c>
      <c r="G78" s="49">
        <f>VLOOKUP($A78,'Data Vlaue (Cr)'!$C:$FB,43)</f>
        <v>235</v>
      </c>
      <c r="H78" s="49">
        <f>VLOOKUP($A78,'Data Vlaue (Cr)'!$C:$FB,44)</f>
        <v>203</v>
      </c>
      <c r="I78" s="49">
        <f>VLOOKUP($A78,'Data Vlaue (Cr)'!$C:$FB,46)*100</f>
        <v>15.93</v>
      </c>
      <c r="J78" s="51">
        <f>VLOOKUP($A78,'Data Vlaue (Cr)'!$C:$FB,59)</f>
        <v>378</v>
      </c>
      <c r="K78" s="51">
        <f>VLOOKUP($A78,'Data Vlaue (Cr)'!$C:$FB,60)</f>
        <v>236</v>
      </c>
      <c r="L78" s="51">
        <f>VLOOKUP($A78,'Data Vlaue (Cr)'!$C:$FB,62)*100</f>
        <v>60.089999999999996</v>
      </c>
      <c r="M78" s="51">
        <f>VLOOKUP($A78,'Data Vlaue (Cr)'!$C:$FB,63)</f>
        <v>137</v>
      </c>
      <c r="N78" s="51">
        <f>VLOOKUP($A78,'Data Vlaue (Cr)'!$C:$FB,64)</f>
        <v>186</v>
      </c>
      <c r="O78" s="51">
        <f>VLOOKUP($A78,'Data Vlaue (Cr)'!$C:$FB,66)*100</f>
        <v>-26.650000000000002</v>
      </c>
    </row>
    <row r="79" spans="1:15" x14ac:dyDescent="0.25">
      <c r="A79" s="101" t="str">
        <f>'Data Vlaue (Cr)'!C74</f>
        <v>GAIL</v>
      </c>
      <c r="B79" s="50">
        <f>VLOOKUP($A79,'Data Vlaue (Cr)'!$C:$FB,8)</f>
        <v>184.03</v>
      </c>
      <c r="C79" s="50">
        <f>VLOOKUP($A79,'Data Vlaue (Cr)'!$C:$FB,11)*100</f>
        <v>-0.05</v>
      </c>
      <c r="D79" s="50">
        <f>VLOOKUP($A79,'Data Vlaue (Cr)'!$C:$FB,143)</f>
        <v>962.62</v>
      </c>
      <c r="E79" s="50">
        <f>VLOOKUP($A79,'Data Vlaue (Cr)'!$C:$FB,144)</f>
        <v>617.24</v>
      </c>
      <c r="F79" s="50">
        <f>VLOOKUP($A79,'Data Vlaue (Cr)'!$C:$FB,146)*100</f>
        <v>55.95</v>
      </c>
      <c r="G79" s="49">
        <f>VLOOKUP($A79,'Data Vlaue (Cr)'!$C:$FB,43)</f>
        <v>251</v>
      </c>
      <c r="H79" s="49">
        <f>VLOOKUP($A79,'Data Vlaue (Cr)'!$C:$FB,44)</f>
        <v>186</v>
      </c>
      <c r="I79" s="49">
        <f>VLOOKUP($A79,'Data Vlaue (Cr)'!$C:$FB,46)*100</f>
        <v>34.910000000000004</v>
      </c>
      <c r="J79" s="51">
        <f>VLOOKUP($A79,'Data Vlaue (Cr)'!$C:$FB,59)</f>
        <v>441</v>
      </c>
      <c r="K79" s="51">
        <f>VLOOKUP($A79,'Data Vlaue (Cr)'!$C:$FB,60)</f>
        <v>304</v>
      </c>
      <c r="L79" s="51">
        <f>VLOOKUP($A79,'Data Vlaue (Cr)'!$C:$FB,62)*100</f>
        <v>45.35</v>
      </c>
      <c r="M79" s="51">
        <f>VLOOKUP($A79,'Data Vlaue (Cr)'!$C:$FB,63)</f>
        <v>245</v>
      </c>
      <c r="N79" s="51">
        <f>VLOOKUP($A79,'Data Vlaue (Cr)'!$C:$FB,64)</f>
        <v>110</v>
      </c>
      <c r="O79" s="51">
        <f>VLOOKUP($A79,'Data Vlaue (Cr)'!$C:$FB,66)*100</f>
        <v>122.42999999999999</v>
      </c>
    </row>
    <row r="80" spans="1:15" x14ac:dyDescent="0.25">
      <c r="A80" s="101" t="str">
        <f>'Data Vlaue (Cr)'!C75</f>
        <v>GLENMARK</v>
      </c>
      <c r="B80" s="50">
        <f>VLOOKUP($A80,'Data Vlaue (Cr)'!$C:$FB,8)</f>
        <v>2157.9</v>
      </c>
      <c r="C80" s="50">
        <f>VLOOKUP($A80,'Data Vlaue (Cr)'!$C:$FB,11)*100</f>
        <v>-1.23</v>
      </c>
      <c r="D80" s="50">
        <f>VLOOKUP($A80,'Data Vlaue (Cr)'!$C:$FB,143)</f>
        <v>2385.5500000000002</v>
      </c>
      <c r="E80" s="50">
        <f>VLOOKUP($A80,'Data Vlaue (Cr)'!$C:$FB,144)</f>
        <v>2165.41</v>
      </c>
      <c r="F80" s="50">
        <f>VLOOKUP($A80,'Data Vlaue (Cr)'!$C:$FB,146)*100</f>
        <v>10.17</v>
      </c>
      <c r="G80" s="49">
        <f>VLOOKUP($A80,'Data Vlaue (Cr)'!$C:$FB,43)</f>
        <v>388</v>
      </c>
      <c r="H80" s="49">
        <f>VLOOKUP($A80,'Data Vlaue (Cr)'!$C:$FB,44)</f>
        <v>364</v>
      </c>
      <c r="I80" s="49">
        <f>VLOOKUP($A80,'Data Vlaue (Cr)'!$C:$FB,46)*100</f>
        <v>6.4600000000000009</v>
      </c>
      <c r="J80" s="51">
        <f>VLOOKUP($A80,'Data Vlaue (Cr)'!$C:$FB,59)</f>
        <v>1013</v>
      </c>
      <c r="K80" s="51">
        <f>VLOOKUP($A80,'Data Vlaue (Cr)'!$C:$FB,60)</f>
        <v>870</v>
      </c>
      <c r="L80" s="51">
        <f>VLOOKUP($A80,'Data Vlaue (Cr)'!$C:$FB,62)*100</f>
        <v>16.53</v>
      </c>
      <c r="M80" s="51">
        <f>VLOOKUP($A80,'Data Vlaue (Cr)'!$C:$FB,63)</f>
        <v>945</v>
      </c>
      <c r="N80" s="51">
        <f>VLOOKUP($A80,'Data Vlaue (Cr)'!$C:$FB,64)</f>
        <v>882</v>
      </c>
      <c r="O80" s="51">
        <f>VLOOKUP($A80,'Data Vlaue (Cr)'!$C:$FB,66)*100</f>
        <v>7.08</v>
      </c>
    </row>
    <row r="81" spans="1:15" x14ac:dyDescent="0.25">
      <c r="A81" s="101" t="str">
        <f>'Data Vlaue (Cr)'!C76</f>
        <v>GMRAIRPORT</v>
      </c>
      <c r="B81" s="50">
        <f>VLOOKUP($A81,'Data Vlaue (Cr)'!$C:$FB,8)</f>
        <v>91.92</v>
      </c>
      <c r="C81" s="50">
        <f>VLOOKUP($A81,'Data Vlaue (Cr)'!$C:$FB,11)*100</f>
        <v>-1.63</v>
      </c>
      <c r="D81" s="50">
        <f>VLOOKUP($A81,'Data Vlaue (Cr)'!$C:$FB,143)</f>
        <v>930.48</v>
      </c>
      <c r="E81" s="50">
        <f>VLOOKUP($A81,'Data Vlaue (Cr)'!$C:$FB,144)</f>
        <v>720.63</v>
      </c>
      <c r="F81" s="50">
        <f>VLOOKUP($A81,'Data Vlaue (Cr)'!$C:$FB,146)*100</f>
        <v>29.12</v>
      </c>
      <c r="G81" s="49">
        <f>VLOOKUP($A81,'Data Vlaue (Cr)'!$C:$FB,43)</f>
        <v>156</v>
      </c>
      <c r="H81" s="49">
        <f>VLOOKUP($A81,'Data Vlaue (Cr)'!$C:$FB,44)</f>
        <v>126</v>
      </c>
      <c r="I81" s="49">
        <f>VLOOKUP($A81,'Data Vlaue (Cr)'!$C:$FB,46)*100</f>
        <v>23.79</v>
      </c>
      <c r="J81" s="51">
        <f>VLOOKUP($A81,'Data Vlaue (Cr)'!$C:$FB,59)</f>
        <v>542</v>
      </c>
      <c r="K81" s="51">
        <f>VLOOKUP($A81,'Data Vlaue (Cr)'!$C:$FB,60)</f>
        <v>371</v>
      </c>
      <c r="L81" s="51">
        <f>VLOOKUP($A81,'Data Vlaue (Cr)'!$C:$FB,62)*100</f>
        <v>46.18</v>
      </c>
      <c r="M81" s="51">
        <f>VLOOKUP($A81,'Data Vlaue (Cr)'!$C:$FB,63)</f>
        <v>200</v>
      </c>
      <c r="N81" s="51">
        <f>VLOOKUP($A81,'Data Vlaue (Cr)'!$C:$FB,64)</f>
        <v>197</v>
      </c>
      <c r="O81" s="51">
        <f>VLOOKUP($A81,'Data Vlaue (Cr)'!$C:$FB,66)*100</f>
        <v>1.83</v>
      </c>
    </row>
    <row r="82" spans="1:15" x14ac:dyDescent="0.25">
      <c r="A82" s="101" t="str">
        <f>'Data Vlaue (Cr)'!C77</f>
        <v>GODREJCP</v>
      </c>
      <c r="B82" s="50">
        <f>VLOOKUP($A82,'Data Vlaue (Cr)'!$C:$FB,8)</f>
        <v>1242.4000000000001</v>
      </c>
      <c r="C82" s="50">
        <f>VLOOKUP($A82,'Data Vlaue (Cr)'!$C:$FB,11)*100</f>
        <v>0.3</v>
      </c>
      <c r="D82" s="50">
        <f>VLOOKUP($A82,'Data Vlaue (Cr)'!$C:$FB,143)</f>
        <v>379.34</v>
      </c>
      <c r="E82" s="50">
        <f>VLOOKUP($A82,'Data Vlaue (Cr)'!$C:$FB,144)</f>
        <v>397.75</v>
      </c>
      <c r="F82" s="50">
        <f>VLOOKUP($A82,'Data Vlaue (Cr)'!$C:$FB,146)*100</f>
        <v>-4.63</v>
      </c>
      <c r="G82" s="49">
        <f>VLOOKUP($A82,'Data Vlaue (Cr)'!$C:$FB,43)</f>
        <v>94</v>
      </c>
      <c r="H82" s="49">
        <f>VLOOKUP($A82,'Data Vlaue (Cr)'!$C:$FB,44)</f>
        <v>105</v>
      </c>
      <c r="I82" s="49">
        <f>VLOOKUP($A82,'Data Vlaue (Cr)'!$C:$FB,46)*100</f>
        <v>-10.11</v>
      </c>
      <c r="J82" s="51">
        <f>VLOOKUP($A82,'Data Vlaue (Cr)'!$C:$FB,59)</f>
        <v>196</v>
      </c>
      <c r="K82" s="51">
        <f>VLOOKUP($A82,'Data Vlaue (Cr)'!$C:$FB,60)</f>
        <v>192</v>
      </c>
      <c r="L82" s="51">
        <f>VLOOKUP($A82,'Data Vlaue (Cr)'!$C:$FB,62)*100</f>
        <v>2.12</v>
      </c>
      <c r="M82" s="51">
        <f>VLOOKUP($A82,'Data Vlaue (Cr)'!$C:$FB,63)</f>
        <v>85</v>
      </c>
      <c r="N82" s="51">
        <f>VLOOKUP($A82,'Data Vlaue (Cr)'!$C:$FB,64)</f>
        <v>95</v>
      </c>
      <c r="O82" s="51">
        <f>VLOOKUP($A82,'Data Vlaue (Cr)'!$C:$FB,66)*100</f>
        <v>-10.16</v>
      </c>
    </row>
    <row r="83" spans="1:15" x14ac:dyDescent="0.25">
      <c r="A83" s="101" t="str">
        <f>'Data Vlaue (Cr)'!C78</f>
        <v>GODREJPROP</v>
      </c>
      <c r="B83" s="50">
        <f>VLOOKUP($A83,'Data Vlaue (Cr)'!$C:$FB,8)</f>
        <v>2363.5</v>
      </c>
      <c r="C83" s="50">
        <f>VLOOKUP($A83,'Data Vlaue (Cr)'!$C:$FB,11)*100</f>
        <v>-1.68</v>
      </c>
      <c r="D83" s="50">
        <f>VLOOKUP($A83,'Data Vlaue (Cr)'!$C:$FB,143)</f>
        <v>1054.98</v>
      </c>
      <c r="E83" s="50">
        <f>VLOOKUP($A83,'Data Vlaue (Cr)'!$C:$FB,144)</f>
        <v>1520.3</v>
      </c>
      <c r="F83" s="50">
        <f>VLOOKUP($A83,'Data Vlaue (Cr)'!$C:$FB,146)*100</f>
        <v>-30.61</v>
      </c>
      <c r="G83" s="49">
        <f>VLOOKUP($A83,'Data Vlaue (Cr)'!$C:$FB,43)</f>
        <v>208</v>
      </c>
      <c r="H83" s="49">
        <f>VLOOKUP($A83,'Data Vlaue (Cr)'!$C:$FB,44)</f>
        <v>241</v>
      </c>
      <c r="I83" s="49">
        <f>VLOOKUP($A83,'Data Vlaue (Cr)'!$C:$FB,46)*100</f>
        <v>-13.66</v>
      </c>
      <c r="J83" s="51">
        <f>VLOOKUP($A83,'Data Vlaue (Cr)'!$C:$FB,59)</f>
        <v>483</v>
      </c>
      <c r="K83" s="51">
        <f>VLOOKUP($A83,'Data Vlaue (Cr)'!$C:$FB,60)</f>
        <v>766</v>
      </c>
      <c r="L83" s="51">
        <f>VLOOKUP($A83,'Data Vlaue (Cr)'!$C:$FB,62)*100</f>
        <v>-37</v>
      </c>
      <c r="M83" s="51">
        <f>VLOOKUP($A83,'Data Vlaue (Cr)'!$C:$FB,63)</f>
        <v>348</v>
      </c>
      <c r="N83" s="51">
        <f>VLOOKUP($A83,'Data Vlaue (Cr)'!$C:$FB,64)</f>
        <v>489</v>
      </c>
      <c r="O83" s="51">
        <f>VLOOKUP($A83,'Data Vlaue (Cr)'!$C:$FB,66)*100</f>
        <v>-28.87</v>
      </c>
    </row>
    <row r="84" spans="1:15" x14ac:dyDescent="0.25">
      <c r="A84" s="101" t="str">
        <f>'Data Vlaue (Cr)'!C79</f>
        <v>GRANULES</v>
      </c>
      <c r="B84" s="50">
        <f>VLOOKUP($A84,'Data Vlaue (Cr)'!$C:$FB,8)</f>
        <v>477.1</v>
      </c>
      <c r="C84" s="50">
        <f>VLOOKUP($A84,'Data Vlaue (Cr)'!$C:$FB,11)*100</f>
        <v>-3.52</v>
      </c>
      <c r="D84" s="50">
        <f>VLOOKUP($A84,'Data Vlaue (Cr)'!$C:$FB,143)</f>
        <v>403.77</v>
      </c>
      <c r="E84" s="50">
        <f>VLOOKUP($A84,'Data Vlaue (Cr)'!$C:$FB,144)</f>
        <v>177.71</v>
      </c>
      <c r="F84" s="50">
        <f>VLOOKUP($A84,'Data Vlaue (Cr)'!$C:$FB,146)*100</f>
        <v>127.21000000000001</v>
      </c>
      <c r="G84" s="49">
        <f>VLOOKUP($A84,'Data Vlaue (Cr)'!$C:$FB,43)</f>
        <v>100</v>
      </c>
      <c r="H84" s="49">
        <f>VLOOKUP($A84,'Data Vlaue (Cr)'!$C:$FB,44)</f>
        <v>47</v>
      </c>
      <c r="I84" s="49">
        <f>VLOOKUP($A84,'Data Vlaue (Cr)'!$C:$FB,46)*100</f>
        <v>114.3</v>
      </c>
      <c r="J84" s="51">
        <f>VLOOKUP($A84,'Data Vlaue (Cr)'!$C:$FB,59)</f>
        <v>180</v>
      </c>
      <c r="K84" s="51">
        <f>VLOOKUP($A84,'Data Vlaue (Cr)'!$C:$FB,60)</f>
        <v>88</v>
      </c>
      <c r="L84" s="51">
        <f>VLOOKUP($A84,'Data Vlaue (Cr)'!$C:$FB,62)*100</f>
        <v>103.76</v>
      </c>
      <c r="M84" s="51">
        <f>VLOOKUP($A84,'Data Vlaue (Cr)'!$C:$FB,63)</f>
        <v>107</v>
      </c>
      <c r="N84" s="51">
        <f>VLOOKUP($A84,'Data Vlaue (Cr)'!$C:$FB,64)</f>
        <v>32</v>
      </c>
      <c r="O84" s="51">
        <f>VLOOKUP($A84,'Data Vlaue (Cr)'!$C:$FB,66)*100</f>
        <v>237.14</v>
      </c>
    </row>
    <row r="85" spans="1:15" x14ac:dyDescent="0.25">
      <c r="A85" s="101" t="str">
        <f>'Data Vlaue (Cr)'!C80</f>
        <v>GRASIM</v>
      </c>
      <c r="B85" s="50">
        <f>VLOOKUP($A85,'Data Vlaue (Cr)'!$C:$FB,8)</f>
        <v>2722.7</v>
      </c>
      <c r="C85" s="50">
        <f>VLOOKUP($A85,'Data Vlaue (Cr)'!$C:$FB,11)*100</f>
        <v>-0.70000000000000007</v>
      </c>
      <c r="D85" s="50">
        <f>VLOOKUP($A85,'Data Vlaue (Cr)'!$C:$FB,143)</f>
        <v>874.84</v>
      </c>
      <c r="E85" s="50">
        <f>VLOOKUP($A85,'Data Vlaue (Cr)'!$C:$FB,144)</f>
        <v>944.8</v>
      </c>
      <c r="F85" s="50">
        <f>VLOOKUP($A85,'Data Vlaue (Cr)'!$C:$FB,146)*100</f>
        <v>-7.3999999999999995</v>
      </c>
      <c r="G85" s="49">
        <f>VLOOKUP($A85,'Data Vlaue (Cr)'!$C:$FB,43)</f>
        <v>229</v>
      </c>
      <c r="H85" s="49">
        <f>VLOOKUP($A85,'Data Vlaue (Cr)'!$C:$FB,44)</f>
        <v>164</v>
      </c>
      <c r="I85" s="49">
        <f>VLOOKUP($A85,'Data Vlaue (Cr)'!$C:$FB,46)*100</f>
        <v>39.910000000000004</v>
      </c>
      <c r="J85" s="51">
        <f>VLOOKUP($A85,'Data Vlaue (Cr)'!$C:$FB,59)</f>
        <v>454</v>
      </c>
      <c r="K85" s="51">
        <f>VLOOKUP($A85,'Data Vlaue (Cr)'!$C:$FB,60)</f>
        <v>591</v>
      </c>
      <c r="L85" s="51">
        <f>VLOOKUP($A85,'Data Vlaue (Cr)'!$C:$FB,62)*100</f>
        <v>-23.27</v>
      </c>
      <c r="M85" s="51">
        <f>VLOOKUP($A85,'Data Vlaue (Cr)'!$C:$FB,63)</f>
        <v>173</v>
      </c>
      <c r="N85" s="51">
        <f>VLOOKUP($A85,'Data Vlaue (Cr)'!$C:$FB,64)</f>
        <v>165</v>
      </c>
      <c r="O85" s="51">
        <f>VLOOKUP($A85,'Data Vlaue (Cr)'!$C:$FB,66)*100</f>
        <v>4.51</v>
      </c>
    </row>
    <row r="86" spans="1:15" x14ac:dyDescent="0.25">
      <c r="A86" s="101" t="str">
        <f>'Data Vlaue (Cr)'!C81</f>
        <v>HAL</v>
      </c>
      <c r="B86" s="50">
        <f>VLOOKUP($A86,'Data Vlaue (Cr)'!$C:$FB,8)</f>
        <v>4758.2</v>
      </c>
      <c r="C86" s="50">
        <f>VLOOKUP($A86,'Data Vlaue (Cr)'!$C:$FB,11)*100</f>
        <v>0.15</v>
      </c>
      <c r="D86" s="50">
        <f>VLOOKUP($A86,'Data Vlaue (Cr)'!$C:$FB,143)</f>
        <v>6482.73</v>
      </c>
      <c r="E86" s="50">
        <f>VLOOKUP($A86,'Data Vlaue (Cr)'!$C:$FB,144)</f>
        <v>9113.3799999999992</v>
      </c>
      <c r="F86" s="50">
        <f>VLOOKUP($A86,'Data Vlaue (Cr)'!$C:$FB,146)*100</f>
        <v>-28.87</v>
      </c>
      <c r="G86" s="49">
        <f>VLOOKUP($A86,'Data Vlaue (Cr)'!$C:$FB,43)</f>
        <v>734</v>
      </c>
      <c r="H86" s="49">
        <f>VLOOKUP($A86,'Data Vlaue (Cr)'!$C:$FB,44)</f>
        <v>995</v>
      </c>
      <c r="I86" s="49">
        <f>VLOOKUP($A86,'Data Vlaue (Cr)'!$C:$FB,46)*100</f>
        <v>-26.229999999999997</v>
      </c>
      <c r="J86" s="51">
        <f>VLOOKUP($A86,'Data Vlaue (Cr)'!$C:$FB,59)</f>
        <v>4092</v>
      </c>
      <c r="K86" s="51">
        <f>VLOOKUP($A86,'Data Vlaue (Cr)'!$C:$FB,60)</f>
        <v>5680</v>
      </c>
      <c r="L86" s="51">
        <f>VLOOKUP($A86,'Data Vlaue (Cr)'!$C:$FB,62)*100</f>
        <v>-27.939999999999998</v>
      </c>
      <c r="M86" s="51">
        <f>VLOOKUP($A86,'Data Vlaue (Cr)'!$C:$FB,63)</f>
        <v>1468</v>
      </c>
      <c r="N86" s="51">
        <f>VLOOKUP($A86,'Data Vlaue (Cr)'!$C:$FB,64)</f>
        <v>2265</v>
      </c>
      <c r="O86" s="51">
        <f>VLOOKUP($A86,'Data Vlaue (Cr)'!$C:$FB,66)*100</f>
        <v>-35.160000000000004</v>
      </c>
    </row>
    <row r="87" spans="1:15" x14ac:dyDescent="0.25">
      <c r="A87" s="101" t="str">
        <f>'Data Vlaue (Cr)'!C82</f>
        <v>HAVELLS</v>
      </c>
      <c r="B87" s="50">
        <f>VLOOKUP($A87,'Data Vlaue (Cr)'!$C:$FB,8)</f>
        <v>1578.6</v>
      </c>
      <c r="C87" s="50">
        <f>VLOOKUP($A87,'Data Vlaue (Cr)'!$C:$FB,11)*100</f>
        <v>3.0700000000000003</v>
      </c>
      <c r="D87" s="50">
        <f>VLOOKUP($A87,'Data Vlaue (Cr)'!$C:$FB,143)</f>
        <v>11215</v>
      </c>
      <c r="E87" s="50">
        <f>VLOOKUP($A87,'Data Vlaue (Cr)'!$C:$FB,144)</f>
        <v>2891.73</v>
      </c>
      <c r="F87" s="50">
        <f>VLOOKUP($A87,'Data Vlaue (Cr)'!$C:$FB,146)*100</f>
        <v>287.83</v>
      </c>
      <c r="G87" s="49">
        <f>VLOOKUP($A87,'Data Vlaue (Cr)'!$C:$FB,43)</f>
        <v>1913</v>
      </c>
      <c r="H87" s="49">
        <f>VLOOKUP($A87,'Data Vlaue (Cr)'!$C:$FB,44)</f>
        <v>605</v>
      </c>
      <c r="I87" s="49">
        <f>VLOOKUP($A87,'Data Vlaue (Cr)'!$C:$FB,46)*100</f>
        <v>216</v>
      </c>
      <c r="J87" s="51">
        <f>VLOOKUP($A87,'Data Vlaue (Cr)'!$C:$FB,59)</f>
        <v>5930</v>
      </c>
      <c r="K87" s="51">
        <f>VLOOKUP($A87,'Data Vlaue (Cr)'!$C:$FB,60)</f>
        <v>1357</v>
      </c>
      <c r="L87" s="51">
        <f>VLOOKUP($A87,'Data Vlaue (Cr)'!$C:$FB,62)*100</f>
        <v>336.95</v>
      </c>
      <c r="M87" s="51">
        <f>VLOOKUP($A87,'Data Vlaue (Cr)'!$C:$FB,63)</f>
        <v>3454</v>
      </c>
      <c r="N87" s="51">
        <f>VLOOKUP($A87,'Data Vlaue (Cr)'!$C:$FB,64)</f>
        <v>984</v>
      </c>
      <c r="O87" s="51">
        <f>VLOOKUP($A87,'Data Vlaue (Cr)'!$C:$FB,66)*100</f>
        <v>251.14000000000001</v>
      </c>
    </row>
    <row r="88" spans="1:15" x14ac:dyDescent="0.25">
      <c r="A88" s="101" t="str">
        <f>'Data Vlaue (Cr)'!C83</f>
        <v>HCLTECH</v>
      </c>
      <c r="B88" s="50">
        <f>VLOOKUP($A88,'Data Vlaue (Cr)'!$C:$FB,8)</f>
        <v>1520.1</v>
      </c>
      <c r="C88" s="50">
        <f>VLOOKUP($A88,'Data Vlaue (Cr)'!$C:$FB,11)*100</f>
        <v>-0.67</v>
      </c>
      <c r="D88" s="50">
        <f>VLOOKUP($A88,'Data Vlaue (Cr)'!$C:$FB,143)</f>
        <v>2776.02</v>
      </c>
      <c r="E88" s="50">
        <f>VLOOKUP($A88,'Data Vlaue (Cr)'!$C:$FB,144)</f>
        <v>3783.01</v>
      </c>
      <c r="F88" s="50">
        <f>VLOOKUP($A88,'Data Vlaue (Cr)'!$C:$FB,146)*100</f>
        <v>-26.619999999999997</v>
      </c>
      <c r="G88" s="49">
        <f>VLOOKUP($A88,'Data Vlaue (Cr)'!$C:$FB,43)</f>
        <v>342</v>
      </c>
      <c r="H88" s="49">
        <f>VLOOKUP($A88,'Data Vlaue (Cr)'!$C:$FB,44)</f>
        <v>501</v>
      </c>
      <c r="I88" s="49">
        <f>VLOOKUP($A88,'Data Vlaue (Cr)'!$C:$FB,46)*100</f>
        <v>-31.819999999999997</v>
      </c>
      <c r="J88" s="51">
        <f>VLOOKUP($A88,'Data Vlaue (Cr)'!$C:$FB,59)</f>
        <v>1742</v>
      </c>
      <c r="K88" s="51">
        <f>VLOOKUP($A88,'Data Vlaue (Cr)'!$C:$FB,60)</f>
        <v>2322</v>
      </c>
      <c r="L88" s="51">
        <f>VLOOKUP($A88,'Data Vlaue (Cr)'!$C:$FB,62)*100</f>
        <v>-25</v>
      </c>
      <c r="M88" s="51">
        <f>VLOOKUP($A88,'Data Vlaue (Cr)'!$C:$FB,63)</f>
        <v>599</v>
      </c>
      <c r="N88" s="51">
        <f>VLOOKUP($A88,'Data Vlaue (Cr)'!$C:$FB,64)</f>
        <v>811</v>
      </c>
      <c r="O88" s="51">
        <f>VLOOKUP($A88,'Data Vlaue (Cr)'!$C:$FB,66)*100</f>
        <v>-26.14</v>
      </c>
    </row>
    <row r="89" spans="1:15" x14ac:dyDescent="0.25">
      <c r="A89" s="101" t="str">
        <f>'Data Vlaue (Cr)'!C84</f>
        <v>HDFCAMC</v>
      </c>
      <c r="B89" s="50">
        <f>VLOOKUP($A89,'Data Vlaue (Cr)'!$C:$FB,8)</f>
        <v>5592.5</v>
      </c>
      <c r="C89" s="50">
        <f>VLOOKUP($A89,'Data Vlaue (Cr)'!$C:$FB,11)*100</f>
        <v>-0.52</v>
      </c>
      <c r="D89" s="50">
        <f>VLOOKUP($A89,'Data Vlaue (Cr)'!$C:$FB,143)</f>
        <v>1934.99</v>
      </c>
      <c r="E89" s="50">
        <f>VLOOKUP($A89,'Data Vlaue (Cr)'!$C:$FB,144)</f>
        <v>3646.02</v>
      </c>
      <c r="F89" s="50">
        <f>VLOOKUP($A89,'Data Vlaue (Cr)'!$C:$FB,146)*100</f>
        <v>-46.93</v>
      </c>
      <c r="G89" s="49">
        <f>VLOOKUP($A89,'Data Vlaue (Cr)'!$C:$FB,43)</f>
        <v>252</v>
      </c>
      <c r="H89" s="49">
        <f>VLOOKUP($A89,'Data Vlaue (Cr)'!$C:$FB,44)</f>
        <v>455</v>
      </c>
      <c r="I89" s="49">
        <f>VLOOKUP($A89,'Data Vlaue (Cr)'!$C:$FB,46)*100</f>
        <v>-44.519999999999996</v>
      </c>
      <c r="J89" s="51">
        <f>VLOOKUP($A89,'Data Vlaue (Cr)'!$C:$FB,59)</f>
        <v>943</v>
      </c>
      <c r="K89" s="51">
        <f>VLOOKUP($A89,'Data Vlaue (Cr)'!$C:$FB,60)</f>
        <v>2008</v>
      </c>
      <c r="L89" s="51">
        <f>VLOOKUP($A89,'Data Vlaue (Cr)'!$C:$FB,62)*100</f>
        <v>-53.010000000000005</v>
      </c>
      <c r="M89" s="51">
        <f>VLOOKUP($A89,'Data Vlaue (Cr)'!$C:$FB,63)</f>
        <v>725</v>
      </c>
      <c r="N89" s="51">
        <f>VLOOKUP($A89,'Data Vlaue (Cr)'!$C:$FB,64)</f>
        <v>1142</v>
      </c>
      <c r="O89" s="51">
        <f>VLOOKUP($A89,'Data Vlaue (Cr)'!$C:$FB,66)*100</f>
        <v>-36.51</v>
      </c>
    </row>
    <row r="90" spans="1:15" x14ac:dyDescent="0.25">
      <c r="A90" s="101" t="str">
        <f>'Data Vlaue (Cr)'!C85</f>
        <v>HDFCBANK</v>
      </c>
      <c r="B90" s="50">
        <f>VLOOKUP($A90,'Data Vlaue (Cr)'!$C:$FB,8)</f>
        <v>2007.1</v>
      </c>
      <c r="C90" s="50">
        <f>VLOOKUP($A90,'Data Vlaue (Cr)'!$C:$FB,11)*100</f>
        <v>0.33</v>
      </c>
      <c r="D90" s="50">
        <f>VLOOKUP($A90,'Data Vlaue (Cr)'!$C:$FB,143)</f>
        <v>21399.13</v>
      </c>
      <c r="E90" s="50">
        <f>VLOOKUP($A90,'Data Vlaue (Cr)'!$C:$FB,144)</f>
        <v>50729.06</v>
      </c>
      <c r="F90" s="50">
        <f>VLOOKUP($A90,'Data Vlaue (Cr)'!$C:$FB,146)*100</f>
        <v>-57.820000000000007</v>
      </c>
      <c r="G90" s="49">
        <f>VLOOKUP($A90,'Data Vlaue (Cr)'!$C:$FB,43)</f>
        <v>2309</v>
      </c>
      <c r="H90" s="49">
        <f>VLOOKUP($A90,'Data Vlaue (Cr)'!$C:$FB,44)</f>
        <v>5242</v>
      </c>
      <c r="I90" s="49">
        <f>VLOOKUP($A90,'Data Vlaue (Cr)'!$C:$FB,46)*100</f>
        <v>-55.95</v>
      </c>
      <c r="J90" s="51">
        <f>VLOOKUP($A90,'Data Vlaue (Cr)'!$C:$FB,59)</f>
        <v>11230</v>
      </c>
      <c r="K90" s="51">
        <f>VLOOKUP($A90,'Data Vlaue (Cr)'!$C:$FB,60)</f>
        <v>25893</v>
      </c>
      <c r="L90" s="51">
        <f>VLOOKUP($A90,'Data Vlaue (Cr)'!$C:$FB,62)*100</f>
        <v>-56.63</v>
      </c>
      <c r="M90" s="51">
        <f>VLOOKUP($A90,'Data Vlaue (Cr)'!$C:$FB,63)</f>
        <v>7706</v>
      </c>
      <c r="N90" s="51">
        <f>VLOOKUP($A90,'Data Vlaue (Cr)'!$C:$FB,64)</f>
        <v>19662</v>
      </c>
      <c r="O90" s="51">
        <f>VLOOKUP($A90,'Data Vlaue (Cr)'!$C:$FB,66)*100</f>
        <v>-60.809999999999995</v>
      </c>
    </row>
    <row r="91" spans="1:15" x14ac:dyDescent="0.25">
      <c r="A91" s="101" t="str">
        <f>'Data Vlaue (Cr)'!C86</f>
        <v>HDFCLIFE</v>
      </c>
      <c r="B91" s="50">
        <f>VLOOKUP($A91,'Data Vlaue (Cr)'!$C:$FB,8)</f>
        <v>763.3</v>
      </c>
      <c r="C91" s="50">
        <f>VLOOKUP($A91,'Data Vlaue (Cr)'!$C:$FB,11)*100</f>
        <v>1.46</v>
      </c>
      <c r="D91" s="50">
        <f>VLOOKUP($A91,'Data Vlaue (Cr)'!$C:$FB,143)</f>
        <v>4876.3</v>
      </c>
      <c r="E91" s="50">
        <f>VLOOKUP($A91,'Data Vlaue (Cr)'!$C:$FB,144)</f>
        <v>2304.48</v>
      </c>
      <c r="F91" s="50">
        <f>VLOOKUP($A91,'Data Vlaue (Cr)'!$C:$FB,146)*100</f>
        <v>111.60000000000001</v>
      </c>
      <c r="G91" s="49">
        <f>VLOOKUP($A91,'Data Vlaue (Cr)'!$C:$FB,43)</f>
        <v>608</v>
      </c>
      <c r="H91" s="49">
        <f>VLOOKUP($A91,'Data Vlaue (Cr)'!$C:$FB,44)</f>
        <v>328</v>
      </c>
      <c r="I91" s="49">
        <f>VLOOKUP($A91,'Data Vlaue (Cr)'!$C:$FB,46)*100</f>
        <v>85.19</v>
      </c>
      <c r="J91" s="51">
        <f>VLOOKUP($A91,'Data Vlaue (Cr)'!$C:$FB,59)</f>
        <v>3055</v>
      </c>
      <c r="K91" s="51">
        <f>VLOOKUP($A91,'Data Vlaue (Cr)'!$C:$FB,60)</f>
        <v>1385</v>
      </c>
      <c r="L91" s="51">
        <f>VLOOKUP($A91,'Data Vlaue (Cr)'!$C:$FB,62)*100</f>
        <v>120.58</v>
      </c>
      <c r="M91" s="51">
        <f>VLOOKUP($A91,'Data Vlaue (Cr)'!$C:$FB,63)</f>
        <v>1170</v>
      </c>
      <c r="N91" s="51">
        <f>VLOOKUP($A91,'Data Vlaue (Cr)'!$C:$FB,64)</f>
        <v>589</v>
      </c>
      <c r="O91" s="51">
        <f>VLOOKUP($A91,'Data Vlaue (Cr)'!$C:$FB,66)*100</f>
        <v>98.59</v>
      </c>
    </row>
    <row r="92" spans="1:15" x14ac:dyDescent="0.25">
      <c r="A92" s="101" t="str">
        <f>'Data Vlaue (Cr)'!C87</f>
        <v>HEROMOTOCO</v>
      </c>
      <c r="B92" s="50">
        <f>VLOOKUP($A92,'Data Vlaue (Cr)'!$C:$FB,8)</f>
        <v>4342.3999999999996</v>
      </c>
      <c r="C92" s="50">
        <f>VLOOKUP($A92,'Data Vlaue (Cr)'!$C:$FB,11)*100</f>
        <v>-1.49</v>
      </c>
      <c r="D92" s="50">
        <f>VLOOKUP($A92,'Data Vlaue (Cr)'!$C:$FB,143)</f>
        <v>4212.66</v>
      </c>
      <c r="E92" s="50">
        <f>VLOOKUP($A92,'Data Vlaue (Cr)'!$C:$FB,144)</f>
        <v>3159.1</v>
      </c>
      <c r="F92" s="50">
        <f>VLOOKUP($A92,'Data Vlaue (Cr)'!$C:$FB,146)*100</f>
        <v>33.35</v>
      </c>
      <c r="G92" s="49">
        <f>VLOOKUP($A92,'Data Vlaue (Cr)'!$C:$FB,43)</f>
        <v>477</v>
      </c>
      <c r="H92" s="49">
        <f>VLOOKUP($A92,'Data Vlaue (Cr)'!$C:$FB,44)</f>
        <v>283</v>
      </c>
      <c r="I92" s="49">
        <f>VLOOKUP($A92,'Data Vlaue (Cr)'!$C:$FB,46)*100</f>
        <v>68.489999999999995</v>
      </c>
      <c r="J92" s="51">
        <f>VLOOKUP($A92,'Data Vlaue (Cr)'!$C:$FB,59)</f>
        <v>2618</v>
      </c>
      <c r="K92" s="51">
        <f>VLOOKUP($A92,'Data Vlaue (Cr)'!$C:$FB,60)</f>
        <v>2023</v>
      </c>
      <c r="L92" s="51">
        <f>VLOOKUP($A92,'Data Vlaue (Cr)'!$C:$FB,62)*100</f>
        <v>29.409999999999997</v>
      </c>
      <c r="M92" s="51">
        <f>VLOOKUP($A92,'Data Vlaue (Cr)'!$C:$FB,63)</f>
        <v>960</v>
      </c>
      <c r="N92" s="51">
        <f>VLOOKUP($A92,'Data Vlaue (Cr)'!$C:$FB,64)</f>
        <v>724</v>
      </c>
      <c r="O92" s="51">
        <f>VLOOKUP($A92,'Data Vlaue (Cr)'!$C:$FB,66)*100</f>
        <v>32.659999999999997</v>
      </c>
    </row>
    <row r="93" spans="1:15" x14ac:dyDescent="0.25">
      <c r="A93" s="101" t="str">
        <f>'Data Vlaue (Cr)'!C88</f>
        <v>HFCL</v>
      </c>
      <c r="B93" s="50">
        <f>VLOOKUP($A93,'Data Vlaue (Cr)'!$C:$FB,8)</f>
        <v>80.319999999999993</v>
      </c>
      <c r="C93" s="50">
        <f>VLOOKUP($A93,'Data Vlaue (Cr)'!$C:$FB,11)*100</f>
        <v>-1.73</v>
      </c>
      <c r="D93" s="50">
        <f>VLOOKUP($A93,'Data Vlaue (Cr)'!$C:$FB,143)</f>
        <v>371.94</v>
      </c>
      <c r="E93" s="50">
        <f>VLOOKUP($A93,'Data Vlaue (Cr)'!$C:$FB,144)</f>
        <v>172.55</v>
      </c>
      <c r="F93" s="50">
        <f>VLOOKUP($A93,'Data Vlaue (Cr)'!$C:$FB,146)*100</f>
        <v>115.56</v>
      </c>
      <c r="G93" s="49">
        <f>VLOOKUP($A93,'Data Vlaue (Cr)'!$C:$FB,43)</f>
        <v>146</v>
      </c>
      <c r="H93" s="49">
        <f>VLOOKUP($A93,'Data Vlaue (Cr)'!$C:$FB,44)</f>
        <v>57</v>
      </c>
      <c r="I93" s="49">
        <f>VLOOKUP($A93,'Data Vlaue (Cr)'!$C:$FB,46)*100</f>
        <v>157.6</v>
      </c>
      <c r="J93" s="51">
        <f>VLOOKUP($A93,'Data Vlaue (Cr)'!$C:$FB,59)</f>
        <v>149</v>
      </c>
      <c r="K93" s="51">
        <f>VLOOKUP($A93,'Data Vlaue (Cr)'!$C:$FB,60)</f>
        <v>73</v>
      </c>
      <c r="L93" s="51">
        <f>VLOOKUP($A93,'Data Vlaue (Cr)'!$C:$FB,62)*100</f>
        <v>103.33000000000001</v>
      </c>
      <c r="M93" s="51">
        <f>VLOOKUP($A93,'Data Vlaue (Cr)'!$C:$FB,63)</f>
        <v>61</v>
      </c>
      <c r="N93" s="51">
        <f>VLOOKUP($A93,'Data Vlaue (Cr)'!$C:$FB,64)</f>
        <v>34</v>
      </c>
      <c r="O93" s="51">
        <f>VLOOKUP($A93,'Data Vlaue (Cr)'!$C:$FB,66)*100</f>
        <v>78.05</v>
      </c>
    </row>
    <row r="94" spans="1:15" x14ac:dyDescent="0.25">
      <c r="A94" s="101" t="str">
        <f>'Data Vlaue (Cr)'!C89</f>
        <v>HINDALCO</v>
      </c>
      <c r="B94" s="50">
        <f>VLOOKUP($A94,'Data Vlaue (Cr)'!$C:$FB,8)</f>
        <v>690.05</v>
      </c>
      <c r="C94" s="50">
        <f>VLOOKUP($A94,'Data Vlaue (Cr)'!$C:$FB,11)*100</f>
        <v>1.08</v>
      </c>
      <c r="D94" s="50">
        <f>VLOOKUP($A94,'Data Vlaue (Cr)'!$C:$FB,143)</f>
        <v>3238.66</v>
      </c>
      <c r="E94" s="50">
        <f>VLOOKUP($A94,'Data Vlaue (Cr)'!$C:$FB,144)</f>
        <v>3410.81</v>
      </c>
      <c r="F94" s="50">
        <f>VLOOKUP($A94,'Data Vlaue (Cr)'!$C:$FB,146)*100</f>
        <v>-5.0500000000000007</v>
      </c>
      <c r="G94" s="49">
        <f>VLOOKUP($A94,'Data Vlaue (Cr)'!$C:$FB,43)</f>
        <v>502</v>
      </c>
      <c r="H94" s="49">
        <f>VLOOKUP($A94,'Data Vlaue (Cr)'!$C:$FB,44)</f>
        <v>666</v>
      </c>
      <c r="I94" s="49">
        <f>VLOOKUP($A94,'Data Vlaue (Cr)'!$C:$FB,46)*100</f>
        <v>-24.55</v>
      </c>
      <c r="J94" s="51">
        <f>VLOOKUP($A94,'Data Vlaue (Cr)'!$C:$FB,59)</f>
        <v>1875</v>
      </c>
      <c r="K94" s="51">
        <f>VLOOKUP($A94,'Data Vlaue (Cr)'!$C:$FB,60)</f>
        <v>1816</v>
      </c>
      <c r="L94" s="51">
        <f>VLOOKUP($A94,'Data Vlaue (Cr)'!$C:$FB,62)*100</f>
        <v>3.2300000000000004</v>
      </c>
      <c r="M94" s="51">
        <f>VLOOKUP($A94,'Data Vlaue (Cr)'!$C:$FB,63)</f>
        <v>833</v>
      </c>
      <c r="N94" s="51">
        <f>VLOOKUP($A94,'Data Vlaue (Cr)'!$C:$FB,64)</f>
        <v>916</v>
      </c>
      <c r="O94" s="51">
        <f>VLOOKUP($A94,'Data Vlaue (Cr)'!$C:$FB,66)*100</f>
        <v>-9.08</v>
      </c>
    </row>
    <row r="95" spans="1:15" x14ac:dyDescent="0.25">
      <c r="A95" s="101" t="str">
        <f>'Data Vlaue (Cr)'!C90</f>
        <v>HINDCOPPER</v>
      </c>
      <c r="B95" s="50">
        <f>VLOOKUP($A95,'Data Vlaue (Cr)'!$C:$FB,8)</f>
        <v>271.95</v>
      </c>
      <c r="C95" s="50">
        <f>VLOOKUP($A95,'Data Vlaue (Cr)'!$C:$FB,11)*100</f>
        <v>-0.67999999999999994</v>
      </c>
      <c r="D95" s="50">
        <f>VLOOKUP($A95,'Data Vlaue (Cr)'!$C:$FB,143)</f>
        <v>953.41</v>
      </c>
      <c r="E95" s="50">
        <f>VLOOKUP($A95,'Data Vlaue (Cr)'!$C:$FB,144)</f>
        <v>78.010000000000005</v>
      </c>
      <c r="F95" s="50">
        <f>VLOOKUP($A95,'Data Vlaue (Cr)'!$C:$FB,146)*100</f>
        <v>1122.24</v>
      </c>
      <c r="G95" s="49">
        <f>VLOOKUP($A95,'Data Vlaue (Cr)'!$C:$FB,43)</f>
        <v>224</v>
      </c>
      <c r="H95" s="49">
        <f>VLOOKUP($A95,'Data Vlaue (Cr)'!$C:$FB,44)</f>
        <v>39</v>
      </c>
      <c r="I95" s="49">
        <f>VLOOKUP($A95,'Data Vlaue (Cr)'!$C:$FB,46)*100</f>
        <v>479.54999999999995</v>
      </c>
      <c r="J95" s="51">
        <f>VLOOKUP($A95,'Data Vlaue (Cr)'!$C:$FB,59)</f>
        <v>508</v>
      </c>
      <c r="K95" s="51">
        <f>VLOOKUP($A95,'Data Vlaue (Cr)'!$C:$FB,60)</f>
        <v>27</v>
      </c>
      <c r="L95" s="51">
        <f>VLOOKUP($A95,'Data Vlaue (Cr)'!$C:$FB,62)*100</f>
        <v>1746.5800000000002</v>
      </c>
      <c r="M95" s="51">
        <f>VLOOKUP($A95,'Data Vlaue (Cr)'!$C:$FB,63)</f>
        <v>193</v>
      </c>
      <c r="N95" s="51">
        <f>VLOOKUP($A95,'Data Vlaue (Cr)'!$C:$FB,64)</f>
        <v>12</v>
      </c>
      <c r="O95" s="51">
        <f>VLOOKUP($A95,'Data Vlaue (Cr)'!$C:$FB,66)*100</f>
        <v>1576.73</v>
      </c>
    </row>
    <row r="96" spans="1:15" x14ac:dyDescent="0.25">
      <c r="A96" s="101" t="str">
        <f>'Data Vlaue (Cr)'!C91</f>
        <v>HINDPETRO</v>
      </c>
      <c r="B96" s="50">
        <f>VLOOKUP($A96,'Data Vlaue (Cr)'!$C:$FB,8)</f>
        <v>429.25</v>
      </c>
      <c r="C96" s="50">
        <f>VLOOKUP($A96,'Data Vlaue (Cr)'!$C:$FB,11)*100</f>
        <v>-0.57000000000000006</v>
      </c>
      <c r="D96" s="50">
        <f>VLOOKUP($A96,'Data Vlaue (Cr)'!$C:$FB,143)</f>
        <v>793.9</v>
      </c>
      <c r="E96" s="50">
        <f>VLOOKUP($A96,'Data Vlaue (Cr)'!$C:$FB,144)</f>
        <v>809.12</v>
      </c>
      <c r="F96" s="50">
        <f>VLOOKUP($A96,'Data Vlaue (Cr)'!$C:$FB,146)*100</f>
        <v>-1.8800000000000001</v>
      </c>
      <c r="G96" s="49">
        <f>VLOOKUP($A96,'Data Vlaue (Cr)'!$C:$FB,43)</f>
        <v>219</v>
      </c>
      <c r="H96" s="49">
        <f>VLOOKUP($A96,'Data Vlaue (Cr)'!$C:$FB,44)</f>
        <v>191</v>
      </c>
      <c r="I96" s="49">
        <f>VLOOKUP($A96,'Data Vlaue (Cr)'!$C:$FB,46)*100</f>
        <v>14.6</v>
      </c>
      <c r="J96" s="51">
        <f>VLOOKUP($A96,'Data Vlaue (Cr)'!$C:$FB,59)</f>
        <v>353</v>
      </c>
      <c r="K96" s="51">
        <f>VLOOKUP($A96,'Data Vlaue (Cr)'!$C:$FB,60)</f>
        <v>349</v>
      </c>
      <c r="L96" s="51">
        <f>VLOOKUP($A96,'Data Vlaue (Cr)'!$C:$FB,62)*100</f>
        <v>1.0699999999999998</v>
      </c>
      <c r="M96" s="51">
        <f>VLOOKUP($A96,'Data Vlaue (Cr)'!$C:$FB,63)</f>
        <v>203</v>
      </c>
      <c r="N96" s="51">
        <f>VLOOKUP($A96,'Data Vlaue (Cr)'!$C:$FB,64)</f>
        <v>250</v>
      </c>
      <c r="O96" s="51">
        <f>VLOOKUP($A96,'Data Vlaue (Cr)'!$C:$FB,66)*100</f>
        <v>-18.649999999999999</v>
      </c>
    </row>
    <row r="97" spans="1:15" x14ac:dyDescent="0.25">
      <c r="A97" s="101" t="str">
        <f>'Data Vlaue (Cr)'!C92</f>
        <v>HINDUNILVR</v>
      </c>
      <c r="B97" s="50">
        <f>VLOOKUP($A97,'Data Vlaue (Cr)'!$C:$FB,8)</f>
        <v>2479.6999999999998</v>
      </c>
      <c r="C97" s="50">
        <f>VLOOKUP($A97,'Data Vlaue (Cr)'!$C:$FB,11)*100</f>
        <v>0.6</v>
      </c>
      <c r="D97" s="50">
        <f>VLOOKUP($A97,'Data Vlaue (Cr)'!$C:$FB,143)</f>
        <v>2641.12</v>
      </c>
      <c r="E97" s="50">
        <f>VLOOKUP($A97,'Data Vlaue (Cr)'!$C:$FB,144)</f>
        <v>4437.05</v>
      </c>
      <c r="F97" s="50">
        <f>VLOOKUP($A97,'Data Vlaue (Cr)'!$C:$FB,146)*100</f>
        <v>-40.479999999999997</v>
      </c>
      <c r="G97" s="49">
        <f>VLOOKUP($A97,'Data Vlaue (Cr)'!$C:$FB,43)</f>
        <v>347</v>
      </c>
      <c r="H97" s="49">
        <f>VLOOKUP($A97,'Data Vlaue (Cr)'!$C:$FB,44)</f>
        <v>538</v>
      </c>
      <c r="I97" s="49">
        <f>VLOOKUP($A97,'Data Vlaue (Cr)'!$C:$FB,46)*100</f>
        <v>-35.520000000000003</v>
      </c>
      <c r="J97" s="51">
        <f>VLOOKUP($A97,'Data Vlaue (Cr)'!$C:$FB,59)</f>
        <v>1547</v>
      </c>
      <c r="K97" s="51">
        <f>VLOOKUP($A97,'Data Vlaue (Cr)'!$C:$FB,60)</f>
        <v>2094</v>
      </c>
      <c r="L97" s="51">
        <f>VLOOKUP($A97,'Data Vlaue (Cr)'!$C:$FB,62)*100</f>
        <v>-26.119999999999997</v>
      </c>
      <c r="M97" s="51">
        <f>VLOOKUP($A97,'Data Vlaue (Cr)'!$C:$FB,63)</f>
        <v>725</v>
      </c>
      <c r="N97" s="51">
        <f>VLOOKUP($A97,'Data Vlaue (Cr)'!$C:$FB,64)</f>
        <v>1771</v>
      </c>
      <c r="O97" s="51">
        <f>VLOOKUP($A97,'Data Vlaue (Cr)'!$C:$FB,66)*100</f>
        <v>-59.08</v>
      </c>
    </row>
    <row r="98" spans="1:15" x14ac:dyDescent="0.25">
      <c r="A98" s="101" t="str">
        <f>'Data Vlaue (Cr)'!C93</f>
        <v>HINDZINC</v>
      </c>
      <c r="B98" s="50">
        <f>VLOOKUP($A98,'Data Vlaue (Cr)'!$C:$FB,8)</f>
        <v>443.2</v>
      </c>
      <c r="C98" s="50">
        <f>VLOOKUP($A98,'Data Vlaue (Cr)'!$C:$FB,11)*100</f>
        <v>-0.33</v>
      </c>
      <c r="D98" s="50">
        <f>VLOOKUP($A98,'Data Vlaue (Cr)'!$C:$FB,143)</f>
        <v>594.88</v>
      </c>
      <c r="E98" s="50">
        <f>VLOOKUP($A98,'Data Vlaue (Cr)'!$C:$FB,144)</f>
        <v>1622.03</v>
      </c>
      <c r="F98" s="50">
        <f>VLOOKUP($A98,'Data Vlaue (Cr)'!$C:$FB,146)*100</f>
        <v>-63.33</v>
      </c>
      <c r="G98" s="49">
        <f>VLOOKUP($A98,'Data Vlaue (Cr)'!$C:$FB,43)</f>
        <v>140</v>
      </c>
      <c r="H98" s="49">
        <f>VLOOKUP($A98,'Data Vlaue (Cr)'!$C:$FB,44)</f>
        <v>316</v>
      </c>
      <c r="I98" s="49">
        <f>VLOOKUP($A98,'Data Vlaue (Cr)'!$C:$FB,46)*100</f>
        <v>-55.66</v>
      </c>
      <c r="J98" s="51">
        <f>VLOOKUP($A98,'Data Vlaue (Cr)'!$C:$FB,59)</f>
        <v>293</v>
      </c>
      <c r="K98" s="51">
        <f>VLOOKUP($A98,'Data Vlaue (Cr)'!$C:$FB,60)</f>
        <v>779</v>
      </c>
      <c r="L98" s="51">
        <f>VLOOKUP($A98,'Data Vlaue (Cr)'!$C:$FB,62)*100</f>
        <v>-62.350000000000009</v>
      </c>
      <c r="M98" s="51">
        <f>VLOOKUP($A98,'Data Vlaue (Cr)'!$C:$FB,63)</f>
        <v>149</v>
      </c>
      <c r="N98" s="51">
        <f>VLOOKUP($A98,'Data Vlaue (Cr)'!$C:$FB,64)</f>
        <v>504</v>
      </c>
      <c r="O98" s="51">
        <f>VLOOKUP($A98,'Data Vlaue (Cr)'!$C:$FB,66)*100</f>
        <v>-70.37</v>
      </c>
    </row>
    <row r="99" spans="1:15" x14ac:dyDescent="0.25">
      <c r="A99" s="101" t="str">
        <f>'Data Vlaue (Cr)'!C94</f>
        <v>HUDCO</v>
      </c>
      <c r="B99" s="50">
        <f>VLOOKUP($A99,'Data Vlaue (Cr)'!$C:$FB,8)</f>
        <v>225.46</v>
      </c>
      <c r="C99" s="50">
        <f>VLOOKUP($A99,'Data Vlaue (Cr)'!$C:$FB,11)*100</f>
        <v>-0.94000000000000006</v>
      </c>
      <c r="D99" s="50">
        <f>VLOOKUP($A99,'Data Vlaue (Cr)'!$C:$FB,143)</f>
        <v>403.86</v>
      </c>
      <c r="E99" s="50">
        <f>VLOOKUP($A99,'Data Vlaue (Cr)'!$C:$FB,144)</f>
        <v>496.29</v>
      </c>
      <c r="F99" s="50">
        <f>VLOOKUP($A99,'Data Vlaue (Cr)'!$C:$FB,146)*100</f>
        <v>-18.63</v>
      </c>
      <c r="G99" s="49">
        <f>VLOOKUP($A99,'Data Vlaue (Cr)'!$C:$FB,43)</f>
        <v>91</v>
      </c>
      <c r="H99" s="49">
        <f>VLOOKUP($A99,'Data Vlaue (Cr)'!$C:$FB,44)</f>
        <v>121</v>
      </c>
      <c r="I99" s="49">
        <f>VLOOKUP($A99,'Data Vlaue (Cr)'!$C:$FB,46)*100</f>
        <v>-24.48</v>
      </c>
      <c r="J99" s="51">
        <f>VLOOKUP($A99,'Data Vlaue (Cr)'!$C:$FB,59)</f>
        <v>202</v>
      </c>
      <c r="K99" s="51">
        <f>VLOOKUP($A99,'Data Vlaue (Cr)'!$C:$FB,60)</f>
        <v>244</v>
      </c>
      <c r="L99" s="51">
        <f>VLOOKUP($A99,'Data Vlaue (Cr)'!$C:$FB,62)*100</f>
        <v>-16.97</v>
      </c>
      <c r="M99" s="51">
        <f>VLOOKUP($A99,'Data Vlaue (Cr)'!$C:$FB,63)</f>
        <v>91</v>
      </c>
      <c r="N99" s="51">
        <f>VLOOKUP($A99,'Data Vlaue (Cr)'!$C:$FB,64)</f>
        <v>113</v>
      </c>
      <c r="O99" s="51">
        <f>VLOOKUP($A99,'Data Vlaue (Cr)'!$C:$FB,66)*100</f>
        <v>-19.189999999999998</v>
      </c>
    </row>
    <row r="100" spans="1:15" x14ac:dyDescent="0.25">
      <c r="A100" s="101" t="str">
        <f>'Data Vlaue (Cr)'!C95</f>
        <v>ICICIBANK</v>
      </c>
      <c r="B100" s="50">
        <f>VLOOKUP($A100,'Data Vlaue (Cr)'!$C:$FB,8)</f>
        <v>1473.6</v>
      </c>
      <c r="C100" s="50">
        <f>VLOOKUP($A100,'Data Vlaue (Cr)'!$C:$FB,11)*100</f>
        <v>0.53</v>
      </c>
      <c r="D100" s="50">
        <f>VLOOKUP($A100,'Data Vlaue (Cr)'!$C:$FB,143)</f>
        <v>18214.080000000002</v>
      </c>
      <c r="E100" s="50">
        <f>VLOOKUP($A100,'Data Vlaue (Cr)'!$C:$FB,144)</f>
        <v>38191.61</v>
      </c>
      <c r="F100" s="50">
        <f>VLOOKUP($A100,'Data Vlaue (Cr)'!$C:$FB,146)*100</f>
        <v>-52.31</v>
      </c>
      <c r="G100" s="49">
        <f>VLOOKUP($A100,'Data Vlaue (Cr)'!$C:$FB,43)</f>
        <v>1967</v>
      </c>
      <c r="H100" s="49">
        <f>VLOOKUP($A100,'Data Vlaue (Cr)'!$C:$FB,44)</f>
        <v>3921</v>
      </c>
      <c r="I100" s="49">
        <f>VLOOKUP($A100,'Data Vlaue (Cr)'!$C:$FB,46)*100</f>
        <v>-49.82</v>
      </c>
      <c r="J100" s="51">
        <f>VLOOKUP($A100,'Data Vlaue (Cr)'!$C:$FB,59)</f>
        <v>9852</v>
      </c>
      <c r="K100" s="51">
        <f>VLOOKUP($A100,'Data Vlaue (Cr)'!$C:$FB,60)</f>
        <v>22104</v>
      </c>
      <c r="L100" s="51">
        <f>VLOOKUP($A100,'Data Vlaue (Cr)'!$C:$FB,62)*100</f>
        <v>-55.43</v>
      </c>
      <c r="M100" s="51">
        <f>VLOOKUP($A100,'Data Vlaue (Cr)'!$C:$FB,63)</f>
        <v>6292</v>
      </c>
      <c r="N100" s="51">
        <f>VLOOKUP($A100,'Data Vlaue (Cr)'!$C:$FB,64)</f>
        <v>12460</v>
      </c>
      <c r="O100" s="51">
        <f>VLOOKUP($A100,'Data Vlaue (Cr)'!$C:$FB,66)*100</f>
        <v>-49.5</v>
      </c>
    </row>
    <row r="101" spans="1:15" x14ac:dyDescent="0.25">
      <c r="A101" s="101" t="str">
        <f>'Data Vlaue (Cr)'!C96</f>
        <v>ICICIGI</v>
      </c>
      <c r="B101" s="50">
        <f>VLOOKUP($A101,'Data Vlaue (Cr)'!$C:$FB,8)</f>
        <v>1962.3</v>
      </c>
      <c r="C101" s="50">
        <f>VLOOKUP($A101,'Data Vlaue (Cr)'!$C:$FB,11)*100</f>
        <v>0.52</v>
      </c>
      <c r="D101" s="50">
        <f>VLOOKUP($A101,'Data Vlaue (Cr)'!$C:$FB,143)</f>
        <v>658.15</v>
      </c>
      <c r="E101" s="50">
        <f>VLOOKUP($A101,'Data Vlaue (Cr)'!$C:$FB,144)</f>
        <v>801.32</v>
      </c>
      <c r="F101" s="50">
        <f>VLOOKUP($A101,'Data Vlaue (Cr)'!$C:$FB,146)*100</f>
        <v>-17.87</v>
      </c>
      <c r="G101" s="49">
        <f>VLOOKUP($A101,'Data Vlaue (Cr)'!$C:$FB,43)</f>
        <v>134</v>
      </c>
      <c r="H101" s="49">
        <f>VLOOKUP($A101,'Data Vlaue (Cr)'!$C:$FB,44)</f>
        <v>119</v>
      </c>
      <c r="I101" s="49">
        <f>VLOOKUP($A101,'Data Vlaue (Cr)'!$C:$FB,46)*100</f>
        <v>11.92</v>
      </c>
      <c r="J101" s="51">
        <f>VLOOKUP($A101,'Data Vlaue (Cr)'!$C:$FB,59)</f>
        <v>371</v>
      </c>
      <c r="K101" s="51">
        <f>VLOOKUP($A101,'Data Vlaue (Cr)'!$C:$FB,60)</f>
        <v>528</v>
      </c>
      <c r="L101" s="51">
        <f>VLOOKUP($A101,'Data Vlaue (Cr)'!$C:$FB,62)*100</f>
        <v>-29.78</v>
      </c>
      <c r="M101" s="51">
        <f>VLOOKUP($A101,'Data Vlaue (Cr)'!$C:$FB,63)</f>
        <v>142</v>
      </c>
      <c r="N101" s="51">
        <f>VLOOKUP($A101,'Data Vlaue (Cr)'!$C:$FB,64)</f>
        <v>139</v>
      </c>
      <c r="O101" s="51">
        <f>VLOOKUP($A101,'Data Vlaue (Cr)'!$C:$FB,66)*100</f>
        <v>2.71</v>
      </c>
    </row>
    <row r="102" spans="1:15" x14ac:dyDescent="0.25">
      <c r="A102" s="101" t="str">
        <f>'Data Vlaue (Cr)'!C97</f>
        <v>ICICIPRULI</v>
      </c>
      <c r="B102" s="50">
        <f>VLOOKUP($A102,'Data Vlaue (Cr)'!$C:$FB,8)</f>
        <v>625.1</v>
      </c>
      <c r="C102" s="50">
        <f>VLOOKUP($A102,'Data Vlaue (Cr)'!$C:$FB,11)*100</f>
        <v>-1.54</v>
      </c>
      <c r="D102" s="50">
        <f>VLOOKUP($A102,'Data Vlaue (Cr)'!$C:$FB,143)</f>
        <v>1121.81</v>
      </c>
      <c r="E102" s="50">
        <f>VLOOKUP($A102,'Data Vlaue (Cr)'!$C:$FB,144)</f>
        <v>739.54</v>
      </c>
      <c r="F102" s="50">
        <f>VLOOKUP($A102,'Data Vlaue (Cr)'!$C:$FB,146)*100</f>
        <v>51.690000000000005</v>
      </c>
      <c r="G102" s="49">
        <f>VLOOKUP($A102,'Data Vlaue (Cr)'!$C:$FB,43)</f>
        <v>203</v>
      </c>
      <c r="H102" s="49">
        <f>VLOOKUP($A102,'Data Vlaue (Cr)'!$C:$FB,44)</f>
        <v>163</v>
      </c>
      <c r="I102" s="49">
        <f>VLOOKUP($A102,'Data Vlaue (Cr)'!$C:$FB,46)*100</f>
        <v>24.38</v>
      </c>
      <c r="J102" s="51">
        <f>VLOOKUP($A102,'Data Vlaue (Cr)'!$C:$FB,59)</f>
        <v>692</v>
      </c>
      <c r="K102" s="51">
        <f>VLOOKUP($A102,'Data Vlaue (Cr)'!$C:$FB,60)</f>
        <v>416</v>
      </c>
      <c r="L102" s="51">
        <f>VLOOKUP($A102,'Data Vlaue (Cr)'!$C:$FB,62)*100</f>
        <v>66.52</v>
      </c>
      <c r="M102" s="51">
        <f>VLOOKUP($A102,'Data Vlaue (Cr)'!$C:$FB,63)</f>
        <v>181</v>
      </c>
      <c r="N102" s="51">
        <f>VLOOKUP($A102,'Data Vlaue (Cr)'!$C:$FB,64)</f>
        <v>125</v>
      </c>
      <c r="O102" s="51">
        <f>VLOOKUP($A102,'Data Vlaue (Cr)'!$C:$FB,66)*100</f>
        <v>44.57</v>
      </c>
    </row>
    <row r="103" spans="1:15" x14ac:dyDescent="0.25">
      <c r="A103" s="101" t="str">
        <f>'Data Vlaue (Cr)'!C98</f>
        <v>IDEA</v>
      </c>
      <c r="B103" s="50">
        <f>VLOOKUP($A103,'Data Vlaue (Cr)'!$C:$FB,8)</f>
        <v>7.37</v>
      </c>
      <c r="C103" s="50">
        <f>VLOOKUP($A103,'Data Vlaue (Cr)'!$C:$FB,11)*100</f>
        <v>-3.4099999999999997</v>
      </c>
      <c r="D103" s="50">
        <f>VLOOKUP($A103,'Data Vlaue (Cr)'!$C:$FB,143)</f>
        <v>939.6</v>
      </c>
      <c r="E103" s="50">
        <f>VLOOKUP($A103,'Data Vlaue (Cr)'!$C:$FB,144)</f>
        <v>728.32</v>
      </c>
      <c r="F103" s="50">
        <f>VLOOKUP($A103,'Data Vlaue (Cr)'!$C:$FB,146)*100</f>
        <v>29.01</v>
      </c>
      <c r="G103" s="49">
        <f>VLOOKUP($A103,'Data Vlaue (Cr)'!$C:$FB,43)</f>
        <v>401</v>
      </c>
      <c r="H103" s="49">
        <f>VLOOKUP($A103,'Data Vlaue (Cr)'!$C:$FB,44)</f>
        <v>457</v>
      </c>
      <c r="I103" s="49">
        <f>VLOOKUP($A103,'Data Vlaue (Cr)'!$C:$FB,46)*100</f>
        <v>-12.2</v>
      </c>
      <c r="J103" s="51">
        <f>VLOOKUP($A103,'Data Vlaue (Cr)'!$C:$FB,59)</f>
        <v>422</v>
      </c>
      <c r="K103" s="51">
        <f>VLOOKUP($A103,'Data Vlaue (Cr)'!$C:$FB,60)</f>
        <v>180</v>
      </c>
      <c r="L103" s="51">
        <f>VLOOKUP($A103,'Data Vlaue (Cr)'!$C:$FB,62)*100</f>
        <v>135.22</v>
      </c>
      <c r="M103" s="51">
        <f>VLOOKUP($A103,'Data Vlaue (Cr)'!$C:$FB,63)</f>
        <v>67</v>
      </c>
      <c r="N103" s="51">
        <f>VLOOKUP($A103,'Data Vlaue (Cr)'!$C:$FB,64)</f>
        <v>44</v>
      </c>
      <c r="O103" s="51">
        <f>VLOOKUP($A103,'Data Vlaue (Cr)'!$C:$FB,66)*100</f>
        <v>52.88</v>
      </c>
    </row>
    <row r="104" spans="1:15" x14ac:dyDescent="0.25">
      <c r="A104" s="101" t="str">
        <f>'Data Vlaue (Cr)'!C99</f>
        <v>IDFCFIRSTB</v>
      </c>
      <c r="B104" s="50">
        <f>VLOOKUP($A104,'Data Vlaue (Cr)'!$C:$FB,8)</f>
        <v>72.44</v>
      </c>
      <c r="C104" s="50">
        <f>VLOOKUP($A104,'Data Vlaue (Cr)'!$C:$FB,11)*100</f>
        <v>-2.09</v>
      </c>
      <c r="D104" s="50">
        <f>VLOOKUP($A104,'Data Vlaue (Cr)'!$C:$FB,143)</f>
        <v>1324.74</v>
      </c>
      <c r="E104" s="50">
        <f>VLOOKUP($A104,'Data Vlaue (Cr)'!$C:$FB,144)</f>
        <v>2739.28</v>
      </c>
      <c r="F104" s="50">
        <f>VLOOKUP($A104,'Data Vlaue (Cr)'!$C:$FB,146)*100</f>
        <v>-51.64</v>
      </c>
      <c r="G104" s="49">
        <f>VLOOKUP($A104,'Data Vlaue (Cr)'!$C:$FB,43)</f>
        <v>363</v>
      </c>
      <c r="H104" s="49">
        <f>VLOOKUP($A104,'Data Vlaue (Cr)'!$C:$FB,44)</f>
        <v>835</v>
      </c>
      <c r="I104" s="49">
        <f>VLOOKUP($A104,'Data Vlaue (Cr)'!$C:$FB,46)*100</f>
        <v>-56.599999999999994</v>
      </c>
      <c r="J104" s="51">
        <f>VLOOKUP($A104,'Data Vlaue (Cr)'!$C:$FB,59)</f>
        <v>643</v>
      </c>
      <c r="K104" s="51">
        <f>VLOOKUP($A104,'Data Vlaue (Cr)'!$C:$FB,60)</f>
        <v>1249</v>
      </c>
      <c r="L104" s="51">
        <f>VLOOKUP($A104,'Data Vlaue (Cr)'!$C:$FB,62)*100</f>
        <v>-48.5</v>
      </c>
      <c r="M104" s="51">
        <f>VLOOKUP($A104,'Data Vlaue (Cr)'!$C:$FB,63)</f>
        <v>272</v>
      </c>
      <c r="N104" s="51">
        <f>VLOOKUP($A104,'Data Vlaue (Cr)'!$C:$FB,64)</f>
        <v>541</v>
      </c>
      <c r="O104" s="51">
        <f>VLOOKUP($A104,'Data Vlaue (Cr)'!$C:$FB,66)*100</f>
        <v>-49.69</v>
      </c>
    </row>
    <row r="105" spans="1:15" x14ac:dyDescent="0.25">
      <c r="A105" s="101" t="str">
        <f>'Data Vlaue (Cr)'!C100</f>
        <v>IEX</v>
      </c>
      <c r="B105" s="50">
        <f>VLOOKUP($A105,'Data Vlaue (Cr)'!$C:$FB,8)</f>
        <v>192.56</v>
      </c>
      <c r="C105" s="50">
        <f>VLOOKUP($A105,'Data Vlaue (Cr)'!$C:$FB,11)*100</f>
        <v>-1.7500000000000002</v>
      </c>
      <c r="D105" s="50">
        <f>VLOOKUP($A105,'Data Vlaue (Cr)'!$C:$FB,143)</f>
        <v>8047.55</v>
      </c>
      <c r="E105" s="50">
        <f>VLOOKUP($A105,'Data Vlaue (Cr)'!$C:$FB,144)</f>
        <v>4702.97</v>
      </c>
      <c r="F105" s="50">
        <f>VLOOKUP($A105,'Data Vlaue (Cr)'!$C:$FB,146)*100</f>
        <v>71.12</v>
      </c>
      <c r="G105" s="49">
        <f>VLOOKUP($A105,'Data Vlaue (Cr)'!$C:$FB,43)</f>
        <v>787</v>
      </c>
      <c r="H105" s="49">
        <f>VLOOKUP($A105,'Data Vlaue (Cr)'!$C:$FB,44)</f>
        <v>516</v>
      </c>
      <c r="I105" s="49">
        <f>VLOOKUP($A105,'Data Vlaue (Cr)'!$C:$FB,46)*100</f>
        <v>52.449999999999996</v>
      </c>
      <c r="J105" s="51">
        <f>VLOOKUP($A105,'Data Vlaue (Cr)'!$C:$FB,59)</f>
        <v>2305</v>
      </c>
      <c r="K105" s="51">
        <f>VLOOKUP($A105,'Data Vlaue (Cr)'!$C:$FB,60)</f>
        <v>1142</v>
      </c>
      <c r="L105" s="51">
        <f>VLOOKUP($A105,'Data Vlaue (Cr)'!$C:$FB,62)*100</f>
        <v>101.85</v>
      </c>
      <c r="M105" s="51">
        <f>VLOOKUP($A105,'Data Vlaue (Cr)'!$C:$FB,63)</f>
        <v>4975</v>
      </c>
      <c r="N105" s="51">
        <f>VLOOKUP($A105,'Data Vlaue (Cr)'!$C:$FB,64)</f>
        <v>2985</v>
      </c>
      <c r="O105" s="51">
        <f>VLOOKUP($A105,'Data Vlaue (Cr)'!$C:$FB,66)*100</f>
        <v>66.679999999999993</v>
      </c>
    </row>
    <row r="106" spans="1:15" x14ac:dyDescent="0.25">
      <c r="A106" s="101" t="str">
        <f>'Data Vlaue (Cr)'!C101</f>
        <v>IGL</v>
      </c>
      <c r="B106" s="50">
        <f>VLOOKUP($A106,'Data Vlaue (Cr)'!$C:$FB,8)</f>
        <v>212.88</v>
      </c>
      <c r="C106" s="50">
        <f>VLOOKUP($A106,'Data Vlaue (Cr)'!$C:$FB,11)*100</f>
        <v>-0.08</v>
      </c>
      <c r="D106" s="50">
        <f>VLOOKUP($A106,'Data Vlaue (Cr)'!$C:$FB,143)</f>
        <v>1329.34</v>
      </c>
      <c r="E106" s="50">
        <f>VLOOKUP($A106,'Data Vlaue (Cr)'!$C:$FB,144)</f>
        <v>829.34</v>
      </c>
      <c r="F106" s="50">
        <f>VLOOKUP($A106,'Data Vlaue (Cr)'!$C:$FB,146)*100</f>
        <v>60.29</v>
      </c>
      <c r="G106" s="49">
        <f>VLOOKUP($A106,'Data Vlaue (Cr)'!$C:$FB,43)</f>
        <v>230</v>
      </c>
      <c r="H106" s="49">
        <f>VLOOKUP($A106,'Data Vlaue (Cr)'!$C:$FB,44)</f>
        <v>100</v>
      </c>
      <c r="I106" s="49">
        <f>VLOOKUP($A106,'Data Vlaue (Cr)'!$C:$FB,46)*100</f>
        <v>129.26</v>
      </c>
      <c r="J106" s="51">
        <f>VLOOKUP($A106,'Data Vlaue (Cr)'!$C:$FB,59)</f>
        <v>530</v>
      </c>
      <c r="K106" s="51">
        <f>VLOOKUP($A106,'Data Vlaue (Cr)'!$C:$FB,60)</f>
        <v>279</v>
      </c>
      <c r="L106" s="51">
        <f>VLOOKUP($A106,'Data Vlaue (Cr)'!$C:$FB,62)*100</f>
        <v>90.05</v>
      </c>
      <c r="M106" s="51">
        <f>VLOOKUP($A106,'Data Vlaue (Cr)'!$C:$FB,63)</f>
        <v>564</v>
      </c>
      <c r="N106" s="51">
        <f>VLOOKUP($A106,'Data Vlaue (Cr)'!$C:$FB,64)</f>
        <v>449</v>
      </c>
      <c r="O106" s="51">
        <f>VLOOKUP($A106,'Data Vlaue (Cr)'!$C:$FB,66)*100</f>
        <v>25.650000000000002</v>
      </c>
    </row>
    <row r="107" spans="1:15" x14ac:dyDescent="0.25">
      <c r="A107" s="101" t="str">
        <f>'Data Vlaue (Cr)'!C102</f>
        <v>IIFL</v>
      </c>
      <c r="B107" s="50">
        <f>VLOOKUP($A107,'Data Vlaue (Cr)'!$C:$FB,8)</f>
        <v>529.79999999999995</v>
      </c>
      <c r="C107" s="50">
        <f>VLOOKUP($A107,'Data Vlaue (Cr)'!$C:$FB,11)*100</f>
        <v>-1.24</v>
      </c>
      <c r="D107" s="50">
        <f>VLOOKUP($A107,'Data Vlaue (Cr)'!$C:$FB,143)</f>
        <v>420.26</v>
      </c>
      <c r="E107" s="50">
        <f>VLOOKUP($A107,'Data Vlaue (Cr)'!$C:$FB,144)</f>
        <v>327.05</v>
      </c>
      <c r="F107" s="50">
        <f>VLOOKUP($A107,'Data Vlaue (Cr)'!$C:$FB,146)*100</f>
        <v>28.499999999999996</v>
      </c>
      <c r="G107" s="49">
        <f>VLOOKUP($A107,'Data Vlaue (Cr)'!$C:$FB,43)</f>
        <v>91</v>
      </c>
      <c r="H107" s="49">
        <f>VLOOKUP($A107,'Data Vlaue (Cr)'!$C:$FB,44)</f>
        <v>77</v>
      </c>
      <c r="I107" s="49">
        <f>VLOOKUP($A107,'Data Vlaue (Cr)'!$C:$FB,46)*100</f>
        <v>18.790000000000003</v>
      </c>
      <c r="J107" s="51">
        <f>VLOOKUP($A107,'Data Vlaue (Cr)'!$C:$FB,59)</f>
        <v>189</v>
      </c>
      <c r="K107" s="51">
        <f>VLOOKUP($A107,'Data Vlaue (Cr)'!$C:$FB,60)</f>
        <v>149</v>
      </c>
      <c r="L107" s="51">
        <f>VLOOKUP($A107,'Data Vlaue (Cr)'!$C:$FB,62)*100</f>
        <v>27.13</v>
      </c>
      <c r="M107" s="51">
        <f>VLOOKUP($A107,'Data Vlaue (Cr)'!$C:$FB,63)</f>
        <v>136</v>
      </c>
      <c r="N107" s="51">
        <f>VLOOKUP($A107,'Data Vlaue (Cr)'!$C:$FB,64)</f>
        <v>98</v>
      </c>
      <c r="O107" s="51">
        <f>VLOOKUP($A107,'Data Vlaue (Cr)'!$C:$FB,66)*100</f>
        <v>39.14</v>
      </c>
    </row>
    <row r="108" spans="1:15" x14ac:dyDescent="0.25">
      <c r="A108" s="101" t="str">
        <f>'Data Vlaue (Cr)'!C103</f>
        <v>INDHOTEL</v>
      </c>
      <c r="B108" s="50">
        <f>VLOOKUP($A108,'Data Vlaue (Cr)'!$C:$FB,8)</f>
        <v>756.3</v>
      </c>
      <c r="C108" s="50">
        <f>VLOOKUP($A108,'Data Vlaue (Cr)'!$C:$FB,11)*100</f>
        <v>-2</v>
      </c>
      <c r="D108" s="50">
        <f>VLOOKUP($A108,'Data Vlaue (Cr)'!$C:$FB,143)</f>
        <v>1959.39</v>
      </c>
      <c r="E108" s="50">
        <f>VLOOKUP($A108,'Data Vlaue (Cr)'!$C:$FB,144)</f>
        <v>2769.94</v>
      </c>
      <c r="F108" s="50">
        <f>VLOOKUP($A108,'Data Vlaue (Cr)'!$C:$FB,146)*100</f>
        <v>-29.26</v>
      </c>
      <c r="G108" s="49">
        <f>VLOOKUP($A108,'Data Vlaue (Cr)'!$C:$FB,43)</f>
        <v>341</v>
      </c>
      <c r="H108" s="49">
        <f>VLOOKUP($A108,'Data Vlaue (Cr)'!$C:$FB,44)</f>
        <v>337</v>
      </c>
      <c r="I108" s="49">
        <f>VLOOKUP($A108,'Data Vlaue (Cr)'!$C:$FB,46)*100</f>
        <v>1.26</v>
      </c>
      <c r="J108" s="51">
        <f>VLOOKUP($A108,'Data Vlaue (Cr)'!$C:$FB,59)</f>
        <v>1054</v>
      </c>
      <c r="K108" s="51">
        <f>VLOOKUP($A108,'Data Vlaue (Cr)'!$C:$FB,60)</f>
        <v>1603</v>
      </c>
      <c r="L108" s="51">
        <f>VLOOKUP($A108,'Data Vlaue (Cr)'!$C:$FB,62)*100</f>
        <v>-34.229999999999997</v>
      </c>
      <c r="M108" s="51">
        <f>VLOOKUP($A108,'Data Vlaue (Cr)'!$C:$FB,63)</f>
        <v>512</v>
      </c>
      <c r="N108" s="51">
        <f>VLOOKUP($A108,'Data Vlaue (Cr)'!$C:$FB,64)</f>
        <v>745</v>
      </c>
      <c r="O108" s="51">
        <f>VLOOKUP($A108,'Data Vlaue (Cr)'!$C:$FB,66)*100</f>
        <v>-31.2</v>
      </c>
    </row>
    <row r="109" spans="1:15" x14ac:dyDescent="0.25">
      <c r="A109" s="101" t="str">
        <f>'Data Vlaue (Cr)'!C104</f>
        <v>INDIANB</v>
      </c>
      <c r="B109" s="50">
        <f>VLOOKUP($A109,'Data Vlaue (Cr)'!$C:$FB,8)</f>
        <v>627.9</v>
      </c>
      <c r="C109" s="50">
        <f>VLOOKUP($A109,'Data Vlaue (Cr)'!$C:$FB,11)*100</f>
        <v>-1.08</v>
      </c>
      <c r="D109" s="50">
        <f>VLOOKUP($A109,'Data Vlaue (Cr)'!$C:$FB,143)</f>
        <v>139.13</v>
      </c>
      <c r="E109" s="50">
        <f>VLOOKUP($A109,'Data Vlaue (Cr)'!$C:$FB,144)</f>
        <v>188.1</v>
      </c>
      <c r="F109" s="50">
        <f>VLOOKUP($A109,'Data Vlaue (Cr)'!$C:$FB,146)*100</f>
        <v>-26.029999999999998</v>
      </c>
      <c r="G109" s="49">
        <f>VLOOKUP($A109,'Data Vlaue (Cr)'!$C:$FB,43)</f>
        <v>75</v>
      </c>
      <c r="H109" s="49">
        <f>VLOOKUP($A109,'Data Vlaue (Cr)'!$C:$FB,44)</f>
        <v>74</v>
      </c>
      <c r="I109" s="49">
        <f>VLOOKUP($A109,'Data Vlaue (Cr)'!$C:$FB,46)*100</f>
        <v>0.92999999999999994</v>
      </c>
      <c r="J109" s="51">
        <f>VLOOKUP($A109,'Data Vlaue (Cr)'!$C:$FB,59)</f>
        <v>40</v>
      </c>
      <c r="K109" s="51">
        <f>VLOOKUP($A109,'Data Vlaue (Cr)'!$C:$FB,60)</f>
        <v>73</v>
      </c>
      <c r="L109" s="51">
        <f>VLOOKUP($A109,'Data Vlaue (Cr)'!$C:$FB,62)*100</f>
        <v>-44.49</v>
      </c>
      <c r="M109" s="51">
        <f>VLOOKUP($A109,'Data Vlaue (Cr)'!$C:$FB,63)</f>
        <v>22</v>
      </c>
      <c r="N109" s="51">
        <f>VLOOKUP($A109,'Data Vlaue (Cr)'!$C:$FB,64)</f>
        <v>37</v>
      </c>
      <c r="O109" s="51">
        <f>VLOOKUP($A109,'Data Vlaue (Cr)'!$C:$FB,66)*100</f>
        <v>-41.27</v>
      </c>
    </row>
    <row r="110" spans="1:15" x14ac:dyDescent="0.25">
      <c r="A110" s="101" t="str">
        <f>'Data Vlaue (Cr)'!C105</f>
        <v>INDIAVIX</v>
      </c>
      <c r="B110" s="50">
        <f>VLOOKUP($A110,'Data Vlaue (Cr)'!$C:$FB,8)</f>
        <v>10.75</v>
      </c>
      <c r="C110" s="50">
        <f>VLOOKUP($A110,'Data Vlaue (Cr)'!$C:$FB,11)*100</f>
        <v>-4</v>
      </c>
      <c r="D110" s="50">
        <f>VLOOKUP($A110,'Data Vlaue (Cr)'!$C:$FB,143)</f>
        <v>0</v>
      </c>
      <c r="E110" s="50">
        <f>VLOOKUP($A110,'Data Vlaue (Cr)'!$C:$FB,144)</f>
        <v>0</v>
      </c>
      <c r="F110" s="50">
        <f>VLOOKUP($A110,'Data Vlaue (Cr)'!$C:$FB,146)*100</f>
        <v>0</v>
      </c>
      <c r="G110" s="49">
        <f>VLOOKUP($A110,'Data Vlaue (Cr)'!$C:$FB,43)</f>
        <v>0</v>
      </c>
      <c r="H110" s="49">
        <f>VLOOKUP($A110,'Data Vlaue (Cr)'!$C:$FB,44)</f>
        <v>0</v>
      </c>
      <c r="I110" s="49">
        <f>VLOOKUP($A110,'Data Vlaue (Cr)'!$C:$FB,46)*100</f>
        <v>0</v>
      </c>
      <c r="J110" s="51">
        <f>VLOOKUP($A110,'Data Vlaue (Cr)'!$C:$FB,59)</f>
        <v>0</v>
      </c>
      <c r="K110" s="51">
        <f>VLOOKUP($A110,'Data Vlaue (Cr)'!$C:$FB,60)</f>
        <v>0</v>
      </c>
      <c r="L110" s="51">
        <f>VLOOKUP($A110,'Data Vlaue (Cr)'!$C:$FB,62)*100</f>
        <v>0</v>
      </c>
      <c r="M110" s="51">
        <f>VLOOKUP($A110,'Data Vlaue (Cr)'!$C:$FB,63)</f>
        <v>0</v>
      </c>
      <c r="N110" s="51">
        <f>VLOOKUP($A110,'Data Vlaue (Cr)'!$C:$FB,64)</f>
        <v>0</v>
      </c>
      <c r="O110" s="51">
        <f>VLOOKUP($A110,'Data Vlaue (Cr)'!$C:$FB,66)*100</f>
        <v>0</v>
      </c>
    </row>
    <row r="111" spans="1:15" x14ac:dyDescent="0.25">
      <c r="A111" s="101" t="str">
        <f>'Data Vlaue (Cr)'!C106</f>
        <v>INDIGO</v>
      </c>
      <c r="B111" s="50">
        <f>VLOOKUP($A111,'Data Vlaue (Cr)'!$C:$FB,8)</f>
        <v>5948</v>
      </c>
      <c r="C111" s="50">
        <f>VLOOKUP($A111,'Data Vlaue (Cr)'!$C:$FB,11)*100</f>
        <v>1.1900000000000002</v>
      </c>
      <c r="D111" s="50">
        <f>VLOOKUP($A111,'Data Vlaue (Cr)'!$C:$FB,143)</f>
        <v>3301.98</v>
      </c>
      <c r="E111" s="50">
        <f>VLOOKUP($A111,'Data Vlaue (Cr)'!$C:$FB,144)</f>
        <v>2252.42</v>
      </c>
      <c r="F111" s="50">
        <f>VLOOKUP($A111,'Data Vlaue (Cr)'!$C:$FB,146)*100</f>
        <v>46.6</v>
      </c>
      <c r="G111" s="49">
        <f>VLOOKUP($A111,'Data Vlaue (Cr)'!$C:$FB,43)</f>
        <v>577</v>
      </c>
      <c r="H111" s="49">
        <f>VLOOKUP($A111,'Data Vlaue (Cr)'!$C:$FB,44)</f>
        <v>395</v>
      </c>
      <c r="I111" s="49">
        <f>VLOOKUP($A111,'Data Vlaue (Cr)'!$C:$FB,46)*100</f>
        <v>46</v>
      </c>
      <c r="J111" s="51">
        <f>VLOOKUP($A111,'Data Vlaue (Cr)'!$C:$FB,59)</f>
        <v>1914</v>
      </c>
      <c r="K111" s="51">
        <f>VLOOKUP($A111,'Data Vlaue (Cr)'!$C:$FB,60)</f>
        <v>1246</v>
      </c>
      <c r="L111" s="51">
        <f>VLOOKUP($A111,'Data Vlaue (Cr)'!$C:$FB,62)*100</f>
        <v>53.569999999999993</v>
      </c>
      <c r="M111" s="51">
        <f>VLOOKUP($A111,'Data Vlaue (Cr)'!$C:$FB,63)</f>
        <v>792</v>
      </c>
      <c r="N111" s="51">
        <f>VLOOKUP($A111,'Data Vlaue (Cr)'!$C:$FB,64)</f>
        <v>606</v>
      </c>
      <c r="O111" s="51">
        <f>VLOOKUP($A111,'Data Vlaue (Cr)'!$C:$FB,66)*100</f>
        <v>30.81</v>
      </c>
    </row>
    <row r="112" spans="1:15" x14ac:dyDescent="0.25">
      <c r="A112" s="101" t="str">
        <f>'Data Vlaue (Cr)'!C107</f>
        <v>INDUSINDBK</v>
      </c>
      <c r="B112" s="50">
        <f>VLOOKUP($A112,'Data Vlaue (Cr)'!$C:$FB,8)</f>
        <v>843.2</v>
      </c>
      <c r="C112" s="50">
        <f>VLOOKUP($A112,'Data Vlaue (Cr)'!$C:$FB,11)*100</f>
        <v>-1.82</v>
      </c>
      <c r="D112" s="50">
        <f>VLOOKUP($A112,'Data Vlaue (Cr)'!$C:$FB,143)</f>
        <v>6624.37</v>
      </c>
      <c r="E112" s="50">
        <f>VLOOKUP($A112,'Data Vlaue (Cr)'!$C:$FB,144)</f>
        <v>9230.74</v>
      </c>
      <c r="F112" s="50">
        <f>VLOOKUP($A112,'Data Vlaue (Cr)'!$C:$FB,146)*100</f>
        <v>-28.24</v>
      </c>
      <c r="G112" s="49">
        <f>VLOOKUP($A112,'Data Vlaue (Cr)'!$C:$FB,43)</f>
        <v>1562</v>
      </c>
      <c r="H112" s="49">
        <f>VLOOKUP($A112,'Data Vlaue (Cr)'!$C:$FB,44)</f>
        <v>1455</v>
      </c>
      <c r="I112" s="49">
        <f>VLOOKUP($A112,'Data Vlaue (Cr)'!$C:$FB,46)*100</f>
        <v>7.3599999999999994</v>
      </c>
      <c r="J112" s="51">
        <f>VLOOKUP($A112,'Data Vlaue (Cr)'!$C:$FB,59)</f>
        <v>2899</v>
      </c>
      <c r="K112" s="51">
        <f>VLOOKUP($A112,'Data Vlaue (Cr)'!$C:$FB,60)</f>
        <v>4302</v>
      </c>
      <c r="L112" s="51">
        <f>VLOOKUP($A112,'Data Vlaue (Cr)'!$C:$FB,62)*100</f>
        <v>-32.61</v>
      </c>
      <c r="M112" s="51">
        <f>VLOOKUP($A112,'Data Vlaue (Cr)'!$C:$FB,63)</f>
        <v>1947</v>
      </c>
      <c r="N112" s="51">
        <f>VLOOKUP($A112,'Data Vlaue (Cr)'!$C:$FB,64)</f>
        <v>3234</v>
      </c>
      <c r="O112" s="51">
        <f>VLOOKUP($A112,'Data Vlaue (Cr)'!$C:$FB,66)*100</f>
        <v>-39.79</v>
      </c>
    </row>
    <row r="113" spans="1:15" x14ac:dyDescent="0.25">
      <c r="A113" s="101" t="str">
        <f>'Data Vlaue (Cr)'!C108</f>
        <v>INDUSTOWER</v>
      </c>
      <c r="B113" s="50">
        <f>VLOOKUP($A113,'Data Vlaue (Cr)'!$C:$FB,8)</f>
        <v>396.3</v>
      </c>
      <c r="C113" s="50">
        <f>VLOOKUP($A113,'Data Vlaue (Cr)'!$C:$FB,11)*100</f>
        <v>-1.94</v>
      </c>
      <c r="D113" s="50">
        <f>VLOOKUP($A113,'Data Vlaue (Cr)'!$C:$FB,143)</f>
        <v>867.54</v>
      </c>
      <c r="E113" s="50">
        <f>VLOOKUP($A113,'Data Vlaue (Cr)'!$C:$FB,144)</f>
        <v>812.2</v>
      </c>
      <c r="F113" s="50">
        <f>VLOOKUP($A113,'Data Vlaue (Cr)'!$C:$FB,146)*100</f>
        <v>6.81</v>
      </c>
      <c r="G113" s="49">
        <f>VLOOKUP($A113,'Data Vlaue (Cr)'!$C:$FB,43)</f>
        <v>225</v>
      </c>
      <c r="H113" s="49">
        <f>VLOOKUP($A113,'Data Vlaue (Cr)'!$C:$FB,44)</f>
        <v>205</v>
      </c>
      <c r="I113" s="49">
        <f>VLOOKUP($A113,'Data Vlaue (Cr)'!$C:$FB,46)*100</f>
        <v>9.4600000000000009</v>
      </c>
      <c r="J113" s="51">
        <f>VLOOKUP($A113,'Data Vlaue (Cr)'!$C:$FB,59)</f>
        <v>430</v>
      </c>
      <c r="K113" s="51">
        <f>VLOOKUP($A113,'Data Vlaue (Cr)'!$C:$FB,60)</f>
        <v>408</v>
      </c>
      <c r="L113" s="51">
        <f>VLOOKUP($A113,'Data Vlaue (Cr)'!$C:$FB,62)*100</f>
        <v>5.4399999999999995</v>
      </c>
      <c r="M113" s="51">
        <f>VLOOKUP($A113,'Data Vlaue (Cr)'!$C:$FB,63)</f>
        <v>185</v>
      </c>
      <c r="N113" s="51">
        <f>VLOOKUP($A113,'Data Vlaue (Cr)'!$C:$FB,64)</f>
        <v>169</v>
      </c>
      <c r="O113" s="51">
        <f>VLOOKUP($A113,'Data Vlaue (Cr)'!$C:$FB,66)*100</f>
        <v>9.4</v>
      </c>
    </row>
    <row r="114" spans="1:15" x14ac:dyDescent="0.25">
      <c r="A114" s="101" t="str">
        <f>'Data Vlaue (Cr)'!C109</f>
        <v>INFY</v>
      </c>
      <c r="B114" s="50">
        <f>VLOOKUP($A114,'Data Vlaue (Cr)'!$C:$FB,8)</f>
        <v>1570.9</v>
      </c>
      <c r="C114" s="50">
        <f>VLOOKUP($A114,'Data Vlaue (Cr)'!$C:$FB,11)*100</f>
        <v>-0.85000000000000009</v>
      </c>
      <c r="D114" s="50">
        <f>VLOOKUP($A114,'Data Vlaue (Cr)'!$C:$FB,143)</f>
        <v>8180.63</v>
      </c>
      <c r="E114" s="50">
        <f>VLOOKUP($A114,'Data Vlaue (Cr)'!$C:$FB,144)</f>
        <v>5148.74</v>
      </c>
      <c r="F114" s="50">
        <f>VLOOKUP($A114,'Data Vlaue (Cr)'!$C:$FB,146)*100</f>
        <v>58.89</v>
      </c>
      <c r="G114" s="49">
        <f>VLOOKUP($A114,'Data Vlaue (Cr)'!$C:$FB,43)</f>
        <v>1593</v>
      </c>
      <c r="H114" s="49">
        <f>VLOOKUP($A114,'Data Vlaue (Cr)'!$C:$FB,44)</f>
        <v>1021</v>
      </c>
      <c r="I114" s="49">
        <f>VLOOKUP($A114,'Data Vlaue (Cr)'!$C:$FB,46)*100</f>
        <v>56.05</v>
      </c>
      <c r="J114" s="51">
        <f>VLOOKUP($A114,'Data Vlaue (Cr)'!$C:$FB,59)</f>
        <v>4116</v>
      </c>
      <c r="K114" s="51">
        <f>VLOOKUP($A114,'Data Vlaue (Cr)'!$C:$FB,60)</f>
        <v>2617</v>
      </c>
      <c r="L114" s="51">
        <f>VLOOKUP($A114,'Data Vlaue (Cr)'!$C:$FB,62)*100</f>
        <v>57.3</v>
      </c>
      <c r="M114" s="51">
        <f>VLOOKUP($A114,'Data Vlaue (Cr)'!$C:$FB,63)</f>
        <v>2283</v>
      </c>
      <c r="N114" s="51">
        <f>VLOOKUP($A114,'Data Vlaue (Cr)'!$C:$FB,64)</f>
        <v>1383</v>
      </c>
      <c r="O114" s="51">
        <f>VLOOKUP($A114,'Data Vlaue (Cr)'!$C:$FB,66)*100</f>
        <v>65.039999999999992</v>
      </c>
    </row>
    <row r="115" spans="1:15" x14ac:dyDescent="0.25">
      <c r="A115" s="101" t="str">
        <f>'Data Vlaue (Cr)'!C110</f>
        <v>INOXWIND</v>
      </c>
      <c r="B115" s="50">
        <f>VLOOKUP($A115,'Data Vlaue (Cr)'!$C:$FB,8)</f>
        <v>165.53</v>
      </c>
      <c r="C115" s="50">
        <f>VLOOKUP($A115,'Data Vlaue (Cr)'!$C:$FB,11)*100</f>
        <v>-0.79</v>
      </c>
      <c r="D115" s="50">
        <f>VLOOKUP($A115,'Data Vlaue (Cr)'!$C:$FB,143)</f>
        <v>261.36</v>
      </c>
      <c r="E115" s="50">
        <f>VLOOKUP($A115,'Data Vlaue (Cr)'!$C:$FB,144)</f>
        <v>323.88</v>
      </c>
      <c r="F115" s="50">
        <f>VLOOKUP($A115,'Data Vlaue (Cr)'!$C:$FB,146)*100</f>
        <v>-19.3</v>
      </c>
      <c r="G115" s="49">
        <f>VLOOKUP($A115,'Data Vlaue (Cr)'!$C:$FB,43)</f>
        <v>87</v>
      </c>
      <c r="H115" s="49">
        <f>VLOOKUP($A115,'Data Vlaue (Cr)'!$C:$FB,44)</f>
        <v>96</v>
      </c>
      <c r="I115" s="49">
        <f>VLOOKUP($A115,'Data Vlaue (Cr)'!$C:$FB,46)*100</f>
        <v>-8.7800000000000011</v>
      </c>
      <c r="J115" s="51">
        <f>VLOOKUP($A115,'Data Vlaue (Cr)'!$C:$FB,59)</f>
        <v>90</v>
      </c>
      <c r="K115" s="51">
        <f>VLOOKUP($A115,'Data Vlaue (Cr)'!$C:$FB,60)</f>
        <v>143</v>
      </c>
      <c r="L115" s="51">
        <f>VLOOKUP($A115,'Data Vlaue (Cr)'!$C:$FB,62)*100</f>
        <v>-37.269999999999996</v>
      </c>
      <c r="M115" s="51">
        <f>VLOOKUP($A115,'Data Vlaue (Cr)'!$C:$FB,63)</f>
        <v>79</v>
      </c>
      <c r="N115" s="51">
        <f>VLOOKUP($A115,'Data Vlaue (Cr)'!$C:$FB,64)</f>
        <v>76</v>
      </c>
      <c r="O115" s="51">
        <f>VLOOKUP($A115,'Data Vlaue (Cr)'!$C:$FB,66)*100</f>
        <v>4.07</v>
      </c>
    </row>
    <row r="116" spans="1:15" x14ac:dyDescent="0.25">
      <c r="A116" s="101" t="str">
        <f>'Data Vlaue (Cr)'!C111</f>
        <v>IOC</v>
      </c>
      <c r="B116" s="50">
        <f>VLOOKUP($A116,'Data Vlaue (Cr)'!$C:$FB,8)</f>
        <v>151.97999999999999</v>
      </c>
      <c r="C116" s="50">
        <f>VLOOKUP($A116,'Data Vlaue (Cr)'!$C:$FB,11)*100</f>
        <v>0.6</v>
      </c>
      <c r="D116" s="50">
        <f>VLOOKUP($A116,'Data Vlaue (Cr)'!$C:$FB,143)</f>
        <v>1490.73</v>
      </c>
      <c r="E116" s="50">
        <f>VLOOKUP($A116,'Data Vlaue (Cr)'!$C:$FB,144)</f>
        <v>833.65</v>
      </c>
      <c r="F116" s="50">
        <f>VLOOKUP($A116,'Data Vlaue (Cr)'!$C:$FB,146)*100</f>
        <v>78.820000000000007</v>
      </c>
      <c r="G116" s="49">
        <f>VLOOKUP($A116,'Data Vlaue (Cr)'!$C:$FB,43)</f>
        <v>240</v>
      </c>
      <c r="H116" s="49">
        <f>VLOOKUP($A116,'Data Vlaue (Cr)'!$C:$FB,44)</f>
        <v>143</v>
      </c>
      <c r="I116" s="49">
        <f>VLOOKUP($A116,'Data Vlaue (Cr)'!$C:$FB,46)*100</f>
        <v>68.12</v>
      </c>
      <c r="J116" s="51">
        <f>VLOOKUP($A116,'Data Vlaue (Cr)'!$C:$FB,59)</f>
        <v>705</v>
      </c>
      <c r="K116" s="51">
        <f>VLOOKUP($A116,'Data Vlaue (Cr)'!$C:$FB,60)</f>
        <v>433</v>
      </c>
      <c r="L116" s="51">
        <f>VLOOKUP($A116,'Data Vlaue (Cr)'!$C:$FB,62)*100</f>
        <v>62.739999999999995</v>
      </c>
      <c r="M116" s="51">
        <f>VLOOKUP($A116,'Data Vlaue (Cr)'!$C:$FB,63)</f>
        <v>528</v>
      </c>
      <c r="N116" s="51">
        <f>VLOOKUP($A116,'Data Vlaue (Cr)'!$C:$FB,64)</f>
        <v>249</v>
      </c>
      <c r="O116" s="51">
        <f>VLOOKUP($A116,'Data Vlaue (Cr)'!$C:$FB,66)*100</f>
        <v>112.55</v>
      </c>
    </row>
    <row r="117" spans="1:15" x14ac:dyDescent="0.25">
      <c r="A117" s="101" t="str">
        <f>'Data Vlaue (Cr)'!C112</f>
        <v>IRB</v>
      </c>
      <c r="B117" s="50">
        <f>VLOOKUP($A117,'Data Vlaue (Cr)'!$C:$FB,8)</f>
        <v>48.36</v>
      </c>
      <c r="C117" s="50">
        <f>VLOOKUP($A117,'Data Vlaue (Cr)'!$C:$FB,11)*100</f>
        <v>-0.33</v>
      </c>
      <c r="D117" s="50">
        <f>VLOOKUP($A117,'Data Vlaue (Cr)'!$C:$FB,143)</f>
        <v>167.17</v>
      </c>
      <c r="E117" s="50">
        <f>VLOOKUP($A117,'Data Vlaue (Cr)'!$C:$FB,144)</f>
        <v>153.87</v>
      </c>
      <c r="F117" s="50">
        <f>VLOOKUP($A117,'Data Vlaue (Cr)'!$C:$FB,146)*100</f>
        <v>8.64</v>
      </c>
      <c r="G117" s="49">
        <f>VLOOKUP($A117,'Data Vlaue (Cr)'!$C:$FB,43)</f>
        <v>47</v>
      </c>
      <c r="H117" s="49">
        <f>VLOOKUP($A117,'Data Vlaue (Cr)'!$C:$FB,44)</f>
        <v>61</v>
      </c>
      <c r="I117" s="49">
        <f>VLOOKUP($A117,'Data Vlaue (Cr)'!$C:$FB,46)*100</f>
        <v>-23.799999999999997</v>
      </c>
      <c r="J117" s="51">
        <f>VLOOKUP($A117,'Data Vlaue (Cr)'!$C:$FB,59)</f>
        <v>105</v>
      </c>
      <c r="K117" s="51">
        <f>VLOOKUP($A117,'Data Vlaue (Cr)'!$C:$FB,60)</f>
        <v>72</v>
      </c>
      <c r="L117" s="51">
        <f>VLOOKUP($A117,'Data Vlaue (Cr)'!$C:$FB,62)*100</f>
        <v>45.839999999999996</v>
      </c>
      <c r="M117" s="51">
        <f>VLOOKUP($A117,'Data Vlaue (Cr)'!$C:$FB,63)</f>
        <v>10</v>
      </c>
      <c r="N117" s="51">
        <f>VLOOKUP($A117,'Data Vlaue (Cr)'!$C:$FB,64)</f>
        <v>18</v>
      </c>
      <c r="O117" s="51">
        <f>VLOOKUP($A117,'Data Vlaue (Cr)'!$C:$FB,66)*100</f>
        <v>-43.269999999999996</v>
      </c>
    </row>
    <row r="118" spans="1:15" x14ac:dyDescent="0.25">
      <c r="A118" s="101" t="str">
        <f>'Data Vlaue (Cr)'!C113</f>
        <v>IRCTC</v>
      </c>
      <c r="B118" s="50">
        <f>VLOOKUP($A118,'Data Vlaue (Cr)'!$C:$FB,8)</f>
        <v>760.6</v>
      </c>
      <c r="C118" s="50">
        <f>VLOOKUP($A118,'Data Vlaue (Cr)'!$C:$FB,11)*100</f>
        <v>-1.28</v>
      </c>
      <c r="D118" s="50">
        <f>VLOOKUP($A118,'Data Vlaue (Cr)'!$C:$FB,143)</f>
        <v>678.2</v>
      </c>
      <c r="E118" s="50">
        <f>VLOOKUP($A118,'Data Vlaue (Cr)'!$C:$FB,144)</f>
        <v>706.15</v>
      </c>
      <c r="F118" s="50">
        <f>VLOOKUP($A118,'Data Vlaue (Cr)'!$C:$FB,146)*100</f>
        <v>-3.9600000000000004</v>
      </c>
      <c r="G118" s="49">
        <f>VLOOKUP($A118,'Data Vlaue (Cr)'!$C:$FB,43)</f>
        <v>149</v>
      </c>
      <c r="H118" s="49">
        <f>VLOOKUP($A118,'Data Vlaue (Cr)'!$C:$FB,44)</f>
        <v>111</v>
      </c>
      <c r="I118" s="49">
        <f>VLOOKUP($A118,'Data Vlaue (Cr)'!$C:$FB,46)*100</f>
        <v>34.17</v>
      </c>
      <c r="J118" s="51">
        <f>VLOOKUP($A118,'Data Vlaue (Cr)'!$C:$FB,59)</f>
        <v>350</v>
      </c>
      <c r="K118" s="51">
        <f>VLOOKUP($A118,'Data Vlaue (Cr)'!$C:$FB,60)</f>
        <v>361</v>
      </c>
      <c r="L118" s="51">
        <f>VLOOKUP($A118,'Data Vlaue (Cr)'!$C:$FB,62)*100</f>
        <v>-2.8400000000000003</v>
      </c>
      <c r="M118" s="51">
        <f>VLOOKUP($A118,'Data Vlaue (Cr)'!$C:$FB,63)</f>
        <v>160</v>
      </c>
      <c r="N118" s="51">
        <f>VLOOKUP($A118,'Data Vlaue (Cr)'!$C:$FB,64)</f>
        <v>215</v>
      </c>
      <c r="O118" s="51">
        <f>VLOOKUP($A118,'Data Vlaue (Cr)'!$C:$FB,66)*100</f>
        <v>-25.629999999999995</v>
      </c>
    </row>
    <row r="119" spans="1:15" x14ac:dyDescent="0.25">
      <c r="A119" s="101" t="str">
        <f>'Data Vlaue (Cr)'!C114</f>
        <v>IREDA</v>
      </c>
      <c r="B119" s="50">
        <f>VLOOKUP($A119,'Data Vlaue (Cr)'!$C:$FB,8)</f>
        <v>156.22</v>
      </c>
      <c r="C119" s="50">
        <f>VLOOKUP($A119,'Data Vlaue (Cr)'!$C:$FB,11)*100</f>
        <v>-0.69</v>
      </c>
      <c r="D119" s="50">
        <f>VLOOKUP($A119,'Data Vlaue (Cr)'!$C:$FB,143)</f>
        <v>488.35</v>
      </c>
      <c r="E119" s="50">
        <f>VLOOKUP($A119,'Data Vlaue (Cr)'!$C:$FB,144)</f>
        <v>491.68</v>
      </c>
      <c r="F119" s="50">
        <f>VLOOKUP($A119,'Data Vlaue (Cr)'!$C:$FB,146)*100</f>
        <v>-0.67999999999999994</v>
      </c>
      <c r="G119" s="49">
        <f>VLOOKUP($A119,'Data Vlaue (Cr)'!$C:$FB,43)</f>
        <v>101</v>
      </c>
      <c r="H119" s="49">
        <f>VLOOKUP($A119,'Data Vlaue (Cr)'!$C:$FB,44)</f>
        <v>103</v>
      </c>
      <c r="I119" s="49">
        <f>VLOOKUP($A119,'Data Vlaue (Cr)'!$C:$FB,46)*100</f>
        <v>-2.4500000000000002</v>
      </c>
      <c r="J119" s="51">
        <f>VLOOKUP($A119,'Data Vlaue (Cr)'!$C:$FB,59)</f>
        <v>297</v>
      </c>
      <c r="K119" s="51">
        <f>VLOOKUP($A119,'Data Vlaue (Cr)'!$C:$FB,60)</f>
        <v>285</v>
      </c>
      <c r="L119" s="51">
        <f>VLOOKUP($A119,'Data Vlaue (Cr)'!$C:$FB,62)*100</f>
        <v>4.18</v>
      </c>
      <c r="M119" s="51">
        <f>VLOOKUP($A119,'Data Vlaue (Cr)'!$C:$FB,63)</f>
        <v>62</v>
      </c>
      <c r="N119" s="51">
        <f>VLOOKUP($A119,'Data Vlaue (Cr)'!$C:$FB,64)</f>
        <v>74</v>
      </c>
      <c r="O119" s="51">
        <f>VLOOKUP($A119,'Data Vlaue (Cr)'!$C:$FB,66)*100</f>
        <v>-16.760000000000002</v>
      </c>
    </row>
    <row r="120" spans="1:15" x14ac:dyDescent="0.25">
      <c r="A120" s="101" t="str">
        <f>'Data Vlaue (Cr)'!C115</f>
        <v>IRFC</v>
      </c>
      <c r="B120" s="50">
        <f>VLOOKUP($A120,'Data Vlaue (Cr)'!$C:$FB,8)</f>
        <v>130.77000000000001</v>
      </c>
      <c r="C120" s="50">
        <f>VLOOKUP($A120,'Data Vlaue (Cr)'!$C:$FB,11)*100</f>
        <v>-2.68</v>
      </c>
      <c r="D120" s="50">
        <f>VLOOKUP($A120,'Data Vlaue (Cr)'!$C:$FB,143)</f>
        <v>1554.11</v>
      </c>
      <c r="E120" s="50">
        <f>VLOOKUP($A120,'Data Vlaue (Cr)'!$C:$FB,144)</f>
        <v>632</v>
      </c>
      <c r="F120" s="50">
        <f>VLOOKUP($A120,'Data Vlaue (Cr)'!$C:$FB,146)*100</f>
        <v>145.9</v>
      </c>
      <c r="G120" s="49">
        <f>VLOOKUP($A120,'Data Vlaue (Cr)'!$C:$FB,43)</f>
        <v>270</v>
      </c>
      <c r="H120" s="49">
        <f>VLOOKUP($A120,'Data Vlaue (Cr)'!$C:$FB,44)</f>
        <v>96</v>
      </c>
      <c r="I120" s="49">
        <f>VLOOKUP($A120,'Data Vlaue (Cr)'!$C:$FB,46)*100</f>
        <v>181.51</v>
      </c>
      <c r="J120" s="51">
        <f>VLOOKUP($A120,'Data Vlaue (Cr)'!$C:$FB,59)</f>
        <v>789</v>
      </c>
      <c r="K120" s="51">
        <f>VLOOKUP($A120,'Data Vlaue (Cr)'!$C:$FB,60)</f>
        <v>338</v>
      </c>
      <c r="L120" s="51">
        <f>VLOOKUP($A120,'Data Vlaue (Cr)'!$C:$FB,62)*100</f>
        <v>133.62</v>
      </c>
      <c r="M120" s="51">
        <f>VLOOKUP($A120,'Data Vlaue (Cr)'!$C:$FB,63)</f>
        <v>417</v>
      </c>
      <c r="N120" s="51">
        <f>VLOOKUP($A120,'Data Vlaue (Cr)'!$C:$FB,64)</f>
        <v>153</v>
      </c>
      <c r="O120" s="51">
        <f>VLOOKUP($A120,'Data Vlaue (Cr)'!$C:$FB,66)*100</f>
        <v>172.8</v>
      </c>
    </row>
    <row r="121" spans="1:15" x14ac:dyDescent="0.25">
      <c r="A121" s="101" t="str">
        <f>'Data Vlaue (Cr)'!C116</f>
        <v>ITC</v>
      </c>
      <c r="B121" s="50">
        <f>VLOOKUP($A121,'Data Vlaue (Cr)'!$C:$FB,8)</f>
        <v>416</v>
      </c>
      <c r="C121" s="50">
        <f>VLOOKUP($A121,'Data Vlaue (Cr)'!$C:$FB,11)*100</f>
        <v>-0.98</v>
      </c>
      <c r="D121" s="50">
        <f>VLOOKUP($A121,'Data Vlaue (Cr)'!$C:$FB,143)</f>
        <v>3424.59</v>
      </c>
      <c r="E121" s="50">
        <f>VLOOKUP($A121,'Data Vlaue (Cr)'!$C:$FB,144)</f>
        <v>2922.48</v>
      </c>
      <c r="F121" s="50">
        <f>VLOOKUP($A121,'Data Vlaue (Cr)'!$C:$FB,146)*100</f>
        <v>17.18</v>
      </c>
      <c r="G121" s="49">
        <f>VLOOKUP($A121,'Data Vlaue (Cr)'!$C:$FB,43)</f>
        <v>695</v>
      </c>
      <c r="H121" s="49">
        <f>VLOOKUP($A121,'Data Vlaue (Cr)'!$C:$FB,44)</f>
        <v>328</v>
      </c>
      <c r="I121" s="49">
        <f>VLOOKUP($A121,'Data Vlaue (Cr)'!$C:$FB,46)*100</f>
        <v>111.92999999999999</v>
      </c>
      <c r="J121" s="51">
        <f>VLOOKUP($A121,'Data Vlaue (Cr)'!$C:$FB,59)</f>
        <v>1733</v>
      </c>
      <c r="K121" s="51">
        <f>VLOOKUP($A121,'Data Vlaue (Cr)'!$C:$FB,60)</f>
        <v>1755</v>
      </c>
      <c r="L121" s="51">
        <f>VLOOKUP($A121,'Data Vlaue (Cr)'!$C:$FB,62)*100</f>
        <v>-1.27</v>
      </c>
      <c r="M121" s="51">
        <f>VLOOKUP($A121,'Data Vlaue (Cr)'!$C:$FB,63)</f>
        <v>945</v>
      </c>
      <c r="N121" s="51">
        <f>VLOOKUP($A121,'Data Vlaue (Cr)'!$C:$FB,64)</f>
        <v>761</v>
      </c>
      <c r="O121" s="51">
        <f>VLOOKUP($A121,'Data Vlaue (Cr)'!$C:$FB,66)*100</f>
        <v>24.12</v>
      </c>
    </row>
    <row r="122" spans="1:15" x14ac:dyDescent="0.25">
      <c r="A122" s="101" t="str">
        <f>'Data Vlaue (Cr)'!C117</f>
        <v>JINDALSTEL</v>
      </c>
      <c r="B122" s="50">
        <f>VLOOKUP($A122,'Data Vlaue (Cr)'!$C:$FB,8)</f>
        <v>965</v>
      </c>
      <c r="C122" s="50">
        <f>VLOOKUP($A122,'Data Vlaue (Cr)'!$C:$FB,11)*100</f>
        <v>0.52</v>
      </c>
      <c r="D122" s="50">
        <f>VLOOKUP($A122,'Data Vlaue (Cr)'!$C:$FB,143)</f>
        <v>1081.07</v>
      </c>
      <c r="E122" s="50">
        <f>VLOOKUP($A122,'Data Vlaue (Cr)'!$C:$FB,144)</f>
        <v>1036.26</v>
      </c>
      <c r="F122" s="50">
        <f>VLOOKUP($A122,'Data Vlaue (Cr)'!$C:$FB,146)*100</f>
        <v>4.32</v>
      </c>
      <c r="G122" s="49">
        <f>VLOOKUP($A122,'Data Vlaue (Cr)'!$C:$FB,43)</f>
        <v>290</v>
      </c>
      <c r="H122" s="49">
        <f>VLOOKUP($A122,'Data Vlaue (Cr)'!$C:$FB,44)</f>
        <v>296</v>
      </c>
      <c r="I122" s="49">
        <f>VLOOKUP($A122,'Data Vlaue (Cr)'!$C:$FB,46)*100</f>
        <v>-2.08</v>
      </c>
      <c r="J122" s="51">
        <f>VLOOKUP($A122,'Data Vlaue (Cr)'!$C:$FB,59)</f>
        <v>475</v>
      </c>
      <c r="K122" s="51">
        <f>VLOOKUP($A122,'Data Vlaue (Cr)'!$C:$FB,60)</f>
        <v>465</v>
      </c>
      <c r="L122" s="51">
        <f>VLOOKUP($A122,'Data Vlaue (Cr)'!$C:$FB,62)*100</f>
        <v>2.2200000000000002</v>
      </c>
      <c r="M122" s="51">
        <f>VLOOKUP($A122,'Data Vlaue (Cr)'!$C:$FB,63)</f>
        <v>304</v>
      </c>
      <c r="N122" s="51">
        <f>VLOOKUP($A122,'Data Vlaue (Cr)'!$C:$FB,64)</f>
        <v>266</v>
      </c>
      <c r="O122" s="51">
        <f>VLOOKUP($A122,'Data Vlaue (Cr)'!$C:$FB,66)*100</f>
        <v>14.05</v>
      </c>
    </row>
    <row r="123" spans="1:15" x14ac:dyDescent="0.25">
      <c r="A123" s="101" t="str">
        <f>'Data Vlaue (Cr)'!C118</f>
        <v>JIOFIN</v>
      </c>
      <c r="B123" s="50">
        <f>VLOOKUP($A123,'Data Vlaue (Cr)'!$C:$FB,8)</f>
        <v>310.8</v>
      </c>
      <c r="C123" s="50">
        <f>VLOOKUP($A123,'Data Vlaue (Cr)'!$C:$FB,11)*100</f>
        <v>-2.0299999999999998</v>
      </c>
      <c r="D123" s="50">
        <f>VLOOKUP($A123,'Data Vlaue (Cr)'!$C:$FB,143)</f>
        <v>6119.41</v>
      </c>
      <c r="E123" s="50">
        <f>VLOOKUP($A123,'Data Vlaue (Cr)'!$C:$FB,144)</f>
        <v>5409.85</v>
      </c>
      <c r="F123" s="50">
        <f>VLOOKUP($A123,'Data Vlaue (Cr)'!$C:$FB,146)*100</f>
        <v>13.120000000000001</v>
      </c>
      <c r="G123" s="49">
        <f>VLOOKUP($A123,'Data Vlaue (Cr)'!$C:$FB,43)</f>
        <v>638</v>
      </c>
      <c r="H123" s="49">
        <f>VLOOKUP($A123,'Data Vlaue (Cr)'!$C:$FB,44)</f>
        <v>608</v>
      </c>
      <c r="I123" s="49">
        <f>VLOOKUP($A123,'Data Vlaue (Cr)'!$C:$FB,46)*100</f>
        <v>5.01</v>
      </c>
      <c r="J123" s="51">
        <f>VLOOKUP($A123,'Data Vlaue (Cr)'!$C:$FB,59)</f>
        <v>3641</v>
      </c>
      <c r="K123" s="51">
        <f>VLOOKUP($A123,'Data Vlaue (Cr)'!$C:$FB,60)</f>
        <v>3112</v>
      </c>
      <c r="L123" s="51">
        <f>VLOOKUP($A123,'Data Vlaue (Cr)'!$C:$FB,62)*100</f>
        <v>16.989999999999998</v>
      </c>
      <c r="M123" s="51">
        <f>VLOOKUP($A123,'Data Vlaue (Cr)'!$C:$FB,63)</f>
        <v>1592</v>
      </c>
      <c r="N123" s="51">
        <f>VLOOKUP($A123,'Data Vlaue (Cr)'!$C:$FB,64)</f>
        <v>1444</v>
      </c>
      <c r="O123" s="51">
        <f>VLOOKUP($A123,'Data Vlaue (Cr)'!$C:$FB,66)*100</f>
        <v>10.26</v>
      </c>
    </row>
    <row r="124" spans="1:15" x14ac:dyDescent="0.25">
      <c r="A124" s="101" t="str">
        <f>'Data Vlaue (Cr)'!C119</f>
        <v>JSL</v>
      </c>
      <c r="B124" s="50">
        <f>VLOOKUP($A124,'Data Vlaue (Cr)'!$C:$FB,8)</f>
        <v>688.9</v>
      </c>
      <c r="C124" s="50">
        <f>VLOOKUP($A124,'Data Vlaue (Cr)'!$C:$FB,11)*100</f>
        <v>-1.28</v>
      </c>
      <c r="D124" s="50">
        <f>VLOOKUP($A124,'Data Vlaue (Cr)'!$C:$FB,143)</f>
        <v>274.10000000000002</v>
      </c>
      <c r="E124" s="50">
        <f>VLOOKUP($A124,'Data Vlaue (Cr)'!$C:$FB,144)</f>
        <v>928.52</v>
      </c>
      <c r="F124" s="50">
        <f>VLOOKUP($A124,'Data Vlaue (Cr)'!$C:$FB,146)*100</f>
        <v>-70.48</v>
      </c>
      <c r="G124" s="49">
        <f>VLOOKUP($A124,'Data Vlaue (Cr)'!$C:$FB,43)</f>
        <v>63</v>
      </c>
      <c r="H124" s="49">
        <f>VLOOKUP($A124,'Data Vlaue (Cr)'!$C:$FB,44)</f>
        <v>181</v>
      </c>
      <c r="I124" s="49">
        <f>VLOOKUP($A124,'Data Vlaue (Cr)'!$C:$FB,46)*100</f>
        <v>-65.510000000000005</v>
      </c>
      <c r="J124" s="51">
        <f>VLOOKUP($A124,'Data Vlaue (Cr)'!$C:$FB,59)</f>
        <v>112</v>
      </c>
      <c r="K124" s="51">
        <f>VLOOKUP($A124,'Data Vlaue (Cr)'!$C:$FB,60)</f>
        <v>586</v>
      </c>
      <c r="L124" s="51">
        <f>VLOOKUP($A124,'Data Vlaue (Cr)'!$C:$FB,62)*100</f>
        <v>-80.81</v>
      </c>
      <c r="M124" s="51">
        <f>VLOOKUP($A124,'Data Vlaue (Cr)'!$C:$FB,63)</f>
        <v>94</v>
      </c>
      <c r="N124" s="51">
        <f>VLOOKUP($A124,'Data Vlaue (Cr)'!$C:$FB,64)</f>
        <v>132</v>
      </c>
      <c r="O124" s="51">
        <f>VLOOKUP($A124,'Data Vlaue (Cr)'!$C:$FB,66)*100</f>
        <v>-28.87</v>
      </c>
    </row>
    <row r="125" spans="1:15" x14ac:dyDescent="0.25">
      <c r="A125" s="101" t="str">
        <f>'Data Vlaue (Cr)'!C120</f>
        <v>JSWENERGY</v>
      </c>
      <c r="B125" s="50">
        <f>VLOOKUP($A125,'Data Vlaue (Cr)'!$C:$FB,8)</f>
        <v>531.54999999999995</v>
      </c>
      <c r="C125" s="50">
        <f>VLOOKUP($A125,'Data Vlaue (Cr)'!$C:$FB,11)*100</f>
        <v>-0.03</v>
      </c>
      <c r="D125" s="50">
        <f>VLOOKUP($A125,'Data Vlaue (Cr)'!$C:$FB,143)</f>
        <v>650.98</v>
      </c>
      <c r="E125" s="50">
        <f>VLOOKUP($A125,'Data Vlaue (Cr)'!$C:$FB,144)</f>
        <v>1003.94</v>
      </c>
      <c r="F125" s="50">
        <f>VLOOKUP($A125,'Data Vlaue (Cr)'!$C:$FB,146)*100</f>
        <v>-35.160000000000004</v>
      </c>
      <c r="G125" s="49">
        <f>VLOOKUP($A125,'Data Vlaue (Cr)'!$C:$FB,43)</f>
        <v>201</v>
      </c>
      <c r="H125" s="49">
        <f>VLOOKUP($A125,'Data Vlaue (Cr)'!$C:$FB,44)</f>
        <v>245</v>
      </c>
      <c r="I125" s="49">
        <f>VLOOKUP($A125,'Data Vlaue (Cr)'!$C:$FB,46)*100</f>
        <v>-17.84</v>
      </c>
      <c r="J125" s="51">
        <f>VLOOKUP($A125,'Data Vlaue (Cr)'!$C:$FB,59)</f>
        <v>341</v>
      </c>
      <c r="K125" s="51">
        <f>VLOOKUP($A125,'Data Vlaue (Cr)'!$C:$FB,60)</f>
        <v>573</v>
      </c>
      <c r="L125" s="51">
        <f>VLOOKUP($A125,'Data Vlaue (Cr)'!$C:$FB,62)*100</f>
        <v>-40.53</v>
      </c>
      <c r="M125" s="51">
        <f>VLOOKUP($A125,'Data Vlaue (Cr)'!$C:$FB,63)</f>
        <v>97</v>
      </c>
      <c r="N125" s="51">
        <f>VLOOKUP($A125,'Data Vlaue (Cr)'!$C:$FB,64)</f>
        <v>163</v>
      </c>
      <c r="O125" s="51">
        <f>VLOOKUP($A125,'Data Vlaue (Cr)'!$C:$FB,66)*100</f>
        <v>-40.489999999999995</v>
      </c>
    </row>
    <row r="126" spans="1:15" x14ac:dyDescent="0.25">
      <c r="A126" s="101" t="str">
        <f>'Data Vlaue (Cr)'!C121</f>
        <v>JSWSTEEL</v>
      </c>
      <c r="B126" s="50">
        <f>VLOOKUP($A126,'Data Vlaue (Cr)'!$C:$FB,8)</f>
        <v>1030.7</v>
      </c>
      <c r="C126" s="50">
        <f>VLOOKUP($A126,'Data Vlaue (Cr)'!$C:$FB,11)*100</f>
        <v>-0.4</v>
      </c>
      <c r="D126" s="50">
        <f>VLOOKUP($A126,'Data Vlaue (Cr)'!$C:$FB,143)</f>
        <v>1928.04</v>
      </c>
      <c r="E126" s="50">
        <f>VLOOKUP($A126,'Data Vlaue (Cr)'!$C:$FB,144)</f>
        <v>5001.17</v>
      </c>
      <c r="F126" s="50">
        <f>VLOOKUP($A126,'Data Vlaue (Cr)'!$C:$FB,146)*100</f>
        <v>-61.45</v>
      </c>
      <c r="G126" s="49">
        <f>VLOOKUP($A126,'Data Vlaue (Cr)'!$C:$FB,43)</f>
        <v>313</v>
      </c>
      <c r="H126" s="49">
        <f>VLOOKUP($A126,'Data Vlaue (Cr)'!$C:$FB,44)</f>
        <v>729</v>
      </c>
      <c r="I126" s="49">
        <f>VLOOKUP($A126,'Data Vlaue (Cr)'!$C:$FB,46)*100</f>
        <v>-57.120000000000005</v>
      </c>
      <c r="J126" s="51">
        <f>VLOOKUP($A126,'Data Vlaue (Cr)'!$C:$FB,59)</f>
        <v>1106</v>
      </c>
      <c r="K126" s="51">
        <f>VLOOKUP($A126,'Data Vlaue (Cr)'!$C:$FB,60)</f>
        <v>3138</v>
      </c>
      <c r="L126" s="51">
        <f>VLOOKUP($A126,'Data Vlaue (Cr)'!$C:$FB,62)*100</f>
        <v>-64.75</v>
      </c>
      <c r="M126" s="51">
        <f>VLOOKUP($A126,'Data Vlaue (Cr)'!$C:$FB,63)</f>
        <v>468</v>
      </c>
      <c r="N126" s="51">
        <f>VLOOKUP($A126,'Data Vlaue (Cr)'!$C:$FB,64)</f>
        <v>1047</v>
      </c>
      <c r="O126" s="51">
        <f>VLOOKUP($A126,'Data Vlaue (Cr)'!$C:$FB,66)*100</f>
        <v>-55.31</v>
      </c>
    </row>
    <row r="127" spans="1:15" x14ac:dyDescent="0.25">
      <c r="A127" s="101" t="str">
        <f>'Data Vlaue (Cr)'!C122</f>
        <v>JUBLFOOD</v>
      </c>
      <c r="B127" s="50">
        <f>VLOOKUP($A127,'Data Vlaue (Cr)'!$C:$FB,8)</f>
        <v>662.1</v>
      </c>
      <c r="C127" s="50">
        <f>VLOOKUP($A127,'Data Vlaue (Cr)'!$C:$FB,11)*100</f>
        <v>-2.54</v>
      </c>
      <c r="D127" s="50">
        <f>VLOOKUP($A127,'Data Vlaue (Cr)'!$C:$FB,143)</f>
        <v>1029.32</v>
      </c>
      <c r="E127" s="50">
        <f>VLOOKUP($A127,'Data Vlaue (Cr)'!$C:$FB,144)</f>
        <v>525.85</v>
      </c>
      <c r="F127" s="50">
        <f>VLOOKUP($A127,'Data Vlaue (Cr)'!$C:$FB,146)*100</f>
        <v>95.740000000000009</v>
      </c>
      <c r="G127" s="49">
        <f>VLOOKUP($A127,'Data Vlaue (Cr)'!$C:$FB,43)</f>
        <v>213</v>
      </c>
      <c r="H127" s="49">
        <f>VLOOKUP($A127,'Data Vlaue (Cr)'!$C:$FB,44)</f>
        <v>105</v>
      </c>
      <c r="I127" s="49">
        <f>VLOOKUP($A127,'Data Vlaue (Cr)'!$C:$FB,46)*100</f>
        <v>103.41</v>
      </c>
      <c r="J127" s="51">
        <f>VLOOKUP($A127,'Data Vlaue (Cr)'!$C:$FB,59)</f>
        <v>535</v>
      </c>
      <c r="K127" s="51">
        <f>VLOOKUP($A127,'Data Vlaue (Cr)'!$C:$FB,60)</f>
        <v>280</v>
      </c>
      <c r="L127" s="51">
        <f>VLOOKUP($A127,'Data Vlaue (Cr)'!$C:$FB,62)*100</f>
        <v>90.86999999999999</v>
      </c>
      <c r="M127" s="51">
        <f>VLOOKUP($A127,'Data Vlaue (Cr)'!$C:$FB,63)</f>
        <v>238</v>
      </c>
      <c r="N127" s="51">
        <f>VLOOKUP($A127,'Data Vlaue (Cr)'!$C:$FB,64)</f>
        <v>112</v>
      </c>
      <c r="O127" s="51">
        <f>VLOOKUP($A127,'Data Vlaue (Cr)'!$C:$FB,66)*100</f>
        <v>113.29</v>
      </c>
    </row>
    <row r="128" spans="1:15" x14ac:dyDescent="0.25">
      <c r="A128" s="101" t="str">
        <f>'Data Vlaue (Cr)'!C123</f>
        <v>KALYANKJIL</v>
      </c>
      <c r="B128" s="50">
        <f>VLOOKUP($A128,'Data Vlaue (Cr)'!$C:$FB,8)</f>
        <v>593.04999999999995</v>
      </c>
      <c r="C128" s="50">
        <f>VLOOKUP($A128,'Data Vlaue (Cr)'!$C:$FB,11)*100</f>
        <v>0.31</v>
      </c>
      <c r="D128" s="50">
        <f>VLOOKUP($A128,'Data Vlaue (Cr)'!$C:$FB,143)</f>
        <v>610.62</v>
      </c>
      <c r="E128" s="50">
        <f>VLOOKUP($A128,'Data Vlaue (Cr)'!$C:$FB,144)</f>
        <v>922.6</v>
      </c>
      <c r="F128" s="50">
        <f>VLOOKUP($A128,'Data Vlaue (Cr)'!$C:$FB,146)*100</f>
        <v>-33.81</v>
      </c>
      <c r="G128" s="49">
        <f>VLOOKUP($A128,'Data Vlaue (Cr)'!$C:$FB,43)</f>
        <v>120</v>
      </c>
      <c r="H128" s="49">
        <f>VLOOKUP($A128,'Data Vlaue (Cr)'!$C:$FB,44)</f>
        <v>154</v>
      </c>
      <c r="I128" s="49">
        <f>VLOOKUP($A128,'Data Vlaue (Cr)'!$C:$FB,46)*100</f>
        <v>-21.82</v>
      </c>
      <c r="J128" s="51">
        <f>VLOOKUP($A128,'Data Vlaue (Cr)'!$C:$FB,59)</f>
        <v>348</v>
      </c>
      <c r="K128" s="51">
        <f>VLOOKUP($A128,'Data Vlaue (Cr)'!$C:$FB,60)</f>
        <v>538</v>
      </c>
      <c r="L128" s="51">
        <f>VLOOKUP($A128,'Data Vlaue (Cr)'!$C:$FB,62)*100</f>
        <v>-35.29</v>
      </c>
      <c r="M128" s="51">
        <f>VLOOKUP($A128,'Data Vlaue (Cr)'!$C:$FB,63)</f>
        <v>132</v>
      </c>
      <c r="N128" s="51">
        <f>VLOOKUP($A128,'Data Vlaue (Cr)'!$C:$FB,64)</f>
        <v>209</v>
      </c>
      <c r="O128" s="51">
        <f>VLOOKUP($A128,'Data Vlaue (Cr)'!$C:$FB,66)*100</f>
        <v>-37.04</v>
      </c>
    </row>
    <row r="129" spans="1:15" x14ac:dyDescent="0.25">
      <c r="A129" s="101" t="str">
        <f>'Data Vlaue (Cr)'!C124</f>
        <v>KAYNES</v>
      </c>
      <c r="B129" s="50">
        <f>VLOOKUP($A129,'Data Vlaue (Cr)'!$C:$FB,8)</f>
        <v>5783</v>
      </c>
      <c r="C129" s="50">
        <f>VLOOKUP($A129,'Data Vlaue (Cr)'!$C:$FB,11)*100</f>
        <v>-1.9300000000000002</v>
      </c>
      <c r="D129" s="50">
        <f>VLOOKUP($A129,'Data Vlaue (Cr)'!$C:$FB,143)</f>
        <v>375.87</v>
      </c>
      <c r="E129" s="50">
        <f>VLOOKUP($A129,'Data Vlaue (Cr)'!$C:$FB,144)</f>
        <v>467.99</v>
      </c>
      <c r="F129" s="50">
        <f>VLOOKUP($A129,'Data Vlaue (Cr)'!$C:$FB,146)*100</f>
        <v>-19.68</v>
      </c>
      <c r="G129" s="49">
        <f>VLOOKUP($A129,'Data Vlaue (Cr)'!$C:$FB,43)</f>
        <v>90</v>
      </c>
      <c r="H129" s="49">
        <f>VLOOKUP($A129,'Data Vlaue (Cr)'!$C:$FB,44)</f>
        <v>112</v>
      </c>
      <c r="I129" s="49">
        <f>VLOOKUP($A129,'Data Vlaue (Cr)'!$C:$FB,46)*100</f>
        <v>-19.77</v>
      </c>
      <c r="J129" s="51">
        <f>VLOOKUP($A129,'Data Vlaue (Cr)'!$C:$FB,59)</f>
        <v>218</v>
      </c>
      <c r="K129" s="51">
        <f>VLOOKUP($A129,'Data Vlaue (Cr)'!$C:$FB,60)</f>
        <v>276</v>
      </c>
      <c r="L129" s="51">
        <f>VLOOKUP($A129,'Data Vlaue (Cr)'!$C:$FB,62)*100</f>
        <v>-20.82</v>
      </c>
      <c r="M129" s="51">
        <f>VLOOKUP($A129,'Data Vlaue (Cr)'!$C:$FB,63)</f>
        <v>47</v>
      </c>
      <c r="N129" s="51">
        <f>VLOOKUP($A129,'Data Vlaue (Cr)'!$C:$FB,64)</f>
        <v>54</v>
      </c>
      <c r="O129" s="51">
        <f>VLOOKUP($A129,'Data Vlaue (Cr)'!$C:$FB,66)*100</f>
        <v>-13.919999999999998</v>
      </c>
    </row>
    <row r="130" spans="1:15" x14ac:dyDescent="0.25">
      <c r="A130" s="101" t="str">
        <f>'Data Vlaue (Cr)'!C125</f>
        <v>KEI</v>
      </c>
      <c r="B130" s="50">
        <f>VLOOKUP($A130,'Data Vlaue (Cr)'!$C:$FB,8)</f>
        <v>3990.3</v>
      </c>
      <c r="C130" s="50">
        <f>VLOOKUP($A130,'Data Vlaue (Cr)'!$C:$FB,11)*100</f>
        <v>0.44999999999999996</v>
      </c>
      <c r="D130" s="50">
        <f>VLOOKUP($A130,'Data Vlaue (Cr)'!$C:$FB,143)</f>
        <v>1668.48</v>
      </c>
      <c r="E130" s="50">
        <f>VLOOKUP($A130,'Data Vlaue (Cr)'!$C:$FB,144)</f>
        <v>857.47</v>
      </c>
      <c r="F130" s="50">
        <f>VLOOKUP($A130,'Data Vlaue (Cr)'!$C:$FB,146)*100</f>
        <v>94.58</v>
      </c>
      <c r="G130" s="49">
        <f>VLOOKUP($A130,'Data Vlaue (Cr)'!$C:$FB,43)</f>
        <v>228</v>
      </c>
      <c r="H130" s="49">
        <f>VLOOKUP($A130,'Data Vlaue (Cr)'!$C:$FB,44)</f>
        <v>202</v>
      </c>
      <c r="I130" s="49">
        <f>VLOOKUP($A130,'Data Vlaue (Cr)'!$C:$FB,46)*100</f>
        <v>13.04</v>
      </c>
      <c r="J130" s="51">
        <f>VLOOKUP($A130,'Data Vlaue (Cr)'!$C:$FB,59)</f>
        <v>1048</v>
      </c>
      <c r="K130" s="51">
        <f>VLOOKUP($A130,'Data Vlaue (Cr)'!$C:$FB,60)</f>
        <v>468</v>
      </c>
      <c r="L130" s="51">
        <f>VLOOKUP($A130,'Data Vlaue (Cr)'!$C:$FB,62)*100</f>
        <v>123.69000000000001</v>
      </c>
      <c r="M130" s="51">
        <f>VLOOKUP($A130,'Data Vlaue (Cr)'!$C:$FB,63)</f>
        <v>353</v>
      </c>
      <c r="N130" s="51">
        <f>VLOOKUP($A130,'Data Vlaue (Cr)'!$C:$FB,64)</f>
        <v>178</v>
      </c>
      <c r="O130" s="51">
        <f>VLOOKUP($A130,'Data Vlaue (Cr)'!$C:$FB,66)*100</f>
        <v>98.54</v>
      </c>
    </row>
    <row r="131" spans="1:15" x14ac:dyDescent="0.25">
      <c r="A131" s="101" t="str">
        <f>'Data Vlaue (Cr)'!C126</f>
        <v>KFINTECH</v>
      </c>
      <c r="B131" s="50">
        <f>VLOOKUP($A131,'Data Vlaue (Cr)'!$C:$FB,8)</f>
        <v>1282.4000000000001</v>
      </c>
      <c r="C131" s="50">
        <f>VLOOKUP($A131,'Data Vlaue (Cr)'!$C:$FB,11)*100</f>
        <v>0.64</v>
      </c>
      <c r="D131" s="50">
        <f>VLOOKUP($A131,'Data Vlaue (Cr)'!$C:$FB,143)</f>
        <v>152.88999999999999</v>
      </c>
      <c r="E131" s="50">
        <f>VLOOKUP($A131,'Data Vlaue (Cr)'!$C:$FB,144)</f>
        <v>133.59</v>
      </c>
      <c r="F131" s="50">
        <f>VLOOKUP($A131,'Data Vlaue (Cr)'!$C:$FB,146)*100</f>
        <v>14.45</v>
      </c>
      <c r="G131" s="49">
        <f>VLOOKUP($A131,'Data Vlaue (Cr)'!$C:$FB,43)</f>
        <v>81</v>
      </c>
      <c r="H131" s="49">
        <f>VLOOKUP($A131,'Data Vlaue (Cr)'!$C:$FB,44)</f>
        <v>42</v>
      </c>
      <c r="I131" s="49">
        <f>VLOOKUP($A131,'Data Vlaue (Cr)'!$C:$FB,46)*100</f>
        <v>91.39</v>
      </c>
      <c r="J131" s="51">
        <f>VLOOKUP($A131,'Data Vlaue (Cr)'!$C:$FB,59)</f>
        <v>59</v>
      </c>
      <c r="K131" s="51">
        <f>VLOOKUP($A131,'Data Vlaue (Cr)'!$C:$FB,60)</f>
        <v>70</v>
      </c>
      <c r="L131" s="51">
        <f>VLOOKUP($A131,'Data Vlaue (Cr)'!$C:$FB,62)*100</f>
        <v>-16.669999999999998</v>
      </c>
      <c r="M131" s="51">
        <f>VLOOKUP($A131,'Data Vlaue (Cr)'!$C:$FB,63)</f>
        <v>10</v>
      </c>
      <c r="N131" s="51">
        <f>VLOOKUP($A131,'Data Vlaue (Cr)'!$C:$FB,64)</f>
        <v>16</v>
      </c>
      <c r="O131" s="51">
        <f>VLOOKUP($A131,'Data Vlaue (Cr)'!$C:$FB,66)*100</f>
        <v>-34.89</v>
      </c>
    </row>
    <row r="132" spans="1:15" x14ac:dyDescent="0.25">
      <c r="A132" s="101" t="str">
        <f>'Data Vlaue (Cr)'!C127</f>
        <v>KOTAKBANK</v>
      </c>
      <c r="B132" s="50">
        <f>VLOOKUP($A132,'Data Vlaue (Cr)'!$C:$FB,8)</f>
        <v>2160.1999999999998</v>
      </c>
      <c r="C132" s="50">
        <f>VLOOKUP($A132,'Data Vlaue (Cr)'!$C:$FB,11)*100</f>
        <v>-0.22999999999999998</v>
      </c>
      <c r="D132" s="50">
        <f>VLOOKUP($A132,'Data Vlaue (Cr)'!$C:$FB,143)</f>
        <v>2802.45</v>
      </c>
      <c r="E132" s="50">
        <f>VLOOKUP($A132,'Data Vlaue (Cr)'!$C:$FB,144)</f>
        <v>4163.95</v>
      </c>
      <c r="F132" s="50">
        <f>VLOOKUP($A132,'Data Vlaue (Cr)'!$C:$FB,146)*100</f>
        <v>-32.700000000000003</v>
      </c>
      <c r="G132" s="49">
        <f>VLOOKUP($A132,'Data Vlaue (Cr)'!$C:$FB,43)</f>
        <v>679</v>
      </c>
      <c r="H132" s="49">
        <f>VLOOKUP($A132,'Data Vlaue (Cr)'!$C:$FB,44)</f>
        <v>869</v>
      </c>
      <c r="I132" s="49">
        <f>VLOOKUP($A132,'Data Vlaue (Cr)'!$C:$FB,46)*100</f>
        <v>-21.82</v>
      </c>
      <c r="J132" s="51">
        <f>VLOOKUP($A132,'Data Vlaue (Cr)'!$C:$FB,59)</f>
        <v>1299</v>
      </c>
      <c r="K132" s="51">
        <f>VLOOKUP($A132,'Data Vlaue (Cr)'!$C:$FB,60)</f>
        <v>2074</v>
      </c>
      <c r="L132" s="51">
        <f>VLOOKUP($A132,'Data Vlaue (Cr)'!$C:$FB,62)*100</f>
        <v>-37.36</v>
      </c>
      <c r="M132" s="51">
        <f>VLOOKUP($A132,'Data Vlaue (Cr)'!$C:$FB,63)</f>
        <v>787</v>
      </c>
      <c r="N132" s="51">
        <f>VLOOKUP($A132,'Data Vlaue (Cr)'!$C:$FB,64)</f>
        <v>1163</v>
      </c>
      <c r="O132" s="51">
        <f>VLOOKUP($A132,'Data Vlaue (Cr)'!$C:$FB,66)*100</f>
        <v>-32.35</v>
      </c>
    </row>
    <row r="133" spans="1:15" x14ac:dyDescent="0.25">
      <c r="A133" s="101" t="str">
        <f>'Data Vlaue (Cr)'!C128</f>
        <v>KPITTECH</v>
      </c>
      <c r="B133" s="50">
        <f>VLOOKUP($A133,'Data Vlaue (Cr)'!$C:$FB,8)</f>
        <v>1256</v>
      </c>
      <c r="C133" s="50">
        <f>VLOOKUP($A133,'Data Vlaue (Cr)'!$C:$FB,11)*100</f>
        <v>-0.67999999999999994</v>
      </c>
      <c r="D133" s="50">
        <f>VLOOKUP($A133,'Data Vlaue (Cr)'!$C:$FB,143)</f>
        <v>247.3</v>
      </c>
      <c r="E133" s="50">
        <f>VLOOKUP($A133,'Data Vlaue (Cr)'!$C:$FB,144)</f>
        <v>301.18</v>
      </c>
      <c r="F133" s="50">
        <f>VLOOKUP($A133,'Data Vlaue (Cr)'!$C:$FB,146)*100</f>
        <v>-17.89</v>
      </c>
      <c r="G133" s="49">
        <f>VLOOKUP($A133,'Data Vlaue (Cr)'!$C:$FB,43)</f>
        <v>64</v>
      </c>
      <c r="H133" s="49">
        <f>VLOOKUP($A133,'Data Vlaue (Cr)'!$C:$FB,44)</f>
        <v>67</v>
      </c>
      <c r="I133" s="49">
        <f>VLOOKUP($A133,'Data Vlaue (Cr)'!$C:$FB,46)*100</f>
        <v>-4.49</v>
      </c>
      <c r="J133" s="51">
        <f>VLOOKUP($A133,'Data Vlaue (Cr)'!$C:$FB,59)</f>
        <v>121</v>
      </c>
      <c r="K133" s="51">
        <f>VLOOKUP($A133,'Data Vlaue (Cr)'!$C:$FB,60)</f>
        <v>173</v>
      </c>
      <c r="L133" s="51">
        <f>VLOOKUP($A133,'Data Vlaue (Cr)'!$C:$FB,62)*100</f>
        <v>-30</v>
      </c>
      <c r="M133" s="51">
        <f>VLOOKUP($A133,'Data Vlaue (Cr)'!$C:$FB,63)</f>
        <v>57</v>
      </c>
      <c r="N133" s="51">
        <f>VLOOKUP($A133,'Data Vlaue (Cr)'!$C:$FB,64)</f>
        <v>49</v>
      </c>
      <c r="O133" s="51">
        <f>VLOOKUP($A133,'Data Vlaue (Cr)'!$C:$FB,66)*100</f>
        <v>15.45</v>
      </c>
    </row>
    <row r="134" spans="1:15" x14ac:dyDescent="0.25">
      <c r="A134" s="101" t="str">
        <f>'Data Vlaue (Cr)'!C129</f>
        <v>LAURUSLABS</v>
      </c>
      <c r="B134" s="50">
        <f>VLOOKUP($A134,'Data Vlaue (Cr)'!$C:$FB,8)</f>
        <v>823.35</v>
      </c>
      <c r="C134" s="50">
        <f>VLOOKUP($A134,'Data Vlaue (Cr)'!$C:$FB,11)*100</f>
        <v>-0.74</v>
      </c>
      <c r="D134" s="50">
        <f>VLOOKUP($A134,'Data Vlaue (Cr)'!$C:$FB,143)</f>
        <v>1466.01</v>
      </c>
      <c r="E134" s="50">
        <f>VLOOKUP($A134,'Data Vlaue (Cr)'!$C:$FB,144)</f>
        <v>1504.6</v>
      </c>
      <c r="F134" s="50">
        <f>VLOOKUP($A134,'Data Vlaue (Cr)'!$C:$FB,146)*100</f>
        <v>-2.5700000000000003</v>
      </c>
      <c r="G134" s="49">
        <f>VLOOKUP($A134,'Data Vlaue (Cr)'!$C:$FB,43)</f>
        <v>287</v>
      </c>
      <c r="H134" s="49">
        <f>VLOOKUP($A134,'Data Vlaue (Cr)'!$C:$FB,44)</f>
        <v>245</v>
      </c>
      <c r="I134" s="49">
        <f>VLOOKUP($A134,'Data Vlaue (Cr)'!$C:$FB,46)*100</f>
        <v>17.489999999999998</v>
      </c>
      <c r="J134" s="51">
        <f>VLOOKUP($A134,'Data Vlaue (Cr)'!$C:$FB,59)</f>
        <v>650</v>
      </c>
      <c r="K134" s="51">
        <f>VLOOKUP($A134,'Data Vlaue (Cr)'!$C:$FB,60)</f>
        <v>679</v>
      </c>
      <c r="L134" s="51">
        <f>VLOOKUP($A134,'Data Vlaue (Cr)'!$C:$FB,62)*100</f>
        <v>-4.1900000000000004</v>
      </c>
      <c r="M134" s="51">
        <f>VLOOKUP($A134,'Data Vlaue (Cr)'!$C:$FB,63)</f>
        <v>517</v>
      </c>
      <c r="N134" s="51">
        <f>VLOOKUP($A134,'Data Vlaue (Cr)'!$C:$FB,64)</f>
        <v>573</v>
      </c>
      <c r="O134" s="51">
        <f>VLOOKUP($A134,'Data Vlaue (Cr)'!$C:$FB,66)*100</f>
        <v>-9.83</v>
      </c>
    </row>
    <row r="135" spans="1:15" x14ac:dyDescent="0.25">
      <c r="A135" s="101" t="str">
        <f>'Data Vlaue (Cr)'!C130</f>
        <v>LICHSGFIN</v>
      </c>
      <c r="B135" s="50">
        <f>VLOOKUP($A135,'Data Vlaue (Cr)'!$C:$FB,8)</f>
        <v>620.20000000000005</v>
      </c>
      <c r="C135" s="50">
        <f>VLOOKUP($A135,'Data Vlaue (Cr)'!$C:$FB,11)*100</f>
        <v>-0.54999999999999993</v>
      </c>
      <c r="D135" s="50">
        <f>VLOOKUP($A135,'Data Vlaue (Cr)'!$C:$FB,143)</f>
        <v>1069.98</v>
      </c>
      <c r="E135" s="50">
        <f>VLOOKUP($A135,'Data Vlaue (Cr)'!$C:$FB,144)</f>
        <v>1091.1099999999999</v>
      </c>
      <c r="F135" s="50">
        <f>VLOOKUP($A135,'Data Vlaue (Cr)'!$C:$FB,146)*100</f>
        <v>-1.94</v>
      </c>
      <c r="G135" s="49">
        <f>VLOOKUP($A135,'Data Vlaue (Cr)'!$C:$FB,43)</f>
        <v>347</v>
      </c>
      <c r="H135" s="49">
        <f>VLOOKUP($A135,'Data Vlaue (Cr)'!$C:$FB,44)</f>
        <v>260</v>
      </c>
      <c r="I135" s="49">
        <f>VLOOKUP($A135,'Data Vlaue (Cr)'!$C:$FB,46)*100</f>
        <v>33.42</v>
      </c>
      <c r="J135" s="51">
        <f>VLOOKUP($A135,'Data Vlaue (Cr)'!$C:$FB,59)</f>
        <v>529</v>
      </c>
      <c r="K135" s="51">
        <f>VLOOKUP($A135,'Data Vlaue (Cr)'!$C:$FB,60)</f>
        <v>601</v>
      </c>
      <c r="L135" s="51">
        <f>VLOOKUP($A135,'Data Vlaue (Cr)'!$C:$FB,62)*100</f>
        <v>-12.02</v>
      </c>
      <c r="M135" s="51">
        <f>VLOOKUP($A135,'Data Vlaue (Cr)'!$C:$FB,63)</f>
        <v>170</v>
      </c>
      <c r="N135" s="51">
        <f>VLOOKUP($A135,'Data Vlaue (Cr)'!$C:$FB,64)</f>
        <v>202</v>
      </c>
      <c r="O135" s="51">
        <f>VLOOKUP($A135,'Data Vlaue (Cr)'!$C:$FB,66)*100</f>
        <v>-16.14</v>
      </c>
    </row>
    <row r="136" spans="1:15" x14ac:dyDescent="0.25">
      <c r="A136" s="101" t="str">
        <f>'Data Vlaue (Cr)'!C131</f>
        <v>LICI</v>
      </c>
      <c r="B136" s="50">
        <f>VLOOKUP($A136,'Data Vlaue (Cr)'!$C:$FB,8)</f>
        <v>919.05</v>
      </c>
      <c r="C136" s="50">
        <f>VLOOKUP($A136,'Data Vlaue (Cr)'!$C:$FB,11)*100</f>
        <v>-0.98</v>
      </c>
      <c r="D136" s="50">
        <f>VLOOKUP($A136,'Data Vlaue (Cr)'!$C:$FB,143)</f>
        <v>407.86</v>
      </c>
      <c r="E136" s="50">
        <f>VLOOKUP($A136,'Data Vlaue (Cr)'!$C:$FB,144)</f>
        <v>350.55</v>
      </c>
      <c r="F136" s="50">
        <f>VLOOKUP($A136,'Data Vlaue (Cr)'!$C:$FB,146)*100</f>
        <v>16.350000000000001</v>
      </c>
      <c r="G136" s="49">
        <f>VLOOKUP($A136,'Data Vlaue (Cr)'!$C:$FB,43)</f>
        <v>74</v>
      </c>
      <c r="H136" s="49">
        <f>VLOOKUP($A136,'Data Vlaue (Cr)'!$C:$FB,44)</f>
        <v>67</v>
      </c>
      <c r="I136" s="49">
        <f>VLOOKUP($A136,'Data Vlaue (Cr)'!$C:$FB,46)*100</f>
        <v>11.1</v>
      </c>
      <c r="J136" s="51">
        <f>VLOOKUP($A136,'Data Vlaue (Cr)'!$C:$FB,59)</f>
        <v>250</v>
      </c>
      <c r="K136" s="51">
        <f>VLOOKUP($A136,'Data Vlaue (Cr)'!$C:$FB,60)</f>
        <v>209</v>
      </c>
      <c r="L136" s="51">
        <f>VLOOKUP($A136,'Data Vlaue (Cr)'!$C:$FB,62)*100</f>
        <v>19.54</v>
      </c>
      <c r="M136" s="51">
        <f>VLOOKUP($A136,'Data Vlaue (Cr)'!$C:$FB,63)</f>
        <v>70</v>
      </c>
      <c r="N136" s="51">
        <f>VLOOKUP($A136,'Data Vlaue (Cr)'!$C:$FB,64)</f>
        <v>63</v>
      </c>
      <c r="O136" s="51">
        <f>VLOOKUP($A136,'Data Vlaue (Cr)'!$C:$FB,66)*100</f>
        <v>11.88</v>
      </c>
    </row>
    <row r="137" spans="1:15" x14ac:dyDescent="0.25">
      <c r="A137" s="101" t="str">
        <f>'Data Vlaue (Cr)'!C132</f>
        <v>LODHA</v>
      </c>
      <c r="B137" s="50">
        <f>VLOOKUP($A137,'Data Vlaue (Cr)'!$C:$FB,8)</f>
        <v>1442.3</v>
      </c>
      <c r="C137" s="50">
        <f>VLOOKUP($A137,'Data Vlaue (Cr)'!$C:$FB,11)*100</f>
        <v>-0.44</v>
      </c>
      <c r="D137" s="50">
        <f>VLOOKUP($A137,'Data Vlaue (Cr)'!$C:$FB,143)</f>
        <v>337.76</v>
      </c>
      <c r="E137" s="50">
        <f>VLOOKUP($A137,'Data Vlaue (Cr)'!$C:$FB,144)</f>
        <v>278.12</v>
      </c>
      <c r="F137" s="50">
        <f>VLOOKUP($A137,'Data Vlaue (Cr)'!$C:$FB,146)*100</f>
        <v>21.44</v>
      </c>
      <c r="G137" s="49">
        <f>VLOOKUP($A137,'Data Vlaue (Cr)'!$C:$FB,43)</f>
        <v>56</v>
      </c>
      <c r="H137" s="49">
        <f>VLOOKUP($A137,'Data Vlaue (Cr)'!$C:$FB,44)</f>
        <v>64</v>
      </c>
      <c r="I137" s="49">
        <f>VLOOKUP($A137,'Data Vlaue (Cr)'!$C:$FB,46)*100</f>
        <v>-12.07</v>
      </c>
      <c r="J137" s="51">
        <f>VLOOKUP($A137,'Data Vlaue (Cr)'!$C:$FB,59)</f>
        <v>196</v>
      </c>
      <c r="K137" s="51">
        <f>VLOOKUP($A137,'Data Vlaue (Cr)'!$C:$FB,60)</f>
        <v>136</v>
      </c>
      <c r="L137" s="51">
        <f>VLOOKUP($A137,'Data Vlaue (Cr)'!$C:$FB,62)*100</f>
        <v>44.18</v>
      </c>
      <c r="M137" s="51">
        <f>VLOOKUP($A137,'Data Vlaue (Cr)'!$C:$FB,63)</f>
        <v>78</v>
      </c>
      <c r="N137" s="51">
        <f>VLOOKUP($A137,'Data Vlaue (Cr)'!$C:$FB,64)</f>
        <v>74</v>
      </c>
      <c r="O137" s="51">
        <f>VLOOKUP($A137,'Data Vlaue (Cr)'!$C:$FB,66)*100</f>
        <v>5.09</v>
      </c>
    </row>
    <row r="138" spans="1:15" x14ac:dyDescent="0.25">
      <c r="A138" s="101" t="str">
        <f>'Data Vlaue (Cr)'!C133</f>
        <v>LT</v>
      </c>
      <c r="B138" s="50">
        <f>VLOOKUP($A138,'Data Vlaue (Cr)'!$C:$FB,8)</f>
        <v>3464.6</v>
      </c>
      <c r="C138" s="50">
        <f>VLOOKUP($A138,'Data Vlaue (Cr)'!$C:$FB,11)*100</f>
        <v>-1.0900000000000001</v>
      </c>
      <c r="D138" s="50">
        <f>VLOOKUP($A138,'Data Vlaue (Cr)'!$C:$FB,143)</f>
        <v>3380.73</v>
      </c>
      <c r="E138" s="50">
        <f>VLOOKUP($A138,'Data Vlaue (Cr)'!$C:$FB,144)</f>
        <v>3904.06</v>
      </c>
      <c r="F138" s="50">
        <f>VLOOKUP($A138,'Data Vlaue (Cr)'!$C:$FB,146)*100</f>
        <v>-13.4</v>
      </c>
      <c r="G138" s="49">
        <f>VLOOKUP($A138,'Data Vlaue (Cr)'!$C:$FB,43)</f>
        <v>688</v>
      </c>
      <c r="H138" s="49">
        <f>VLOOKUP($A138,'Data Vlaue (Cr)'!$C:$FB,44)</f>
        <v>597</v>
      </c>
      <c r="I138" s="49">
        <f>VLOOKUP($A138,'Data Vlaue (Cr)'!$C:$FB,46)*100</f>
        <v>15.09</v>
      </c>
      <c r="J138" s="51">
        <f>VLOOKUP($A138,'Data Vlaue (Cr)'!$C:$FB,59)</f>
        <v>2040</v>
      </c>
      <c r="K138" s="51">
        <f>VLOOKUP($A138,'Data Vlaue (Cr)'!$C:$FB,60)</f>
        <v>2398</v>
      </c>
      <c r="L138" s="51">
        <f>VLOOKUP($A138,'Data Vlaue (Cr)'!$C:$FB,62)*100</f>
        <v>-14.92</v>
      </c>
      <c r="M138" s="51">
        <f>VLOOKUP($A138,'Data Vlaue (Cr)'!$C:$FB,63)</f>
        <v>552</v>
      </c>
      <c r="N138" s="51">
        <f>VLOOKUP($A138,'Data Vlaue (Cr)'!$C:$FB,64)</f>
        <v>795</v>
      </c>
      <c r="O138" s="51">
        <f>VLOOKUP($A138,'Data Vlaue (Cr)'!$C:$FB,66)*100</f>
        <v>-30.490000000000002</v>
      </c>
    </row>
    <row r="139" spans="1:15" x14ac:dyDescent="0.25">
      <c r="A139" s="101" t="str">
        <f>'Data Vlaue (Cr)'!C134</f>
        <v>LTF</v>
      </c>
      <c r="B139" s="50">
        <f>VLOOKUP($A139,'Data Vlaue (Cr)'!$C:$FB,8)</f>
        <v>209.21</v>
      </c>
      <c r="C139" s="50">
        <f>VLOOKUP($A139,'Data Vlaue (Cr)'!$C:$FB,11)*100</f>
        <v>-0.65</v>
      </c>
      <c r="D139" s="50">
        <f>VLOOKUP($A139,'Data Vlaue (Cr)'!$C:$FB,143)</f>
        <v>3166.12</v>
      </c>
      <c r="E139" s="50">
        <f>VLOOKUP($A139,'Data Vlaue (Cr)'!$C:$FB,144)</f>
        <v>8062.27</v>
      </c>
      <c r="F139" s="50">
        <f>VLOOKUP($A139,'Data Vlaue (Cr)'!$C:$FB,146)*100</f>
        <v>-60.73</v>
      </c>
      <c r="G139" s="49">
        <f>VLOOKUP($A139,'Data Vlaue (Cr)'!$C:$FB,43)</f>
        <v>656</v>
      </c>
      <c r="H139" s="49">
        <f>VLOOKUP($A139,'Data Vlaue (Cr)'!$C:$FB,44)</f>
        <v>1633</v>
      </c>
      <c r="I139" s="49">
        <f>VLOOKUP($A139,'Data Vlaue (Cr)'!$C:$FB,46)*100</f>
        <v>-59.819999999999993</v>
      </c>
      <c r="J139" s="51">
        <f>VLOOKUP($A139,'Data Vlaue (Cr)'!$C:$FB,59)</f>
        <v>1630</v>
      </c>
      <c r="K139" s="51">
        <f>VLOOKUP($A139,'Data Vlaue (Cr)'!$C:$FB,60)</f>
        <v>4026</v>
      </c>
      <c r="L139" s="51">
        <f>VLOOKUP($A139,'Data Vlaue (Cr)'!$C:$FB,62)*100</f>
        <v>-59.519999999999996</v>
      </c>
      <c r="M139" s="51">
        <f>VLOOKUP($A139,'Data Vlaue (Cr)'!$C:$FB,63)</f>
        <v>850</v>
      </c>
      <c r="N139" s="51">
        <f>VLOOKUP($A139,'Data Vlaue (Cr)'!$C:$FB,64)</f>
        <v>2312</v>
      </c>
      <c r="O139" s="51">
        <f>VLOOKUP($A139,'Data Vlaue (Cr)'!$C:$FB,66)*100</f>
        <v>-63.249999999999993</v>
      </c>
    </row>
    <row r="140" spans="1:15" x14ac:dyDescent="0.25">
      <c r="A140" s="101" t="str">
        <f>'Data Vlaue (Cr)'!C135</f>
        <v>LTIM</v>
      </c>
      <c r="B140" s="50">
        <f>VLOOKUP($A140,'Data Vlaue (Cr)'!$C:$FB,8)</f>
        <v>5175.5</v>
      </c>
      <c r="C140" s="50">
        <f>VLOOKUP($A140,'Data Vlaue (Cr)'!$C:$FB,11)*100</f>
        <v>0.42</v>
      </c>
      <c r="D140" s="50">
        <f>VLOOKUP($A140,'Data Vlaue (Cr)'!$C:$FB,143)</f>
        <v>1228.05</v>
      </c>
      <c r="E140" s="50">
        <f>VLOOKUP($A140,'Data Vlaue (Cr)'!$C:$FB,144)</f>
        <v>1573.76</v>
      </c>
      <c r="F140" s="50">
        <f>VLOOKUP($A140,'Data Vlaue (Cr)'!$C:$FB,146)*100</f>
        <v>-21.97</v>
      </c>
      <c r="G140" s="49">
        <f>VLOOKUP($A140,'Data Vlaue (Cr)'!$C:$FB,43)</f>
        <v>284</v>
      </c>
      <c r="H140" s="49">
        <f>VLOOKUP($A140,'Data Vlaue (Cr)'!$C:$FB,44)</f>
        <v>315</v>
      </c>
      <c r="I140" s="49">
        <f>VLOOKUP($A140,'Data Vlaue (Cr)'!$C:$FB,46)*100</f>
        <v>-9.8699999999999992</v>
      </c>
      <c r="J140" s="51">
        <f>VLOOKUP($A140,'Data Vlaue (Cr)'!$C:$FB,59)</f>
        <v>612</v>
      </c>
      <c r="K140" s="51">
        <f>VLOOKUP($A140,'Data Vlaue (Cr)'!$C:$FB,60)</f>
        <v>850</v>
      </c>
      <c r="L140" s="51">
        <f>VLOOKUP($A140,'Data Vlaue (Cr)'!$C:$FB,62)*100</f>
        <v>-28.000000000000004</v>
      </c>
      <c r="M140" s="51">
        <f>VLOOKUP($A140,'Data Vlaue (Cr)'!$C:$FB,63)</f>
        <v>319</v>
      </c>
      <c r="N140" s="51">
        <f>VLOOKUP($A140,'Data Vlaue (Cr)'!$C:$FB,64)</f>
        <v>390</v>
      </c>
      <c r="O140" s="51">
        <f>VLOOKUP($A140,'Data Vlaue (Cr)'!$C:$FB,66)*100</f>
        <v>-18.22</v>
      </c>
    </row>
    <row r="141" spans="1:15" x14ac:dyDescent="0.25">
      <c r="A141" s="101" t="str">
        <f>'Data Vlaue (Cr)'!C136</f>
        <v>LUPIN</v>
      </c>
      <c r="B141" s="50">
        <f>VLOOKUP($A141,'Data Vlaue (Cr)'!$C:$FB,8)</f>
        <v>1903.2</v>
      </c>
      <c r="C141" s="50">
        <f>VLOOKUP($A141,'Data Vlaue (Cr)'!$C:$FB,11)*100</f>
        <v>-0.92999999999999994</v>
      </c>
      <c r="D141" s="50">
        <f>VLOOKUP($A141,'Data Vlaue (Cr)'!$C:$FB,143)</f>
        <v>2286.31</v>
      </c>
      <c r="E141" s="50">
        <f>VLOOKUP($A141,'Data Vlaue (Cr)'!$C:$FB,144)</f>
        <v>591.24</v>
      </c>
      <c r="F141" s="50">
        <f>VLOOKUP($A141,'Data Vlaue (Cr)'!$C:$FB,146)*100</f>
        <v>286.7</v>
      </c>
      <c r="G141" s="49">
        <f>VLOOKUP($A141,'Data Vlaue (Cr)'!$C:$FB,43)</f>
        <v>408</v>
      </c>
      <c r="H141" s="49">
        <f>VLOOKUP($A141,'Data Vlaue (Cr)'!$C:$FB,44)</f>
        <v>154</v>
      </c>
      <c r="I141" s="49">
        <f>VLOOKUP($A141,'Data Vlaue (Cr)'!$C:$FB,46)*100</f>
        <v>164.39</v>
      </c>
      <c r="J141" s="51">
        <f>VLOOKUP($A141,'Data Vlaue (Cr)'!$C:$FB,59)</f>
        <v>1141</v>
      </c>
      <c r="K141" s="51">
        <f>VLOOKUP($A141,'Data Vlaue (Cr)'!$C:$FB,60)</f>
        <v>312</v>
      </c>
      <c r="L141" s="51">
        <f>VLOOKUP($A141,'Data Vlaue (Cr)'!$C:$FB,62)*100</f>
        <v>266</v>
      </c>
      <c r="M141" s="51">
        <f>VLOOKUP($A141,'Data Vlaue (Cr)'!$C:$FB,63)</f>
        <v>688</v>
      </c>
      <c r="N141" s="51">
        <f>VLOOKUP($A141,'Data Vlaue (Cr)'!$C:$FB,64)</f>
        <v>105</v>
      </c>
      <c r="O141" s="51">
        <f>VLOOKUP($A141,'Data Vlaue (Cr)'!$C:$FB,66)*100</f>
        <v>552.1</v>
      </c>
    </row>
    <row r="142" spans="1:15" x14ac:dyDescent="0.25">
      <c r="A142" s="101" t="str">
        <f>'Data Vlaue (Cr)'!C137</f>
        <v>M&amp;M</v>
      </c>
      <c r="B142" s="50">
        <f>VLOOKUP($A142,'Data Vlaue (Cr)'!$C:$FB,8)</f>
        <v>3257.2</v>
      </c>
      <c r="C142" s="50">
        <f>VLOOKUP($A142,'Data Vlaue (Cr)'!$C:$FB,11)*100</f>
        <v>0.32</v>
      </c>
      <c r="D142" s="50">
        <f>VLOOKUP($A142,'Data Vlaue (Cr)'!$C:$FB,143)</f>
        <v>7901.57</v>
      </c>
      <c r="E142" s="50">
        <f>VLOOKUP($A142,'Data Vlaue (Cr)'!$C:$FB,144)</f>
        <v>7569.03</v>
      </c>
      <c r="F142" s="50">
        <f>VLOOKUP($A142,'Data Vlaue (Cr)'!$C:$FB,146)*100</f>
        <v>4.3900000000000006</v>
      </c>
      <c r="G142" s="49">
        <f>VLOOKUP($A142,'Data Vlaue (Cr)'!$C:$FB,43)</f>
        <v>1039</v>
      </c>
      <c r="H142" s="49">
        <f>VLOOKUP($A142,'Data Vlaue (Cr)'!$C:$FB,44)</f>
        <v>1129</v>
      </c>
      <c r="I142" s="49">
        <f>VLOOKUP($A142,'Data Vlaue (Cr)'!$C:$FB,46)*100</f>
        <v>-7.9600000000000009</v>
      </c>
      <c r="J142" s="51">
        <f>VLOOKUP($A142,'Data Vlaue (Cr)'!$C:$FB,59)</f>
        <v>4717</v>
      </c>
      <c r="K142" s="51">
        <f>VLOOKUP($A142,'Data Vlaue (Cr)'!$C:$FB,60)</f>
        <v>4316</v>
      </c>
      <c r="L142" s="51">
        <f>VLOOKUP($A142,'Data Vlaue (Cr)'!$C:$FB,62)*100</f>
        <v>9.27</v>
      </c>
      <c r="M142" s="51">
        <f>VLOOKUP($A142,'Data Vlaue (Cr)'!$C:$FB,63)</f>
        <v>2020</v>
      </c>
      <c r="N142" s="51">
        <f>VLOOKUP($A142,'Data Vlaue (Cr)'!$C:$FB,64)</f>
        <v>2091</v>
      </c>
      <c r="O142" s="51">
        <f>VLOOKUP($A142,'Data Vlaue (Cr)'!$C:$FB,66)*100</f>
        <v>-3.37</v>
      </c>
    </row>
    <row r="143" spans="1:15" x14ac:dyDescent="0.25">
      <c r="A143" s="101" t="str">
        <f>'Data Vlaue (Cr)'!C138</f>
        <v>M&amp;MFIN</v>
      </c>
      <c r="B143" s="50">
        <f>VLOOKUP($A143,'Data Vlaue (Cr)'!$C:$FB,8)</f>
        <v>265.55</v>
      </c>
      <c r="C143" s="50">
        <f>VLOOKUP($A143,'Data Vlaue (Cr)'!$C:$FB,11)*100</f>
        <v>1.03</v>
      </c>
      <c r="D143" s="50">
        <f>VLOOKUP($A143,'Data Vlaue (Cr)'!$C:$FB,143)</f>
        <v>1514.2</v>
      </c>
      <c r="E143" s="50">
        <f>VLOOKUP($A143,'Data Vlaue (Cr)'!$C:$FB,144)</f>
        <v>265.54000000000002</v>
      </c>
      <c r="F143" s="50">
        <f>VLOOKUP($A143,'Data Vlaue (Cr)'!$C:$FB,146)*100</f>
        <v>470.24</v>
      </c>
      <c r="G143" s="49">
        <f>VLOOKUP($A143,'Data Vlaue (Cr)'!$C:$FB,43)</f>
        <v>389</v>
      </c>
      <c r="H143" s="49">
        <f>VLOOKUP($A143,'Data Vlaue (Cr)'!$C:$FB,44)</f>
        <v>84</v>
      </c>
      <c r="I143" s="49">
        <f>VLOOKUP($A143,'Data Vlaue (Cr)'!$C:$FB,46)*100</f>
        <v>360.15999999999997</v>
      </c>
      <c r="J143" s="51">
        <f>VLOOKUP($A143,'Data Vlaue (Cr)'!$C:$FB,59)</f>
        <v>788</v>
      </c>
      <c r="K143" s="51">
        <f>VLOOKUP($A143,'Data Vlaue (Cr)'!$C:$FB,60)</f>
        <v>123</v>
      </c>
      <c r="L143" s="51">
        <f>VLOOKUP($A143,'Data Vlaue (Cr)'!$C:$FB,62)*100</f>
        <v>542.79999999999995</v>
      </c>
      <c r="M143" s="51">
        <f>VLOOKUP($A143,'Data Vlaue (Cr)'!$C:$FB,63)</f>
        <v>315</v>
      </c>
      <c r="N143" s="51">
        <f>VLOOKUP($A143,'Data Vlaue (Cr)'!$C:$FB,64)</f>
        <v>59</v>
      </c>
      <c r="O143" s="51">
        <f>VLOOKUP($A143,'Data Vlaue (Cr)'!$C:$FB,66)*100</f>
        <v>437.52000000000004</v>
      </c>
    </row>
    <row r="144" spans="1:15" x14ac:dyDescent="0.25">
      <c r="A144" s="101" t="str">
        <f>'Data Vlaue (Cr)'!C139</f>
        <v>MANAPPURAM</v>
      </c>
      <c r="B144" s="50">
        <f>VLOOKUP($A144,'Data Vlaue (Cr)'!$C:$FB,8)</f>
        <v>272.05</v>
      </c>
      <c r="C144" s="50">
        <f>VLOOKUP($A144,'Data Vlaue (Cr)'!$C:$FB,11)*100</f>
        <v>0.65</v>
      </c>
      <c r="D144" s="50">
        <f>VLOOKUP($A144,'Data Vlaue (Cr)'!$C:$FB,143)</f>
        <v>382.1</v>
      </c>
      <c r="E144" s="50">
        <f>VLOOKUP($A144,'Data Vlaue (Cr)'!$C:$FB,144)</f>
        <v>590.34</v>
      </c>
      <c r="F144" s="50">
        <f>VLOOKUP($A144,'Data Vlaue (Cr)'!$C:$FB,146)*100</f>
        <v>-35.270000000000003</v>
      </c>
      <c r="G144" s="49">
        <f>VLOOKUP($A144,'Data Vlaue (Cr)'!$C:$FB,43)</f>
        <v>84</v>
      </c>
      <c r="H144" s="49">
        <f>VLOOKUP($A144,'Data Vlaue (Cr)'!$C:$FB,44)</f>
        <v>147</v>
      </c>
      <c r="I144" s="49">
        <f>VLOOKUP($A144,'Data Vlaue (Cr)'!$C:$FB,46)*100</f>
        <v>-43.01</v>
      </c>
      <c r="J144" s="51">
        <f>VLOOKUP($A144,'Data Vlaue (Cr)'!$C:$FB,59)</f>
        <v>211</v>
      </c>
      <c r="K144" s="51">
        <f>VLOOKUP($A144,'Data Vlaue (Cr)'!$C:$FB,60)</f>
        <v>285</v>
      </c>
      <c r="L144" s="51">
        <f>VLOOKUP($A144,'Data Vlaue (Cr)'!$C:$FB,62)*100</f>
        <v>-25.94</v>
      </c>
      <c r="M144" s="51">
        <f>VLOOKUP($A144,'Data Vlaue (Cr)'!$C:$FB,63)</f>
        <v>82</v>
      </c>
      <c r="N144" s="51">
        <f>VLOOKUP($A144,'Data Vlaue (Cr)'!$C:$FB,64)</f>
        <v>149</v>
      </c>
      <c r="O144" s="51">
        <f>VLOOKUP($A144,'Data Vlaue (Cr)'!$C:$FB,66)*100</f>
        <v>-45.379999999999995</v>
      </c>
    </row>
    <row r="145" spans="1:15" x14ac:dyDescent="0.25">
      <c r="A145" s="101" t="str">
        <f>'Data Vlaue (Cr)'!C140</f>
        <v>MANKIND</v>
      </c>
      <c r="B145" s="50">
        <f>VLOOKUP($A145,'Data Vlaue (Cr)'!$C:$FB,8)</f>
        <v>2670.5</v>
      </c>
      <c r="C145" s="50">
        <f>VLOOKUP($A145,'Data Vlaue (Cr)'!$C:$FB,11)*100</f>
        <v>0.92999999999999994</v>
      </c>
      <c r="D145" s="50">
        <f>VLOOKUP($A145,'Data Vlaue (Cr)'!$C:$FB,143)</f>
        <v>763.3</v>
      </c>
      <c r="E145" s="50">
        <f>VLOOKUP($A145,'Data Vlaue (Cr)'!$C:$FB,144)</f>
        <v>721.52</v>
      </c>
      <c r="F145" s="50">
        <f>VLOOKUP($A145,'Data Vlaue (Cr)'!$C:$FB,146)*100</f>
        <v>5.79</v>
      </c>
      <c r="G145" s="49">
        <f>VLOOKUP($A145,'Data Vlaue (Cr)'!$C:$FB,43)</f>
        <v>62</v>
      </c>
      <c r="H145" s="49">
        <f>VLOOKUP($A145,'Data Vlaue (Cr)'!$C:$FB,44)</f>
        <v>73</v>
      </c>
      <c r="I145" s="49">
        <f>VLOOKUP($A145,'Data Vlaue (Cr)'!$C:$FB,46)*100</f>
        <v>-15.67</v>
      </c>
      <c r="J145" s="51">
        <f>VLOOKUP($A145,'Data Vlaue (Cr)'!$C:$FB,59)</f>
        <v>547</v>
      </c>
      <c r="K145" s="51">
        <f>VLOOKUP($A145,'Data Vlaue (Cr)'!$C:$FB,60)</f>
        <v>497</v>
      </c>
      <c r="L145" s="51">
        <f>VLOOKUP($A145,'Data Vlaue (Cr)'!$C:$FB,62)*100</f>
        <v>10.050000000000001</v>
      </c>
      <c r="M145" s="51">
        <f>VLOOKUP($A145,'Data Vlaue (Cr)'!$C:$FB,63)</f>
        <v>118</v>
      </c>
      <c r="N145" s="51">
        <f>VLOOKUP($A145,'Data Vlaue (Cr)'!$C:$FB,64)</f>
        <v>138</v>
      </c>
      <c r="O145" s="51">
        <f>VLOOKUP($A145,'Data Vlaue (Cr)'!$C:$FB,66)*100</f>
        <v>-14.6</v>
      </c>
    </row>
    <row r="146" spans="1:15" x14ac:dyDescent="0.25">
      <c r="A146" s="101" t="str">
        <f>'Data Vlaue (Cr)'!C141</f>
        <v>MARICO</v>
      </c>
      <c r="B146" s="50">
        <f>VLOOKUP($A146,'Data Vlaue (Cr)'!$C:$FB,8)</f>
        <v>716.35</v>
      </c>
      <c r="C146" s="50">
        <f>VLOOKUP($A146,'Data Vlaue (Cr)'!$C:$FB,11)*100</f>
        <v>-0.19</v>
      </c>
      <c r="D146" s="50">
        <f>VLOOKUP($A146,'Data Vlaue (Cr)'!$C:$FB,143)</f>
        <v>557.03</v>
      </c>
      <c r="E146" s="50">
        <f>VLOOKUP($A146,'Data Vlaue (Cr)'!$C:$FB,144)</f>
        <v>770.44</v>
      </c>
      <c r="F146" s="50">
        <f>VLOOKUP($A146,'Data Vlaue (Cr)'!$C:$FB,146)*100</f>
        <v>-27.700000000000003</v>
      </c>
      <c r="G146" s="49">
        <f>VLOOKUP($A146,'Data Vlaue (Cr)'!$C:$FB,43)</f>
        <v>122</v>
      </c>
      <c r="H146" s="49">
        <f>VLOOKUP($A146,'Data Vlaue (Cr)'!$C:$FB,44)</f>
        <v>160</v>
      </c>
      <c r="I146" s="49">
        <f>VLOOKUP($A146,'Data Vlaue (Cr)'!$C:$FB,46)*100</f>
        <v>-23.51</v>
      </c>
      <c r="J146" s="51">
        <f>VLOOKUP($A146,'Data Vlaue (Cr)'!$C:$FB,59)</f>
        <v>295</v>
      </c>
      <c r="K146" s="51">
        <f>VLOOKUP($A146,'Data Vlaue (Cr)'!$C:$FB,60)</f>
        <v>420</v>
      </c>
      <c r="L146" s="51">
        <f>VLOOKUP($A146,'Data Vlaue (Cr)'!$C:$FB,62)*100</f>
        <v>-29.62</v>
      </c>
      <c r="M146" s="51">
        <f>VLOOKUP($A146,'Data Vlaue (Cr)'!$C:$FB,63)</f>
        <v>127</v>
      </c>
      <c r="N146" s="51">
        <f>VLOOKUP($A146,'Data Vlaue (Cr)'!$C:$FB,64)</f>
        <v>172</v>
      </c>
      <c r="O146" s="51">
        <f>VLOOKUP($A146,'Data Vlaue (Cr)'!$C:$FB,66)*100</f>
        <v>-26.25</v>
      </c>
    </row>
    <row r="147" spans="1:15" x14ac:dyDescent="0.25">
      <c r="A147" s="101" t="str">
        <f>'Data Vlaue (Cr)'!C142</f>
        <v>MARUTI</v>
      </c>
      <c r="B147" s="50">
        <f>VLOOKUP($A147,'Data Vlaue (Cr)'!$C:$FB,8)</f>
        <v>12492</v>
      </c>
      <c r="C147" s="50">
        <f>VLOOKUP($A147,'Data Vlaue (Cr)'!$C:$FB,11)*100</f>
        <v>0.70000000000000007</v>
      </c>
      <c r="D147" s="50">
        <f>VLOOKUP($A147,'Data Vlaue (Cr)'!$C:$FB,143)</f>
        <v>5413.38</v>
      </c>
      <c r="E147" s="50">
        <f>VLOOKUP($A147,'Data Vlaue (Cr)'!$C:$FB,144)</f>
        <v>4798.0600000000004</v>
      </c>
      <c r="F147" s="50">
        <f>VLOOKUP($A147,'Data Vlaue (Cr)'!$C:$FB,146)*100</f>
        <v>12.82</v>
      </c>
      <c r="G147" s="49">
        <f>VLOOKUP($A147,'Data Vlaue (Cr)'!$C:$FB,43)</f>
        <v>339</v>
      </c>
      <c r="H147" s="49">
        <f>VLOOKUP($A147,'Data Vlaue (Cr)'!$C:$FB,44)</f>
        <v>373</v>
      </c>
      <c r="I147" s="49">
        <f>VLOOKUP($A147,'Data Vlaue (Cr)'!$C:$FB,46)*100</f>
        <v>-9.06</v>
      </c>
      <c r="J147" s="51">
        <f>VLOOKUP($A147,'Data Vlaue (Cr)'!$C:$FB,59)</f>
        <v>3344</v>
      </c>
      <c r="K147" s="51">
        <f>VLOOKUP($A147,'Data Vlaue (Cr)'!$C:$FB,60)</f>
        <v>3040</v>
      </c>
      <c r="L147" s="51">
        <f>VLOOKUP($A147,'Data Vlaue (Cr)'!$C:$FB,62)*100</f>
        <v>9.9699999999999989</v>
      </c>
      <c r="M147" s="51">
        <f>VLOOKUP($A147,'Data Vlaue (Cr)'!$C:$FB,63)</f>
        <v>1685</v>
      </c>
      <c r="N147" s="51">
        <f>VLOOKUP($A147,'Data Vlaue (Cr)'!$C:$FB,64)</f>
        <v>1324</v>
      </c>
      <c r="O147" s="51">
        <f>VLOOKUP($A147,'Data Vlaue (Cr)'!$C:$FB,66)*100</f>
        <v>27.26</v>
      </c>
    </row>
    <row r="148" spans="1:15" x14ac:dyDescent="0.25">
      <c r="A148" s="101" t="str">
        <f>'Data Vlaue (Cr)'!C143</f>
        <v>MAXHEALTH</v>
      </c>
      <c r="B148" s="50">
        <f>VLOOKUP($A148,'Data Vlaue (Cr)'!$C:$FB,8)</f>
        <v>1218.8</v>
      </c>
      <c r="C148" s="50">
        <f>VLOOKUP($A148,'Data Vlaue (Cr)'!$C:$FB,11)*100</f>
        <v>0.05</v>
      </c>
      <c r="D148" s="50">
        <f>VLOOKUP($A148,'Data Vlaue (Cr)'!$C:$FB,143)</f>
        <v>535.04</v>
      </c>
      <c r="E148" s="50">
        <f>VLOOKUP($A148,'Data Vlaue (Cr)'!$C:$FB,144)</f>
        <v>927.02</v>
      </c>
      <c r="F148" s="50">
        <f>VLOOKUP($A148,'Data Vlaue (Cr)'!$C:$FB,146)*100</f>
        <v>-42.28</v>
      </c>
      <c r="G148" s="49">
        <f>VLOOKUP($A148,'Data Vlaue (Cr)'!$C:$FB,43)</f>
        <v>164</v>
      </c>
      <c r="H148" s="49">
        <f>VLOOKUP($A148,'Data Vlaue (Cr)'!$C:$FB,44)</f>
        <v>295</v>
      </c>
      <c r="I148" s="49">
        <f>VLOOKUP($A148,'Data Vlaue (Cr)'!$C:$FB,46)*100</f>
        <v>-44.190000000000005</v>
      </c>
      <c r="J148" s="51">
        <f>VLOOKUP($A148,'Data Vlaue (Cr)'!$C:$FB,59)</f>
        <v>275</v>
      </c>
      <c r="K148" s="51">
        <f>VLOOKUP($A148,'Data Vlaue (Cr)'!$C:$FB,60)</f>
        <v>420</v>
      </c>
      <c r="L148" s="51">
        <f>VLOOKUP($A148,'Data Vlaue (Cr)'!$C:$FB,62)*100</f>
        <v>-34.5</v>
      </c>
      <c r="M148" s="51">
        <f>VLOOKUP($A148,'Data Vlaue (Cr)'!$C:$FB,63)</f>
        <v>79</v>
      </c>
      <c r="N148" s="51">
        <f>VLOOKUP($A148,'Data Vlaue (Cr)'!$C:$FB,64)</f>
        <v>183</v>
      </c>
      <c r="O148" s="51">
        <f>VLOOKUP($A148,'Data Vlaue (Cr)'!$C:$FB,66)*100</f>
        <v>-57.010000000000005</v>
      </c>
    </row>
    <row r="149" spans="1:15" x14ac:dyDescent="0.25">
      <c r="A149" s="101" t="str">
        <f>'Data Vlaue (Cr)'!C144</f>
        <v>MAZDOCK</v>
      </c>
      <c r="B149" s="50">
        <f>VLOOKUP($A149,'Data Vlaue (Cr)'!$C:$FB,8)</f>
        <v>2921.8</v>
      </c>
      <c r="C149" s="50">
        <f>VLOOKUP($A149,'Data Vlaue (Cr)'!$C:$FB,11)*100</f>
        <v>-1.01</v>
      </c>
      <c r="D149" s="50">
        <f>VLOOKUP($A149,'Data Vlaue (Cr)'!$C:$FB,143)</f>
        <v>1830.22</v>
      </c>
      <c r="E149" s="50">
        <f>VLOOKUP($A149,'Data Vlaue (Cr)'!$C:$FB,144)</f>
        <v>1569.41</v>
      </c>
      <c r="F149" s="50">
        <f>VLOOKUP($A149,'Data Vlaue (Cr)'!$C:$FB,146)*100</f>
        <v>16.619999999999997</v>
      </c>
      <c r="G149" s="49">
        <f>VLOOKUP($A149,'Data Vlaue (Cr)'!$C:$FB,43)</f>
        <v>214</v>
      </c>
      <c r="H149" s="49">
        <f>VLOOKUP($A149,'Data Vlaue (Cr)'!$C:$FB,44)</f>
        <v>227</v>
      </c>
      <c r="I149" s="49">
        <f>VLOOKUP($A149,'Data Vlaue (Cr)'!$C:$FB,46)*100</f>
        <v>-5.71</v>
      </c>
      <c r="J149" s="51">
        <f>VLOOKUP($A149,'Data Vlaue (Cr)'!$C:$FB,59)</f>
        <v>1228</v>
      </c>
      <c r="K149" s="51">
        <f>VLOOKUP($A149,'Data Vlaue (Cr)'!$C:$FB,60)</f>
        <v>982</v>
      </c>
      <c r="L149" s="51">
        <f>VLOOKUP($A149,'Data Vlaue (Cr)'!$C:$FB,62)*100</f>
        <v>25.069999999999997</v>
      </c>
      <c r="M149" s="51">
        <f>VLOOKUP($A149,'Data Vlaue (Cr)'!$C:$FB,63)</f>
        <v>266</v>
      </c>
      <c r="N149" s="51">
        <f>VLOOKUP($A149,'Data Vlaue (Cr)'!$C:$FB,64)</f>
        <v>248</v>
      </c>
      <c r="O149" s="51">
        <f>VLOOKUP($A149,'Data Vlaue (Cr)'!$C:$FB,66)*100</f>
        <v>7.08</v>
      </c>
    </row>
    <row r="150" spans="1:15" x14ac:dyDescent="0.25">
      <c r="A150" s="101" t="str">
        <f>'Data Vlaue (Cr)'!C145</f>
        <v>MCX</v>
      </c>
      <c r="B150" s="50">
        <f>VLOOKUP($A150,'Data Vlaue (Cr)'!$C:$FB,8)</f>
        <v>8153.5</v>
      </c>
      <c r="C150" s="50">
        <f>VLOOKUP($A150,'Data Vlaue (Cr)'!$C:$FB,11)*100</f>
        <v>-1.1599999999999999</v>
      </c>
      <c r="D150" s="50">
        <f>VLOOKUP($A150,'Data Vlaue (Cr)'!$C:$FB,143)</f>
        <v>5134.0200000000004</v>
      </c>
      <c r="E150" s="50">
        <f>VLOOKUP($A150,'Data Vlaue (Cr)'!$C:$FB,144)</f>
        <v>5227.01</v>
      </c>
      <c r="F150" s="50">
        <f>VLOOKUP($A150,'Data Vlaue (Cr)'!$C:$FB,146)*100</f>
        <v>-1.78</v>
      </c>
      <c r="G150" s="49">
        <f>VLOOKUP($A150,'Data Vlaue (Cr)'!$C:$FB,43)</f>
        <v>501</v>
      </c>
      <c r="H150" s="49">
        <f>VLOOKUP($A150,'Data Vlaue (Cr)'!$C:$FB,44)</f>
        <v>490</v>
      </c>
      <c r="I150" s="49">
        <f>VLOOKUP($A150,'Data Vlaue (Cr)'!$C:$FB,46)*100</f>
        <v>2.23</v>
      </c>
      <c r="J150" s="51">
        <f>VLOOKUP($A150,'Data Vlaue (Cr)'!$C:$FB,59)</f>
        <v>3192</v>
      </c>
      <c r="K150" s="51">
        <f>VLOOKUP($A150,'Data Vlaue (Cr)'!$C:$FB,60)</f>
        <v>3120</v>
      </c>
      <c r="L150" s="51">
        <f>VLOOKUP($A150,'Data Vlaue (Cr)'!$C:$FB,62)*100</f>
        <v>2.33</v>
      </c>
      <c r="M150" s="51">
        <f>VLOOKUP($A150,'Data Vlaue (Cr)'!$C:$FB,63)</f>
        <v>1230</v>
      </c>
      <c r="N150" s="51">
        <f>VLOOKUP($A150,'Data Vlaue (Cr)'!$C:$FB,64)</f>
        <v>1418</v>
      </c>
      <c r="O150" s="51">
        <f>VLOOKUP($A150,'Data Vlaue (Cr)'!$C:$FB,66)*100</f>
        <v>-13.209999999999999</v>
      </c>
    </row>
    <row r="151" spans="1:15" x14ac:dyDescent="0.25">
      <c r="A151" s="101" t="str">
        <f>'Data Vlaue (Cr)'!C146</f>
        <v>MFSL</v>
      </c>
      <c r="B151" s="50">
        <f>VLOOKUP($A151,'Data Vlaue (Cr)'!$C:$FB,8)</f>
        <v>1562.4</v>
      </c>
      <c r="C151" s="50">
        <f>VLOOKUP($A151,'Data Vlaue (Cr)'!$C:$FB,11)*100</f>
        <v>1.34</v>
      </c>
      <c r="D151" s="50">
        <f>VLOOKUP($A151,'Data Vlaue (Cr)'!$C:$FB,143)</f>
        <v>1373.11</v>
      </c>
      <c r="E151" s="50">
        <f>VLOOKUP($A151,'Data Vlaue (Cr)'!$C:$FB,144)</f>
        <v>402.65</v>
      </c>
      <c r="F151" s="50">
        <f>VLOOKUP($A151,'Data Vlaue (Cr)'!$C:$FB,146)*100</f>
        <v>241.02</v>
      </c>
      <c r="G151" s="49">
        <f>VLOOKUP($A151,'Data Vlaue (Cr)'!$C:$FB,43)</f>
        <v>374</v>
      </c>
      <c r="H151" s="49">
        <f>VLOOKUP($A151,'Data Vlaue (Cr)'!$C:$FB,44)</f>
        <v>108</v>
      </c>
      <c r="I151" s="49">
        <f>VLOOKUP($A151,'Data Vlaue (Cr)'!$C:$FB,46)*100</f>
        <v>245.42000000000002</v>
      </c>
      <c r="J151" s="51">
        <f>VLOOKUP($A151,'Data Vlaue (Cr)'!$C:$FB,59)</f>
        <v>701</v>
      </c>
      <c r="K151" s="51">
        <f>VLOOKUP($A151,'Data Vlaue (Cr)'!$C:$FB,60)</f>
        <v>202</v>
      </c>
      <c r="L151" s="51">
        <f>VLOOKUP($A151,'Data Vlaue (Cr)'!$C:$FB,62)*100</f>
        <v>247.48999999999998</v>
      </c>
      <c r="M151" s="51">
        <f>VLOOKUP($A151,'Data Vlaue (Cr)'!$C:$FB,63)</f>
        <v>273</v>
      </c>
      <c r="N151" s="51">
        <f>VLOOKUP($A151,'Data Vlaue (Cr)'!$C:$FB,64)</f>
        <v>85</v>
      </c>
      <c r="O151" s="51">
        <f>VLOOKUP($A151,'Data Vlaue (Cr)'!$C:$FB,66)*100</f>
        <v>221.83</v>
      </c>
    </row>
    <row r="152" spans="1:15" x14ac:dyDescent="0.25">
      <c r="A152" s="101" t="str">
        <f>'Data Vlaue (Cr)'!C147</f>
        <v>MGL</v>
      </c>
      <c r="B152" s="50">
        <f>VLOOKUP($A152,'Data Vlaue (Cr)'!$C:$FB,8)</f>
        <v>1486.3</v>
      </c>
      <c r="C152" s="50">
        <f>VLOOKUP($A152,'Data Vlaue (Cr)'!$C:$FB,11)*100</f>
        <v>-1.72</v>
      </c>
      <c r="D152" s="50">
        <f>VLOOKUP($A152,'Data Vlaue (Cr)'!$C:$FB,143)</f>
        <v>5658.81</v>
      </c>
      <c r="E152" s="50">
        <f>VLOOKUP($A152,'Data Vlaue (Cr)'!$C:$FB,144)</f>
        <v>220.16</v>
      </c>
      <c r="F152" s="50">
        <f>VLOOKUP($A152,'Data Vlaue (Cr)'!$C:$FB,146)*100</f>
        <v>2470.3399999999997</v>
      </c>
      <c r="G152" s="49">
        <f>VLOOKUP($A152,'Data Vlaue (Cr)'!$C:$FB,43)</f>
        <v>594</v>
      </c>
      <c r="H152" s="49">
        <f>VLOOKUP($A152,'Data Vlaue (Cr)'!$C:$FB,44)</f>
        <v>41</v>
      </c>
      <c r="I152" s="49">
        <f>VLOOKUP($A152,'Data Vlaue (Cr)'!$C:$FB,46)*100</f>
        <v>1340.26</v>
      </c>
      <c r="J152" s="51">
        <f>VLOOKUP($A152,'Data Vlaue (Cr)'!$C:$FB,59)</f>
        <v>3351</v>
      </c>
      <c r="K152" s="51">
        <f>VLOOKUP($A152,'Data Vlaue (Cr)'!$C:$FB,60)</f>
        <v>104</v>
      </c>
      <c r="L152" s="51">
        <f>VLOOKUP($A152,'Data Vlaue (Cr)'!$C:$FB,62)*100</f>
        <v>3128.96</v>
      </c>
      <c r="M152" s="51">
        <f>VLOOKUP($A152,'Data Vlaue (Cr)'!$C:$FB,63)</f>
        <v>1439</v>
      </c>
      <c r="N152" s="51">
        <f>VLOOKUP($A152,'Data Vlaue (Cr)'!$C:$FB,64)</f>
        <v>67</v>
      </c>
      <c r="O152" s="51">
        <f>VLOOKUP($A152,'Data Vlaue (Cr)'!$C:$FB,66)*100</f>
        <v>2047.3400000000001</v>
      </c>
    </row>
    <row r="153" spans="1:15" x14ac:dyDescent="0.25">
      <c r="A153" s="101" t="str">
        <f>'Data Vlaue (Cr)'!C148</f>
        <v>MIDCPNIFTY</v>
      </c>
      <c r="B153" s="50">
        <f>VLOOKUP($A153,'Data Vlaue (Cr)'!$C:$FB,8)</f>
        <v>13206.6</v>
      </c>
      <c r="C153" s="50">
        <f>VLOOKUP($A153,'Data Vlaue (Cr)'!$C:$FB,11)*100</f>
        <v>-0.71000000000000008</v>
      </c>
      <c r="D153" s="50">
        <f>VLOOKUP($A153,'Data Vlaue (Cr)'!$C:$FB,143)</f>
        <v>66526.77</v>
      </c>
      <c r="E153" s="50">
        <f>VLOOKUP($A153,'Data Vlaue (Cr)'!$C:$FB,144)</f>
        <v>61763</v>
      </c>
      <c r="F153" s="50">
        <f>VLOOKUP($A153,'Data Vlaue (Cr)'!$C:$FB,146)*100</f>
        <v>7.71</v>
      </c>
      <c r="G153" s="49">
        <f>VLOOKUP($A153,'Data Vlaue (Cr)'!$C:$FB,43)</f>
        <v>553</v>
      </c>
      <c r="H153" s="49">
        <f>VLOOKUP($A153,'Data Vlaue (Cr)'!$C:$FB,44)</f>
        <v>669</v>
      </c>
      <c r="I153" s="49">
        <f>VLOOKUP($A153,'Data Vlaue (Cr)'!$C:$FB,46)*100</f>
        <v>-17.419999999999998</v>
      </c>
      <c r="J153" s="51">
        <f>VLOOKUP($A153,'Data Vlaue (Cr)'!$C:$FB,59)</f>
        <v>35244</v>
      </c>
      <c r="K153" s="51">
        <f>VLOOKUP($A153,'Data Vlaue (Cr)'!$C:$FB,60)</f>
        <v>31801</v>
      </c>
      <c r="L153" s="51">
        <f>VLOOKUP($A153,'Data Vlaue (Cr)'!$C:$FB,62)*100</f>
        <v>10.83</v>
      </c>
      <c r="M153" s="51">
        <f>VLOOKUP($A153,'Data Vlaue (Cr)'!$C:$FB,63)</f>
        <v>29882</v>
      </c>
      <c r="N153" s="51">
        <f>VLOOKUP($A153,'Data Vlaue (Cr)'!$C:$FB,64)</f>
        <v>28675</v>
      </c>
      <c r="O153" s="51">
        <f>VLOOKUP($A153,'Data Vlaue (Cr)'!$C:$FB,66)*100</f>
        <v>4.21</v>
      </c>
    </row>
    <row r="154" spans="1:15" x14ac:dyDescent="0.25">
      <c r="A154" s="101" t="str">
        <f>'Data Vlaue (Cr)'!C149</f>
        <v>MOTHERSON</v>
      </c>
      <c r="B154" s="50">
        <f>VLOOKUP($A154,'Data Vlaue (Cr)'!$C:$FB,8)</f>
        <v>97.24</v>
      </c>
      <c r="C154" s="50">
        <f>VLOOKUP($A154,'Data Vlaue (Cr)'!$C:$FB,11)*100</f>
        <v>-3.54</v>
      </c>
      <c r="D154" s="50">
        <f>VLOOKUP($A154,'Data Vlaue (Cr)'!$C:$FB,143)</f>
        <v>1035.96</v>
      </c>
      <c r="E154" s="50">
        <f>VLOOKUP($A154,'Data Vlaue (Cr)'!$C:$FB,144)</f>
        <v>621.87</v>
      </c>
      <c r="F154" s="50">
        <f>VLOOKUP($A154,'Data Vlaue (Cr)'!$C:$FB,146)*100</f>
        <v>66.59</v>
      </c>
      <c r="G154" s="49">
        <f>VLOOKUP($A154,'Data Vlaue (Cr)'!$C:$FB,43)</f>
        <v>213</v>
      </c>
      <c r="H154" s="49">
        <f>VLOOKUP($A154,'Data Vlaue (Cr)'!$C:$FB,44)</f>
        <v>140</v>
      </c>
      <c r="I154" s="49">
        <f>VLOOKUP($A154,'Data Vlaue (Cr)'!$C:$FB,46)*100</f>
        <v>51.749999999999993</v>
      </c>
      <c r="J154" s="51">
        <f>VLOOKUP($A154,'Data Vlaue (Cr)'!$C:$FB,59)</f>
        <v>505</v>
      </c>
      <c r="K154" s="51">
        <f>VLOOKUP($A154,'Data Vlaue (Cr)'!$C:$FB,60)</f>
        <v>320</v>
      </c>
      <c r="L154" s="51">
        <f>VLOOKUP($A154,'Data Vlaue (Cr)'!$C:$FB,62)*100</f>
        <v>57.79</v>
      </c>
      <c r="M154" s="51">
        <f>VLOOKUP($A154,'Data Vlaue (Cr)'!$C:$FB,63)</f>
        <v>268</v>
      </c>
      <c r="N154" s="51">
        <f>VLOOKUP($A154,'Data Vlaue (Cr)'!$C:$FB,64)</f>
        <v>123</v>
      </c>
      <c r="O154" s="51">
        <f>VLOOKUP($A154,'Data Vlaue (Cr)'!$C:$FB,66)*100</f>
        <v>117.83999999999999</v>
      </c>
    </row>
    <row r="155" spans="1:15" x14ac:dyDescent="0.25">
      <c r="A155" s="101" t="str">
        <f>'Data Vlaue (Cr)'!C150</f>
        <v>MPHASIS</v>
      </c>
      <c r="B155" s="50">
        <f>VLOOKUP($A155,'Data Vlaue (Cr)'!$C:$FB,8)</f>
        <v>2777.2</v>
      </c>
      <c r="C155" s="50">
        <f>VLOOKUP($A155,'Data Vlaue (Cr)'!$C:$FB,11)*100</f>
        <v>-0.91999999999999993</v>
      </c>
      <c r="D155" s="50">
        <f>VLOOKUP($A155,'Data Vlaue (Cr)'!$C:$FB,143)</f>
        <v>396.94</v>
      </c>
      <c r="E155" s="50">
        <f>VLOOKUP($A155,'Data Vlaue (Cr)'!$C:$FB,144)</f>
        <v>609.72</v>
      </c>
      <c r="F155" s="50">
        <f>VLOOKUP($A155,'Data Vlaue (Cr)'!$C:$FB,146)*100</f>
        <v>-34.9</v>
      </c>
      <c r="G155" s="49">
        <f>VLOOKUP($A155,'Data Vlaue (Cr)'!$C:$FB,43)</f>
        <v>211</v>
      </c>
      <c r="H155" s="49">
        <f>VLOOKUP($A155,'Data Vlaue (Cr)'!$C:$FB,44)</f>
        <v>303</v>
      </c>
      <c r="I155" s="49">
        <f>VLOOKUP($A155,'Data Vlaue (Cr)'!$C:$FB,46)*100</f>
        <v>-30.5</v>
      </c>
      <c r="J155" s="51">
        <f>VLOOKUP($A155,'Data Vlaue (Cr)'!$C:$FB,59)</f>
        <v>108</v>
      </c>
      <c r="K155" s="51">
        <f>VLOOKUP($A155,'Data Vlaue (Cr)'!$C:$FB,60)</f>
        <v>186</v>
      </c>
      <c r="L155" s="51">
        <f>VLOOKUP($A155,'Data Vlaue (Cr)'!$C:$FB,62)*100</f>
        <v>-41.74</v>
      </c>
      <c r="M155" s="51">
        <f>VLOOKUP($A155,'Data Vlaue (Cr)'!$C:$FB,63)</f>
        <v>71</v>
      </c>
      <c r="N155" s="51">
        <f>VLOOKUP($A155,'Data Vlaue (Cr)'!$C:$FB,64)</f>
        <v>105</v>
      </c>
      <c r="O155" s="51">
        <f>VLOOKUP($A155,'Data Vlaue (Cr)'!$C:$FB,66)*100</f>
        <v>-32.190000000000005</v>
      </c>
    </row>
    <row r="156" spans="1:15" x14ac:dyDescent="0.25">
      <c r="A156" s="101" t="str">
        <f>'Data Vlaue (Cr)'!C151</f>
        <v>MUTHOOTFIN</v>
      </c>
      <c r="B156" s="50">
        <f>VLOOKUP($A156,'Data Vlaue (Cr)'!$C:$FB,8)</f>
        <v>2674.3</v>
      </c>
      <c r="C156" s="50">
        <f>VLOOKUP($A156,'Data Vlaue (Cr)'!$C:$FB,11)*100</f>
        <v>-0.33</v>
      </c>
      <c r="D156" s="50">
        <f>VLOOKUP($A156,'Data Vlaue (Cr)'!$C:$FB,143)</f>
        <v>819.17</v>
      </c>
      <c r="E156" s="50">
        <f>VLOOKUP($A156,'Data Vlaue (Cr)'!$C:$FB,144)</f>
        <v>2012.21</v>
      </c>
      <c r="F156" s="50">
        <f>VLOOKUP($A156,'Data Vlaue (Cr)'!$C:$FB,146)*100</f>
        <v>-59.29</v>
      </c>
      <c r="G156" s="49">
        <f>VLOOKUP($A156,'Data Vlaue (Cr)'!$C:$FB,43)</f>
        <v>201</v>
      </c>
      <c r="H156" s="49">
        <f>VLOOKUP($A156,'Data Vlaue (Cr)'!$C:$FB,44)</f>
        <v>329</v>
      </c>
      <c r="I156" s="49">
        <f>VLOOKUP($A156,'Data Vlaue (Cr)'!$C:$FB,46)*100</f>
        <v>-38.879999999999995</v>
      </c>
      <c r="J156" s="51">
        <f>VLOOKUP($A156,'Data Vlaue (Cr)'!$C:$FB,59)</f>
        <v>428</v>
      </c>
      <c r="K156" s="51">
        <f>VLOOKUP($A156,'Data Vlaue (Cr)'!$C:$FB,60)</f>
        <v>1306</v>
      </c>
      <c r="L156" s="51">
        <f>VLOOKUP($A156,'Data Vlaue (Cr)'!$C:$FB,62)*100</f>
        <v>-67.2</v>
      </c>
      <c r="M156" s="51">
        <f>VLOOKUP($A156,'Data Vlaue (Cr)'!$C:$FB,63)</f>
        <v>179</v>
      </c>
      <c r="N156" s="51">
        <f>VLOOKUP($A156,'Data Vlaue (Cr)'!$C:$FB,64)</f>
        <v>332</v>
      </c>
      <c r="O156" s="51">
        <f>VLOOKUP($A156,'Data Vlaue (Cr)'!$C:$FB,66)*100</f>
        <v>-46.18</v>
      </c>
    </row>
    <row r="157" spans="1:15" x14ac:dyDescent="0.25">
      <c r="A157" s="101" t="str">
        <f>'Data Vlaue (Cr)'!C152</f>
        <v>NATIONALUM</v>
      </c>
      <c r="B157" s="50">
        <f>VLOOKUP($A157,'Data Vlaue (Cr)'!$C:$FB,8)</f>
        <v>196.69</v>
      </c>
      <c r="C157" s="50">
        <f>VLOOKUP($A157,'Data Vlaue (Cr)'!$C:$FB,11)*100</f>
        <v>0.86999999999999988</v>
      </c>
      <c r="D157" s="50">
        <f>VLOOKUP($A157,'Data Vlaue (Cr)'!$C:$FB,143)</f>
        <v>1537.59</v>
      </c>
      <c r="E157" s="50">
        <f>VLOOKUP($A157,'Data Vlaue (Cr)'!$C:$FB,144)</f>
        <v>3328.67</v>
      </c>
      <c r="F157" s="50">
        <f>VLOOKUP($A157,'Data Vlaue (Cr)'!$C:$FB,146)*100</f>
        <v>-53.81</v>
      </c>
      <c r="G157" s="49">
        <f>VLOOKUP($A157,'Data Vlaue (Cr)'!$C:$FB,43)</f>
        <v>395</v>
      </c>
      <c r="H157" s="49">
        <f>VLOOKUP($A157,'Data Vlaue (Cr)'!$C:$FB,44)</f>
        <v>796</v>
      </c>
      <c r="I157" s="49">
        <f>VLOOKUP($A157,'Data Vlaue (Cr)'!$C:$FB,46)*100</f>
        <v>-50.339999999999996</v>
      </c>
      <c r="J157" s="51">
        <f>VLOOKUP($A157,'Data Vlaue (Cr)'!$C:$FB,59)</f>
        <v>757</v>
      </c>
      <c r="K157" s="51">
        <f>VLOOKUP($A157,'Data Vlaue (Cr)'!$C:$FB,60)</f>
        <v>1723</v>
      </c>
      <c r="L157" s="51">
        <f>VLOOKUP($A157,'Data Vlaue (Cr)'!$C:$FB,62)*100</f>
        <v>-56.07</v>
      </c>
      <c r="M157" s="51">
        <f>VLOOKUP($A157,'Data Vlaue (Cr)'!$C:$FB,63)</f>
        <v>363</v>
      </c>
      <c r="N157" s="51">
        <f>VLOOKUP($A157,'Data Vlaue (Cr)'!$C:$FB,64)</f>
        <v>800</v>
      </c>
      <c r="O157" s="51">
        <f>VLOOKUP($A157,'Data Vlaue (Cr)'!$C:$FB,66)*100</f>
        <v>-54.61</v>
      </c>
    </row>
    <row r="158" spans="1:15" x14ac:dyDescent="0.25">
      <c r="A158" s="101" t="str">
        <f>'Data Vlaue (Cr)'!C153</f>
        <v>NAUKRI</v>
      </c>
      <c r="B158" s="50">
        <f>VLOOKUP($A158,'Data Vlaue (Cr)'!$C:$FB,8)</f>
        <v>1458.8</v>
      </c>
      <c r="C158" s="50">
        <f>VLOOKUP($A158,'Data Vlaue (Cr)'!$C:$FB,11)*100</f>
        <v>4.21</v>
      </c>
      <c r="D158" s="50">
        <f>VLOOKUP($A158,'Data Vlaue (Cr)'!$C:$FB,143)</f>
        <v>4401.76</v>
      </c>
      <c r="E158" s="50">
        <f>VLOOKUP($A158,'Data Vlaue (Cr)'!$C:$FB,144)</f>
        <v>723.77</v>
      </c>
      <c r="F158" s="50">
        <f>VLOOKUP($A158,'Data Vlaue (Cr)'!$C:$FB,146)*100</f>
        <v>508.16999999999996</v>
      </c>
      <c r="G158" s="49">
        <f>VLOOKUP($A158,'Data Vlaue (Cr)'!$C:$FB,43)</f>
        <v>645</v>
      </c>
      <c r="H158" s="49">
        <f>VLOOKUP($A158,'Data Vlaue (Cr)'!$C:$FB,44)</f>
        <v>189</v>
      </c>
      <c r="I158" s="49">
        <f>VLOOKUP($A158,'Data Vlaue (Cr)'!$C:$FB,46)*100</f>
        <v>241.71</v>
      </c>
      <c r="J158" s="51">
        <f>VLOOKUP($A158,'Data Vlaue (Cr)'!$C:$FB,59)</f>
        <v>2821</v>
      </c>
      <c r="K158" s="51">
        <f>VLOOKUP($A158,'Data Vlaue (Cr)'!$C:$FB,60)</f>
        <v>429</v>
      </c>
      <c r="L158" s="51">
        <f>VLOOKUP($A158,'Data Vlaue (Cr)'!$C:$FB,62)*100</f>
        <v>557.31999999999994</v>
      </c>
      <c r="M158" s="51">
        <f>VLOOKUP($A158,'Data Vlaue (Cr)'!$C:$FB,63)</f>
        <v>856</v>
      </c>
      <c r="N158" s="51">
        <f>VLOOKUP($A158,'Data Vlaue (Cr)'!$C:$FB,64)</f>
        <v>120</v>
      </c>
      <c r="O158" s="51">
        <f>VLOOKUP($A158,'Data Vlaue (Cr)'!$C:$FB,66)*100</f>
        <v>611.47</v>
      </c>
    </row>
    <row r="159" spans="1:15" x14ac:dyDescent="0.25">
      <c r="A159" s="101" t="str">
        <f>'Data Vlaue (Cr)'!C154</f>
        <v>NBCC</v>
      </c>
      <c r="B159" s="50">
        <f>VLOOKUP($A159,'Data Vlaue (Cr)'!$C:$FB,8)</f>
        <v>114.58</v>
      </c>
      <c r="C159" s="50">
        <f>VLOOKUP($A159,'Data Vlaue (Cr)'!$C:$FB,11)*100</f>
        <v>-0.63</v>
      </c>
      <c r="D159" s="50">
        <f>VLOOKUP($A159,'Data Vlaue (Cr)'!$C:$FB,143)</f>
        <v>275.7</v>
      </c>
      <c r="E159" s="50">
        <f>VLOOKUP($A159,'Data Vlaue (Cr)'!$C:$FB,144)</f>
        <v>314.52</v>
      </c>
      <c r="F159" s="50">
        <f>VLOOKUP($A159,'Data Vlaue (Cr)'!$C:$FB,146)*100</f>
        <v>-12.34</v>
      </c>
      <c r="G159" s="49">
        <f>VLOOKUP($A159,'Data Vlaue (Cr)'!$C:$FB,43)</f>
        <v>117</v>
      </c>
      <c r="H159" s="49">
        <f>VLOOKUP($A159,'Data Vlaue (Cr)'!$C:$FB,44)</f>
        <v>107</v>
      </c>
      <c r="I159" s="49">
        <f>VLOOKUP($A159,'Data Vlaue (Cr)'!$C:$FB,46)*100</f>
        <v>9.2100000000000009</v>
      </c>
      <c r="J159" s="51">
        <f>VLOOKUP($A159,'Data Vlaue (Cr)'!$C:$FB,59)</f>
        <v>110</v>
      </c>
      <c r="K159" s="51">
        <f>VLOOKUP($A159,'Data Vlaue (Cr)'!$C:$FB,60)</f>
        <v>153</v>
      </c>
      <c r="L159" s="51">
        <f>VLOOKUP($A159,'Data Vlaue (Cr)'!$C:$FB,62)*100</f>
        <v>-27.87</v>
      </c>
      <c r="M159" s="51">
        <f>VLOOKUP($A159,'Data Vlaue (Cr)'!$C:$FB,63)</f>
        <v>42</v>
      </c>
      <c r="N159" s="51">
        <f>VLOOKUP($A159,'Data Vlaue (Cr)'!$C:$FB,64)</f>
        <v>47</v>
      </c>
      <c r="O159" s="51">
        <f>VLOOKUP($A159,'Data Vlaue (Cr)'!$C:$FB,66)*100</f>
        <v>-11.06</v>
      </c>
    </row>
    <row r="160" spans="1:15" x14ac:dyDescent="0.25">
      <c r="A160" s="101" t="str">
        <f>'Data Vlaue (Cr)'!C155</f>
        <v>NCC</v>
      </c>
      <c r="B160" s="50">
        <f>VLOOKUP($A160,'Data Vlaue (Cr)'!$C:$FB,8)</f>
        <v>227.42</v>
      </c>
      <c r="C160" s="50">
        <f>VLOOKUP($A160,'Data Vlaue (Cr)'!$C:$FB,11)*100</f>
        <v>-0.09</v>
      </c>
      <c r="D160" s="50">
        <f>VLOOKUP($A160,'Data Vlaue (Cr)'!$C:$FB,143)</f>
        <v>252.62</v>
      </c>
      <c r="E160" s="50">
        <f>VLOOKUP($A160,'Data Vlaue (Cr)'!$C:$FB,144)</f>
        <v>273.41000000000003</v>
      </c>
      <c r="F160" s="50">
        <f>VLOOKUP($A160,'Data Vlaue (Cr)'!$C:$FB,146)*100</f>
        <v>-7.6</v>
      </c>
      <c r="G160" s="49">
        <f>VLOOKUP($A160,'Data Vlaue (Cr)'!$C:$FB,43)</f>
        <v>65</v>
      </c>
      <c r="H160" s="49">
        <f>VLOOKUP($A160,'Data Vlaue (Cr)'!$C:$FB,44)</f>
        <v>61</v>
      </c>
      <c r="I160" s="49">
        <f>VLOOKUP($A160,'Data Vlaue (Cr)'!$C:$FB,46)*100</f>
        <v>6.1</v>
      </c>
      <c r="J160" s="51">
        <f>VLOOKUP($A160,'Data Vlaue (Cr)'!$C:$FB,59)</f>
        <v>142</v>
      </c>
      <c r="K160" s="51">
        <f>VLOOKUP($A160,'Data Vlaue (Cr)'!$C:$FB,60)</f>
        <v>172</v>
      </c>
      <c r="L160" s="51">
        <f>VLOOKUP($A160,'Data Vlaue (Cr)'!$C:$FB,62)*100</f>
        <v>-17.43</v>
      </c>
      <c r="M160" s="51">
        <f>VLOOKUP($A160,'Data Vlaue (Cr)'!$C:$FB,63)</f>
        <v>39</v>
      </c>
      <c r="N160" s="51">
        <f>VLOOKUP($A160,'Data Vlaue (Cr)'!$C:$FB,64)</f>
        <v>33</v>
      </c>
      <c r="O160" s="51">
        <f>VLOOKUP($A160,'Data Vlaue (Cr)'!$C:$FB,66)*100</f>
        <v>18.59</v>
      </c>
    </row>
    <row r="161" spans="1:15" x14ac:dyDescent="0.25">
      <c r="A161" s="101" t="str">
        <f>'Data Vlaue (Cr)'!C156</f>
        <v>NESTLEIND</v>
      </c>
      <c r="B161" s="50">
        <f>VLOOKUP($A161,'Data Vlaue (Cr)'!$C:$FB,8)</f>
        <v>2443.5</v>
      </c>
      <c r="C161" s="50">
        <f>VLOOKUP($A161,'Data Vlaue (Cr)'!$C:$FB,11)*100</f>
        <v>-1.18</v>
      </c>
      <c r="D161" s="50">
        <f>VLOOKUP($A161,'Data Vlaue (Cr)'!$C:$FB,143)</f>
        <v>832.95</v>
      </c>
      <c r="E161" s="50">
        <f>VLOOKUP($A161,'Data Vlaue (Cr)'!$C:$FB,144)</f>
        <v>996.56</v>
      </c>
      <c r="F161" s="50">
        <f>VLOOKUP($A161,'Data Vlaue (Cr)'!$C:$FB,146)*100</f>
        <v>-16.420000000000002</v>
      </c>
      <c r="G161" s="49">
        <f>VLOOKUP($A161,'Data Vlaue (Cr)'!$C:$FB,43)</f>
        <v>191</v>
      </c>
      <c r="H161" s="49">
        <f>VLOOKUP($A161,'Data Vlaue (Cr)'!$C:$FB,44)</f>
        <v>212</v>
      </c>
      <c r="I161" s="49">
        <f>VLOOKUP($A161,'Data Vlaue (Cr)'!$C:$FB,46)*100</f>
        <v>-9.9</v>
      </c>
      <c r="J161" s="51">
        <f>VLOOKUP($A161,'Data Vlaue (Cr)'!$C:$FB,59)</f>
        <v>351</v>
      </c>
      <c r="K161" s="51">
        <f>VLOOKUP($A161,'Data Vlaue (Cr)'!$C:$FB,60)</f>
        <v>430</v>
      </c>
      <c r="L161" s="51">
        <f>VLOOKUP($A161,'Data Vlaue (Cr)'!$C:$FB,62)*100</f>
        <v>-18.420000000000002</v>
      </c>
      <c r="M161" s="51">
        <f>VLOOKUP($A161,'Data Vlaue (Cr)'!$C:$FB,63)</f>
        <v>279</v>
      </c>
      <c r="N161" s="51">
        <f>VLOOKUP($A161,'Data Vlaue (Cr)'!$C:$FB,64)</f>
        <v>345</v>
      </c>
      <c r="O161" s="51">
        <f>VLOOKUP($A161,'Data Vlaue (Cr)'!$C:$FB,66)*100</f>
        <v>-19.13</v>
      </c>
    </row>
    <row r="162" spans="1:15" x14ac:dyDescent="0.25">
      <c r="A162" s="101" t="str">
        <f>'Data Vlaue (Cr)'!C157</f>
        <v>NHPC</v>
      </c>
      <c r="B162" s="50">
        <f>VLOOKUP($A162,'Data Vlaue (Cr)'!$C:$FB,8)</f>
        <v>86.33</v>
      </c>
      <c r="C162" s="50">
        <f>VLOOKUP($A162,'Data Vlaue (Cr)'!$C:$FB,11)*100</f>
        <v>-1.37</v>
      </c>
      <c r="D162" s="50">
        <f>VLOOKUP($A162,'Data Vlaue (Cr)'!$C:$FB,143)</f>
        <v>160.22</v>
      </c>
      <c r="E162" s="50">
        <f>VLOOKUP($A162,'Data Vlaue (Cr)'!$C:$FB,144)</f>
        <v>141.71</v>
      </c>
      <c r="F162" s="50">
        <f>VLOOKUP($A162,'Data Vlaue (Cr)'!$C:$FB,146)*100</f>
        <v>13.07</v>
      </c>
      <c r="G162" s="49">
        <f>VLOOKUP($A162,'Data Vlaue (Cr)'!$C:$FB,43)</f>
        <v>47</v>
      </c>
      <c r="H162" s="49">
        <f>VLOOKUP($A162,'Data Vlaue (Cr)'!$C:$FB,44)</f>
        <v>46</v>
      </c>
      <c r="I162" s="49">
        <f>VLOOKUP($A162,'Data Vlaue (Cr)'!$C:$FB,46)*100</f>
        <v>3.4099999999999997</v>
      </c>
      <c r="J162" s="51">
        <f>VLOOKUP($A162,'Data Vlaue (Cr)'!$C:$FB,59)</f>
        <v>84</v>
      </c>
      <c r="K162" s="51">
        <f>VLOOKUP($A162,'Data Vlaue (Cr)'!$C:$FB,60)</f>
        <v>59</v>
      </c>
      <c r="L162" s="51">
        <f>VLOOKUP($A162,'Data Vlaue (Cr)'!$C:$FB,62)*100</f>
        <v>42.199999999999996</v>
      </c>
      <c r="M162" s="51">
        <f>VLOOKUP($A162,'Data Vlaue (Cr)'!$C:$FB,63)</f>
        <v>23</v>
      </c>
      <c r="N162" s="51">
        <f>VLOOKUP($A162,'Data Vlaue (Cr)'!$C:$FB,64)</f>
        <v>33</v>
      </c>
      <c r="O162" s="51">
        <f>VLOOKUP($A162,'Data Vlaue (Cr)'!$C:$FB,66)*100</f>
        <v>-29.92</v>
      </c>
    </row>
    <row r="163" spans="1:15" x14ac:dyDescent="0.25">
      <c r="A163" s="101" t="str">
        <f>'Data Vlaue (Cr)'!C158</f>
        <v>NIFTY</v>
      </c>
      <c r="B163" s="50">
        <f>VLOOKUP($A163,'Data Vlaue (Cr)'!$C:$FB,8)</f>
        <v>25060.9</v>
      </c>
      <c r="C163" s="50">
        <f>VLOOKUP($A163,'Data Vlaue (Cr)'!$C:$FB,11)*100</f>
        <v>-0.12</v>
      </c>
      <c r="D163" s="50">
        <f>VLOOKUP($A163,'Data Vlaue (Cr)'!$C:$FB,143)</f>
        <v>10214771.41</v>
      </c>
      <c r="E163" s="50">
        <f>VLOOKUP($A163,'Data Vlaue (Cr)'!$C:$FB,144)</f>
        <v>11403512.6</v>
      </c>
      <c r="F163" s="50">
        <f>VLOOKUP($A163,'Data Vlaue (Cr)'!$C:$FB,146)*100</f>
        <v>-10.42</v>
      </c>
      <c r="G163" s="49">
        <f>VLOOKUP($A163,'Data Vlaue (Cr)'!$C:$FB,43)</f>
        <v>8951</v>
      </c>
      <c r="H163" s="49">
        <f>VLOOKUP($A163,'Data Vlaue (Cr)'!$C:$FB,44)</f>
        <v>12536</v>
      </c>
      <c r="I163" s="49">
        <f>VLOOKUP($A163,'Data Vlaue (Cr)'!$C:$FB,46)*100</f>
        <v>-28.599999999999998</v>
      </c>
      <c r="J163" s="51">
        <f>VLOOKUP($A163,'Data Vlaue (Cr)'!$C:$FB,59)</f>
        <v>5137468</v>
      </c>
      <c r="K163" s="51">
        <f>VLOOKUP($A163,'Data Vlaue (Cr)'!$C:$FB,60)</f>
        <v>6148688</v>
      </c>
      <c r="L163" s="51">
        <f>VLOOKUP($A163,'Data Vlaue (Cr)'!$C:$FB,62)*100</f>
        <v>-16.45</v>
      </c>
      <c r="M163" s="51">
        <f>VLOOKUP($A163,'Data Vlaue (Cr)'!$C:$FB,63)</f>
        <v>5038157</v>
      </c>
      <c r="N163" s="51">
        <f>VLOOKUP($A163,'Data Vlaue (Cr)'!$C:$FB,64)</f>
        <v>5229873</v>
      </c>
      <c r="O163" s="51">
        <f>VLOOKUP($A163,'Data Vlaue (Cr)'!$C:$FB,66)*100</f>
        <v>-3.6700000000000004</v>
      </c>
    </row>
    <row r="164" spans="1:15" x14ac:dyDescent="0.25">
      <c r="A164" s="101" t="str">
        <f>'Data Vlaue (Cr)'!C159</f>
        <v>NIFTYNXT50</v>
      </c>
      <c r="B164" s="50">
        <f>VLOOKUP($A164,'Data Vlaue (Cr)'!$C:$FB,8)</f>
        <v>68253.899999999994</v>
      </c>
      <c r="C164" s="50">
        <f>VLOOKUP($A164,'Data Vlaue (Cr)'!$C:$FB,11)*100</f>
        <v>-0.36</v>
      </c>
      <c r="D164" s="50">
        <f>VLOOKUP($A164,'Data Vlaue (Cr)'!$C:$FB,143)</f>
        <v>131.13999999999999</v>
      </c>
      <c r="E164" s="50">
        <f>VLOOKUP($A164,'Data Vlaue (Cr)'!$C:$FB,144)</f>
        <v>147.93</v>
      </c>
      <c r="F164" s="50">
        <f>VLOOKUP($A164,'Data Vlaue (Cr)'!$C:$FB,146)*100</f>
        <v>-11.35</v>
      </c>
      <c r="G164" s="49">
        <f>VLOOKUP($A164,'Data Vlaue (Cr)'!$C:$FB,43)</f>
        <v>63</v>
      </c>
      <c r="H164" s="49">
        <f>VLOOKUP($A164,'Data Vlaue (Cr)'!$C:$FB,44)</f>
        <v>43</v>
      </c>
      <c r="I164" s="49">
        <f>VLOOKUP($A164,'Data Vlaue (Cr)'!$C:$FB,46)*100</f>
        <v>46.61</v>
      </c>
      <c r="J164" s="51">
        <f>VLOOKUP($A164,'Data Vlaue (Cr)'!$C:$FB,59)</f>
        <v>49</v>
      </c>
      <c r="K164" s="51">
        <f>VLOOKUP($A164,'Data Vlaue (Cr)'!$C:$FB,60)</f>
        <v>71</v>
      </c>
      <c r="L164" s="51">
        <f>VLOOKUP($A164,'Data Vlaue (Cr)'!$C:$FB,62)*100</f>
        <v>-31.34</v>
      </c>
      <c r="M164" s="51">
        <f>VLOOKUP($A164,'Data Vlaue (Cr)'!$C:$FB,63)</f>
        <v>18</v>
      </c>
      <c r="N164" s="51">
        <f>VLOOKUP($A164,'Data Vlaue (Cr)'!$C:$FB,64)</f>
        <v>32</v>
      </c>
      <c r="O164" s="51">
        <f>VLOOKUP($A164,'Data Vlaue (Cr)'!$C:$FB,66)*100</f>
        <v>-43.919999999999995</v>
      </c>
    </row>
    <row r="165" spans="1:15" x14ac:dyDescent="0.25">
      <c r="A165" s="101" t="str">
        <f>'Data Vlaue (Cr)'!C160</f>
        <v>NMDC</v>
      </c>
      <c r="B165" s="50">
        <f>VLOOKUP($A165,'Data Vlaue (Cr)'!$C:$FB,8)</f>
        <v>72.14</v>
      </c>
      <c r="C165" s="50">
        <f>VLOOKUP($A165,'Data Vlaue (Cr)'!$C:$FB,11)*100</f>
        <v>0.32</v>
      </c>
      <c r="D165" s="50">
        <f>VLOOKUP($A165,'Data Vlaue (Cr)'!$C:$FB,143)</f>
        <v>1863.07</v>
      </c>
      <c r="E165" s="50">
        <f>VLOOKUP($A165,'Data Vlaue (Cr)'!$C:$FB,144)</f>
        <v>1817.64</v>
      </c>
      <c r="F165" s="50">
        <f>VLOOKUP($A165,'Data Vlaue (Cr)'!$C:$FB,146)*100</f>
        <v>2.5</v>
      </c>
      <c r="G165" s="49">
        <f>VLOOKUP($A165,'Data Vlaue (Cr)'!$C:$FB,43)</f>
        <v>380</v>
      </c>
      <c r="H165" s="49">
        <f>VLOOKUP($A165,'Data Vlaue (Cr)'!$C:$FB,44)</f>
        <v>463</v>
      </c>
      <c r="I165" s="49">
        <f>VLOOKUP($A165,'Data Vlaue (Cr)'!$C:$FB,46)*100</f>
        <v>-17.96</v>
      </c>
      <c r="J165" s="51">
        <f>VLOOKUP($A165,'Data Vlaue (Cr)'!$C:$FB,59)</f>
        <v>969</v>
      </c>
      <c r="K165" s="51">
        <f>VLOOKUP($A165,'Data Vlaue (Cr)'!$C:$FB,60)</f>
        <v>882</v>
      </c>
      <c r="L165" s="51">
        <f>VLOOKUP($A165,'Data Vlaue (Cr)'!$C:$FB,62)*100</f>
        <v>9.83</v>
      </c>
      <c r="M165" s="51">
        <f>VLOOKUP($A165,'Data Vlaue (Cr)'!$C:$FB,63)</f>
        <v>483</v>
      </c>
      <c r="N165" s="51">
        <f>VLOOKUP($A165,'Data Vlaue (Cr)'!$C:$FB,64)</f>
        <v>451</v>
      </c>
      <c r="O165" s="51">
        <f>VLOOKUP($A165,'Data Vlaue (Cr)'!$C:$FB,66)*100</f>
        <v>6.98</v>
      </c>
    </row>
    <row r="166" spans="1:15" x14ac:dyDescent="0.25">
      <c r="A166" s="101" t="str">
        <f>'Data Vlaue (Cr)'!C161</f>
        <v>NTPC</v>
      </c>
      <c r="B166" s="50">
        <f>VLOOKUP($A166,'Data Vlaue (Cr)'!$C:$FB,8)</f>
        <v>340.85</v>
      </c>
      <c r="C166" s="50">
        <f>VLOOKUP($A166,'Data Vlaue (Cr)'!$C:$FB,11)*100</f>
        <v>-0.2</v>
      </c>
      <c r="D166" s="50">
        <f>VLOOKUP($A166,'Data Vlaue (Cr)'!$C:$FB,143)</f>
        <v>1643.05</v>
      </c>
      <c r="E166" s="50">
        <f>VLOOKUP($A166,'Data Vlaue (Cr)'!$C:$FB,144)</f>
        <v>1957.17</v>
      </c>
      <c r="F166" s="50">
        <f>VLOOKUP($A166,'Data Vlaue (Cr)'!$C:$FB,146)*100</f>
        <v>-16.05</v>
      </c>
      <c r="G166" s="49">
        <f>VLOOKUP($A166,'Data Vlaue (Cr)'!$C:$FB,43)</f>
        <v>210</v>
      </c>
      <c r="H166" s="49">
        <f>VLOOKUP($A166,'Data Vlaue (Cr)'!$C:$FB,44)</f>
        <v>249</v>
      </c>
      <c r="I166" s="49">
        <f>VLOOKUP($A166,'Data Vlaue (Cr)'!$C:$FB,46)*100</f>
        <v>-15.7</v>
      </c>
      <c r="J166" s="51">
        <f>VLOOKUP($A166,'Data Vlaue (Cr)'!$C:$FB,59)</f>
        <v>978</v>
      </c>
      <c r="K166" s="51">
        <f>VLOOKUP($A166,'Data Vlaue (Cr)'!$C:$FB,60)</f>
        <v>1185</v>
      </c>
      <c r="L166" s="51">
        <f>VLOOKUP($A166,'Data Vlaue (Cr)'!$C:$FB,62)*100</f>
        <v>-17.47</v>
      </c>
      <c r="M166" s="51">
        <f>VLOOKUP($A166,'Data Vlaue (Cr)'!$C:$FB,63)</f>
        <v>433</v>
      </c>
      <c r="N166" s="51">
        <f>VLOOKUP($A166,'Data Vlaue (Cr)'!$C:$FB,64)</f>
        <v>495</v>
      </c>
      <c r="O166" s="51">
        <f>VLOOKUP($A166,'Data Vlaue (Cr)'!$C:$FB,66)*100</f>
        <v>-12.57</v>
      </c>
    </row>
    <row r="167" spans="1:15" x14ac:dyDescent="0.25">
      <c r="A167" s="101" t="str">
        <f>'Data Vlaue (Cr)'!C162</f>
        <v>NYKAA</v>
      </c>
      <c r="B167" s="50">
        <f>VLOOKUP($A167,'Data Vlaue (Cr)'!$C:$FB,8)</f>
        <v>220.03</v>
      </c>
      <c r="C167" s="50">
        <f>VLOOKUP($A167,'Data Vlaue (Cr)'!$C:$FB,11)*100</f>
        <v>2.33</v>
      </c>
      <c r="D167" s="50">
        <f>VLOOKUP($A167,'Data Vlaue (Cr)'!$C:$FB,143)</f>
        <v>2315.34</v>
      </c>
      <c r="E167" s="50">
        <f>VLOOKUP($A167,'Data Vlaue (Cr)'!$C:$FB,144)</f>
        <v>281.24</v>
      </c>
      <c r="F167" s="50">
        <f>VLOOKUP($A167,'Data Vlaue (Cr)'!$C:$FB,146)*100</f>
        <v>723.27</v>
      </c>
      <c r="G167" s="49">
        <f>VLOOKUP($A167,'Data Vlaue (Cr)'!$C:$FB,43)</f>
        <v>311</v>
      </c>
      <c r="H167" s="49">
        <f>VLOOKUP($A167,'Data Vlaue (Cr)'!$C:$FB,44)</f>
        <v>98</v>
      </c>
      <c r="I167" s="49">
        <f>VLOOKUP($A167,'Data Vlaue (Cr)'!$C:$FB,46)*100</f>
        <v>216.01</v>
      </c>
      <c r="J167" s="51">
        <f>VLOOKUP($A167,'Data Vlaue (Cr)'!$C:$FB,59)</f>
        <v>1627</v>
      </c>
      <c r="K167" s="51">
        <f>VLOOKUP($A167,'Data Vlaue (Cr)'!$C:$FB,60)</f>
        <v>115</v>
      </c>
      <c r="L167" s="51">
        <f>VLOOKUP($A167,'Data Vlaue (Cr)'!$C:$FB,62)*100</f>
        <v>1317.62</v>
      </c>
      <c r="M167" s="51">
        <f>VLOOKUP($A167,'Data Vlaue (Cr)'!$C:$FB,63)</f>
        <v>327</v>
      </c>
      <c r="N167" s="51">
        <f>VLOOKUP($A167,'Data Vlaue (Cr)'!$C:$FB,64)</f>
        <v>72</v>
      </c>
      <c r="O167" s="51">
        <f>VLOOKUP($A167,'Data Vlaue (Cr)'!$C:$FB,66)*100</f>
        <v>355.75</v>
      </c>
    </row>
    <row r="168" spans="1:15" x14ac:dyDescent="0.25">
      <c r="A168" s="101" t="str">
        <f>'Data Vlaue (Cr)'!C163</f>
        <v>OBEROIRLTY</v>
      </c>
      <c r="B168" s="50">
        <f>VLOOKUP($A168,'Data Vlaue (Cr)'!$C:$FB,8)</f>
        <v>1826.2</v>
      </c>
      <c r="C168" s="50">
        <f>VLOOKUP($A168,'Data Vlaue (Cr)'!$C:$FB,11)*100</f>
        <v>-0.45999999999999996</v>
      </c>
      <c r="D168" s="50">
        <f>VLOOKUP($A168,'Data Vlaue (Cr)'!$C:$FB,143)</f>
        <v>2250.75</v>
      </c>
      <c r="E168" s="50">
        <f>VLOOKUP($A168,'Data Vlaue (Cr)'!$C:$FB,144)</f>
        <v>995.94</v>
      </c>
      <c r="F168" s="50">
        <f>VLOOKUP($A168,'Data Vlaue (Cr)'!$C:$FB,146)*100</f>
        <v>125.99000000000001</v>
      </c>
      <c r="G168" s="49">
        <f>VLOOKUP($A168,'Data Vlaue (Cr)'!$C:$FB,43)</f>
        <v>330</v>
      </c>
      <c r="H168" s="49">
        <f>VLOOKUP($A168,'Data Vlaue (Cr)'!$C:$FB,44)</f>
        <v>144</v>
      </c>
      <c r="I168" s="49">
        <f>VLOOKUP($A168,'Data Vlaue (Cr)'!$C:$FB,46)*100</f>
        <v>129.63999999999999</v>
      </c>
      <c r="J168" s="51">
        <f>VLOOKUP($A168,'Data Vlaue (Cr)'!$C:$FB,59)</f>
        <v>1059</v>
      </c>
      <c r="K168" s="51">
        <f>VLOOKUP($A168,'Data Vlaue (Cr)'!$C:$FB,60)</f>
        <v>469</v>
      </c>
      <c r="L168" s="51">
        <f>VLOOKUP($A168,'Data Vlaue (Cr)'!$C:$FB,62)*100</f>
        <v>125.71000000000001</v>
      </c>
      <c r="M168" s="51">
        <f>VLOOKUP($A168,'Data Vlaue (Cr)'!$C:$FB,63)</f>
        <v>827</v>
      </c>
      <c r="N168" s="51">
        <f>VLOOKUP($A168,'Data Vlaue (Cr)'!$C:$FB,64)</f>
        <v>354</v>
      </c>
      <c r="O168" s="51">
        <f>VLOOKUP($A168,'Data Vlaue (Cr)'!$C:$FB,66)*100</f>
        <v>133.85</v>
      </c>
    </row>
    <row r="169" spans="1:15" x14ac:dyDescent="0.25">
      <c r="A169" s="101" t="str">
        <f>'Data Vlaue (Cr)'!C164</f>
        <v>OFSS</v>
      </c>
      <c r="B169" s="50">
        <f>VLOOKUP($A169,'Data Vlaue (Cr)'!$C:$FB,8)</f>
        <v>8707.5</v>
      </c>
      <c r="C169" s="50">
        <f>VLOOKUP($A169,'Data Vlaue (Cr)'!$C:$FB,11)*100</f>
        <v>-1.29</v>
      </c>
      <c r="D169" s="50">
        <f>VLOOKUP($A169,'Data Vlaue (Cr)'!$C:$FB,143)</f>
        <v>751.78</v>
      </c>
      <c r="E169" s="50">
        <f>VLOOKUP($A169,'Data Vlaue (Cr)'!$C:$FB,144)</f>
        <v>780.68</v>
      </c>
      <c r="F169" s="50">
        <f>VLOOKUP($A169,'Data Vlaue (Cr)'!$C:$FB,146)*100</f>
        <v>-3.6999999999999997</v>
      </c>
      <c r="G169" s="49">
        <f>VLOOKUP($A169,'Data Vlaue (Cr)'!$C:$FB,43)</f>
        <v>170</v>
      </c>
      <c r="H169" s="49">
        <f>VLOOKUP($A169,'Data Vlaue (Cr)'!$C:$FB,44)</f>
        <v>166</v>
      </c>
      <c r="I169" s="49">
        <f>VLOOKUP($A169,'Data Vlaue (Cr)'!$C:$FB,46)*100</f>
        <v>2.21</v>
      </c>
      <c r="J169" s="51">
        <f>VLOOKUP($A169,'Data Vlaue (Cr)'!$C:$FB,59)</f>
        <v>368</v>
      </c>
      <c r="K169" s="51">
        <f>VLOOKUP($A169,'Data Vlaue (Cr)'!$C:$FB,60)</f>
        <v>414</v>
      </c>
      <c r="L169" s="51">
        <f>VLOOKUP($A169,'Data Vlaue (Cr)'!$C:$FB,62)*100</f>
        <v>-11.129999999999999</v>
      </c>
      <c r="M169" s="51">
        <f>VLOOKUP($A169,'Data Vlaue (Cr)'!$C:$FB,63)</f>
        <v>188</v>
      </c>
      <c r="N169" s="51">
        <f>VLOOKUP($A169,'Data Vlaue (Cr)'!$C:$FB,64)</f>
        <v>169</v>
      </c>
      <c r="O169" s="51">
        <f>VLOOKUP($A169,'Data Vlaue (Cr)'!$C:$FB,66)*100</f>
        <v>11</v>
      </c>
    </row>
    <row r="170" spans="1:15" x14ac:dyDescent="0.25">
      <c r="A170" s="101" t="str">
        <f>'Data Vlaue (Cr)'!C165</f>
        <v>OIL</v>
      </c>
      <c r="B170" s="50">
        <f>VLOOKUP($A170,'Data Vlaue (Cr)'!$C:$FB,8)</f>
        <v>451.35</v>
      </c>
      <c r="C170" s="50">
        <f>VLOOKUP($A170,'Data Vlaue (Cr)'!$C:$FB,11)*100</f>
        <v>-0.42</v>
      </c>
      <c r="D170" s="50">
        <f>VLOOKUP($A170,'Data Vlaue (Cr)'!$C:$FB,143)</f>
        <v>445.45</v>
      </c>
      <c r="E170" s="50">
        <f>VLOOKUP($A170,'Data Vlaue (Cr)'!$C:$FB,144)</f>
        <v>481.85</v>
      </c>
      <c r="F170" s="50">
        <f>VLOOKUP($A170,'Data Vlaue (Cr)'!$C:$FB,146)*100</f>
        <v>-7.55</v>
      </c>
      <c r="G170" s="49">
        <f>VLOOKUP($A170,'Data Vlaue (Cr)'!$C:$FB,43)</f>
        <v>74</v>
      </c>
      <c r="H170" s="49">
        <f>VLOOKUP($A170,'Data Vlaue (Cr)'!$C:$FB,44)</f>
        <v>109</v>
      </c>
      <c r="I170" s="49">
        <f>VLOOKUP($A170,'Data Vlaue (Cr)'!$C:$FB,46)*100</f>
        <v>-32.29</v>
      </c>
      <c r="J170" s="51">
        <f>VLOOKUP($A170,'Data Vlaue (Cr)'!$C:$FB,59)</f>
        <v>277</v>
      </c>
      <c r="K170" s="51">
        <f>VLOOKUP($A170,'Data Vlaue (Cr)'!$C:$FB,60)</f>
        <v>260</v>
      </c>
      <c r="L170" s="51">
        <f>VLOOKUP($A170,'Data Vlaue (Cr)'!$C:$FB,62)*100</f>
        <v>6.5</v>
      </c>
      <c r="M170" s="51">
        <f>VLOOKUP($A170,'Data Vlaue (Cr)'!$C:$FB,63)</f>
        <v>88</v>
      </c>
      <c r="N170" s="51">
        <f>VLOOKUP($A170,'Data Vlaue (Cr)'!$C:$FB,64)</f>
        <v>105</v>
      </c>
      <c r="O170" s="51">
        <f>VLOOKUP($A170,'Data Vlaue (Cr)'!$C:$FB,66)*100</f>
        <v>-16.439999999999998</v>
      </c>
    </row>
    <row r="171" spans="1:15" x14ac:dyDescent="0.25">
      <c r="A171" s="101" t="str">
        <f>'Data Vlaue (Cr)'!C166</f>
        <v>ONGC</v>
      </c>
      <c r="B171" s="50">
        <f>VLOOKUP($A171,'Data Vlaue (Cr)'!$C:$FB,8)</f>
        <v>246.41</v>
      </c>
      <c r="C171" s="50">
        <f>VLOOKUP($A171,'Data Vlaue (Cr)'!$C:$FB,11)*100</f>
        <v>0.55999999999999994</v>
      </c>
      <c r="D171" s="50">
        <f>VLOOKUP($A171,'Data Vlaue (Cr)'!$C:$FB,143)</f>
        <v>2159.41</v>
      </c>
      <c r="E171" s="50">
        <f>VLOOKUP($A171,'Data Vlaue (Cr)'!$C:$FB,144)</f>
        <v>1883.03</v>
      </c>
      <c r="F171" s="50">
        <f>VLOOKUP($A171,'Data Vlaue (Cr)'!$C:$FB,146)*100</f>
        <v>14.680000000000001</v>
      </c>
      <c r="G171" s="49">
        <f>VLOOKUP($A171,'Data Vlaue (Cr)'!$C:$FB,43)</f>
        <v>272</v>
      </c>
      <c r="H171" s="49">
        <f>VLOOKUP($A171,'Data Vlaue (Cr)'!$C:$FB,44)</f>
        <v>166</v>
      </c>
      <c r="I171" s="49">
        <f>VLOOKUP($A171,'Data Vlaue (Cr)'!$C:$FB,46)*100</f>
        <v>63.749999999999993</v>
      </c>
      <c r="J171" s="51">
        <f>VLOOKUP($A171,'Data Vlaue (Cr)'!$C:$FB,59)</f>
        <v>1295</v>
      </c>
      <c r="K171" s="51">
        <f>VLOOKUP($A171,'Data Vlaue (Cr)'!$C:$FB,60)</f>
        <v>1291</v>
      </c>
      <c r="L171" s="51">
        <f>VLOOKUP($A171,'Data Vlaue (Cr)'!$C:$FB,62)*100</f>
        <v>0.33</v>
      </c>
      <c r="M171" s="51">
        <f>VLOOKUP($A171,'Data Vlaue (Cr)'!$C:$FB,63)</f>
        <v>558</v>
      </c>
      <c r="N171" s="51">
        <f>VLOOKUP($A171,'Data Vlaue (Cr)'!$C:$FB,64)</f>
        <v>388</v>
      </c>
      <c r="O171" s="51">
        <f>VLOOKUP($A171,'Data Vlaue (Cr)'!$C:$FB,66)*100</f>
        <v>43.919999999999995</v>
      </c>
    </row>
    <row r="172" spans="1:15" x14ac:dyDescent="0.25">
      <c r="A172" s="101" t="str">
        <f>'Data Vlaue (Cr)'!C167</f>
        <v>PAGEIND</v>
      </c>
      <c r="B172" s="50">
        <f>VLOOKUP($A172,'Data Vlaue (Cr)'!$C:$FB,8)</f>
        <v>46295</v>
      </c>
      <c r="C172" s="50">
        <f>VLOOKUP($A172,'Data Vlaue (Cr)'!$C:$FB,11)*100</f>
        <v>-0.92999999999999994</v>
      </c>
      <c r="D172" s="50">
        <f>VLOOKUP($A172,'Data Vlaue (Cr)'!$C:$FB,143)</f>
        <v>837.93</v>
      </c>
      <c r="E172" s="50">
        <f>VLOOKUP($A172,'Data Vlaue (Cr)'!$C:$FB,144)</f>
        <v>693.71</v>
      </c>
      <c r="F172" s="50">
        <f>VLOOKUP($A172,'Data Vlaue (Cr)'!$C:$FB,146)*100</f>
        <v>20.79</v>
      </c>
      <c r="G172" s="49">
        <f>VLOOKUP($A172,'Data Vlaue (Cr)'!$C:$FB,43)</f>
        <v>127</v>
      </c>
      <c r="H172" s="49">
        <f>VLOOKUP($A172,'Data Vlaue (Cr)'!$C:$FB,44)</f>
        <v>74</v>
      </c>
      <c r="I172" s="49">
        <f>VLOOKUP($A172,'Data Vlaue (Cr)'!$C:$FB,46)*100</f>
        <v>72.61999999999999</v>
      </c>
      <c r="J172" s="51">
        <f>VLOOKUP($A172,'Data Vlaue (Cr)'!$C:$FB,59)</f>
        <v>622</v>
      </c>
      <c r="K172" s="51">
        <f>VLOOKUP($A172,'Data Vlaue (Cr)'!$C:$FB,60)</f>
        <v>528</v>
      </c>
      <c r="L172" s="51">
        <f>VLOOKUP($A172,'Data Vlaue (Cr)'!$C:$FB,62)*100</f>
        <v>17.86</v>
      </c>
      <c r="M172" s="51">
        <f>VLOOKUP($A172,'Data Vlaue (Cr)'!$C:$FB,63)</f>
        <v>35</v>
      </c>
      <c r="N172" s="51">
        <f>VLOOKUP($A172,'Data Vlaue (Cr)'!$C:$FB,64)</f>
        <v>47</v>
      </c>
      <c r="O172" s="51">
        <f>VLOOKUP($A172,'Data Vlaue (Cr)'!$C:$FB,66)*100</f>
        <v>-25.11</v>
      </c>
    </row>
    <row r="173" spans="1:15" x14ac:dyDescent="0.25">
      <c r="A173" s="101" t="str">
        <f>'Data Vlaue (Cr)'!C168</f>
        <v>PATANJALI</v>
      </c>
      <c r="B173" s="50">
        <f>VLOOKUP($A173,'Data Vlaue (Cr)'!$C:$FB,8)</f>
        <v>1942</v>
      </c>
      <c r="C173" s="50">
        <f>VLOOKUP($A173,'Data Vlaue (Cr)'!$C:$FB,11)*100</f>
        <v>0</v>
      </c>
      <c r="D173" s="50">
        <f>VLOOKUP($A173,'Data Vlaue (Cr)'!$C:$FB,143)</f>
        <v>1455.17</v>
      </c>
      <c r="E173" s="50">
        <f>VLOOKUP($A173,'Data Vlaue (Cr)'!$C:$FB,144)</f>
        <v>2191.6</v>
      </c>
      <c r="F173" s="50">
        <f>VLOOKUP($A173,'Data Vlaue (Cr)'!$C:$FB,146)*100</f>
        <v>-33.6</v>
      </c>
      <c r="G173" s="49">
        <f>VLOOKUP($A173,'Data Vlaue (Cr)'!$C:$FB,43)</f>
        <v>213</v>
      </c>
      <c r="H173" s="49">
        <f>VLOOKUP($A173,'Data Vlaue (Cr)'!$C:$FB,44)</f>
        <v>340</v>
      </c>
      <c r="I173" s="49">
        <f>VLOOKUP($A173,'Data Vlaue (Cr)'!$C:$FB,46)*100</f>
        <v>-37.32</v>
      </c>
      <c r="J173" s="51">
        <f>VLOOKUP($A173,'Data Vlaue (Cr)'!$C:$FB,59)</f>
        <v>769</v>
      </c>
      <c r="K173" s="51">
        <f>VLOOKUP($A173,'Data Vlaue (Cr)'!$C:$FB,60)</f>
        <v>1233</v>
      </c>
      <c r="L173" s="51">
        <f>VLOOKUP($A173,'Data Vlaue (Cr)'!$C:$FB,62)*100</f>
        <v>-37.64</v>
      </c>
      <c r="M173" s="51">
        <f>VLOOKUP($A173,'Data Vlaue (Cr)'!$C:$FB,63)</f>
        <v>448</v>
      </c>
      <c r="N173" s="51">
        <f>VLOOKUP($A173,'Data Vlaue (Cr)'!$C:$FB,64)</f>
        <v>591</v>
      </c>
      <c r="O173" s="51">
        <f>VLOOKUP($A173,'Data Vlaue (Cr)'!$C:$FB,66)*100</f>
        <v>-24.15</v>
      </c>
    </row>
    <row r="174" spans="1:15" x14ac:dyDescent="0.25">
      <c r="A174" s="101" t="str">
        <f>'Data Vlaue (Cr)'!C169</f>
        <v>PAYTM</v>
      </c>
      <c r="B174" s="50">
        <f>VLOOKUP($A174,'Data Vlaue (Cr)'!$C:$FB,8)</f>
        <v>1051.05</v>
      </c>
      <c r="C174" s="50">
        <f>VLOOKUP($A174,'Data Vlaue (Cr)'!$C:$FB,11)*100</f>
        <v>3.2800000000000002</v>
      </c>
      <c r="D174" s="50">
        <f>VLOOKUP($A174,'Data Vlaue (Cr)'!$C:$FB,143)</f>
        <v>10071.01</v>
      </c>
      <c r="E174" s="50">
        <f>VLOOKUP($A174,'Data Vlaue (Cr)'!$C:$FB,144)</f>
        <v>2378.83</v>
      </c>
      <c r="F174" s="50">
        <f>VLOOKUP($A174,'Data Vlaue (Cr)'!$C:$FB,146)*100</f>
        <v>323.36</v>
      </c>
      <c r="G174" s="49">
        <f>VLOOKUP($A174,'Data Vlaue (Cr)'!$C:$FB,43)</f>
        <v>1697</v>
      </c>
      <c r="H174" s="49">
        <f>VLOOKUP($A174,'Data Vlaue (Cr)'!$C:$FB,44)</f>
        <v>566</v>
      </c>
      <c r="I174" s="49">
        <f>VLOOKUP($A174,'Data Vlaue (Cr)'!$C:$FB,46)*100</f>
        <v>199.77</v>
      </c>
      <c r="J174" s="51">
        <f>VLOOKUP($A174,'Data Vlaue (Cr)'!$C:$FB,59)</f>
        <v>5853</v>
      </c>
      <c r="K174" s="51">
        <f>VLOOKUP($A174,'Data Vlaue (Cr)'!$C:$FB,60)</f>
        <v>1203</v>
      </c>
      <c r="L174" s="51">
        <f>VLOOKUP($A174,'Data Vlaue (Cr)'!$C:$FB,62)*100</f>
        <v>386.41999999999996</v>
      </c>
      <c r="M174" s="51">
        <f>VLOOKUP($A174,'Data Vlaue (Cr)'!$C:$FB,63)</f>
        <v>2385</v>
      </c>
      <c r="N174" s="51">
        <f>VLOOKUP($A174,'Data Vlaue (Cr)'!$C:$FB,64)</f>
        <v>666</v>
      </c>
      <c r="O174" s="51">
        <f>VLOOKUP($A174,'Data Vlaue (Cr)'!$C:$FB,66)*100</f>
        <v>258.15999999999997</v>
      </c>
    </row>
    <row r="175" spans="1:15" x14ac:dyDescent="0.25">
      <c r="A175" s="101" t="str">
        <f>'Data Vlaue (Cr)'!C170</f>
        <v>PEL</v>
      </c>
      <c r="B175" s="50">
        <f>VLOOKUP($A175,'Data Vlaue (Cr)'!$C:$FB,8)</f>
        <v>1287.4000000000001</v>
      </c>
      <c r="C175" s="50">
        <f>VLOOKUP($A175,'Data Vlaue (Cr)'!$C:$FB,11)*100</f>
        <v>-1.0999999999999999</v>
      </c>
      <c r="D175" s="50">
        <f>VLOOKUP($A175,'Data Vlaue (Cr)'!$C:$FB,143)</f>
        <v>754.18</v>
      </c>
      <c r="E175" s="50">
        <f>VLOOKUP($A175,'Data Vlaue (Cr)'!$C:$FB,144)</f>
        <v>1353.52</v>
      </c>
      <c r="F175" s="50">
        <f>VLOOKUP($A175,'Data Vlaue (Cr)'!$C:$FB,146)*100</f>
        <v>-44.28</v>
      </c>
      <c r="G175" s="49">
        <f>VLOOKUP($A175,'Data Vlaue (Cr)'!$C:$FB,43)</f>
        <v>116</v>
      </c>
      <c r="H175" s="49">
        <f>VLOOKUP($A175,'Data Vlaue (Cr)'!$C:$FB,44)</f>
        <v>200</v>
      </c>
      <c r="I175" s="49">
        <f>VLOOKUP($A175,'Data Vlaue (Cr)'!$C:$FB,46)*100</f>
        <v>-42.1</v>
      </c>
      <c r="J175" s="51">
        <f>VLOOKUP($A175,'Data Vlaue (Cr)'!$C:$FB,59)</f>
        <v>357</v>
      </c>
      <c r="K175" s="51">
        <f>VLOOKUP($A175,'Data Vlaue (Cr)'!$C:$FB,60)</f>
        <v>574</v>
      </c>
      <c r="L175" s="51">
        <f>VLOOKUP($A175,'Data Vlaue (Cr)'!$C:$FB,62)*100</f>
        <v>-37.769999999999996</v>
      </c>
      <c r="M175" s="51">
        <f>VLOOKUP($A175,'Data Vlaue (Cr)'!$C:$FB,63)</f>
        <v>267</v>
      </c>
      <c r="N175" s="51">
        <f>VLOOKUP($A175,'Data Vlaue (Cr)'!$C:$FB,64)</f>
        <v>539</v>
      </c>
      <c r="O175" s="51">
        <f>VLOOKUP($A175,'Data Vlaue (Cr)'!$C:$FB,66)*100</f>
        <v>-50.449999999999996</v>
      </c>
    </row>
    <row r="176" spans="1:15" x14ac:dyDescent="0.25">
      <c r="A176" s="101" t="str">
        <f>'Data Vlaue (Cr)'!C171</f>
        <v>PERSISTENT</v>
      </c>
      <c r="B176" s="50">
        <f>VLOOKUP($A176,'Data Vlaue (Cr)'!$C:$FB,8)</f>
        <v>5713.5</v>
      </c>
      <c r="C176" s="50">
        <f>VLOOKUP($A176,'Data Vlaue (Cr)'!$C:$FB,11)*100</f>
        <v>-1.1299999999999999</v>
      </c>
      <c r="D176" s="50">
        <f>VLOOKUP($A176,'Data Vlaue (Cr)'!$C:$FB,143)</f>
        <v>2319.71</v>
      </c>
      <c r="E176" s="50">
        <f>VLOOKUP($A176,'Data Vlaue (Cr)'!$C:$FB,144)</f>
        <v>3788.2</v>
      </c>
      <c r="F176" s="50">
        <f>VLOOKUP($A176,'Data Vlaue (Cr)'!$C:$FB,146)*100</f>
        <v>-38.76</v>
      </c>
      <c r="G176" s="49">
        <f>VLOOKUP($A176,'Data Vlaue (Cr)'!$C:$FB,43)</f>
        <v>406</v>
      </c>
      <c r="H176" s="49">
        <f>VLOOKUP($A176,'Data Vlaue (Cr)'!$C:$FB,44)</f>
        <v>752</v>
      </c>
      <c r="I176" s="49">
        <f>VLOOKUP($A176,'Data Vlaue (Cr)'!$C:$FB,46)*100</f>
        <v>-46</v>
      </c>
      <c r="J176" s="51">
        <f>VLOOKUP($A176,'Data Vlaue (Cr)'!$C:$FB,59)</f>
        <v>1295</v>
      </c>
      <c r="K176" s="51">
        <f>VLOOKUP($A176,'Data Vlaue (Cr)'!$C:$FB,60)</f>
        <v>2115</v>
      </c>
      <c r="L176" s="51">
        <f>VLOOKUP($A176,'Data Vlaue (Cr)'!$C:$FB,62)*100</f>
        <v>-38.75</v>
      </c>
      <c r="M176" s="51">
        <f>VLOOKUP($A176,'Data Vlaue (Cr)'!$C:$FB,63)</f>
        <v>530</v>
      </c>
      <c r="N176" s="51">
        <f>VLOOKUP($A176,'Data Vlaue (Cr)'!$C:$FB,64)</f>
        <v>842</v>
      </c>
      <c r="O176" s="51">
        <f>VLOOKUP($A176,'Data Vlaue (Cr)'!$C:$FB,66)*100</f>
        <v>-37.08</v>
      </c>
    </row>
    <row r="177" spans="1:15" x14ac:dyDescent="0.25">
      <c r="A177" s="101" t="str">
        <f>'Data Vlaue (Cr)'!C172</f>
        <v>PETRONET</v>
      </c>
      <c r="B177" s="50">
        <f>VLOOKUP($A177,'Data Vlaue (Cr)'!$C:$FB,8)</f>
        <v>303.25</v>
      </c>
      <c r="C177" s="50">
        <f>VLOOKUP($A177,'Data Vlaue (Cr)'!$C:$FB,11)*100</f>
        <v>-0.25</v>
      </c>
      <c r="D177" s="50">
        <f>VLOOKUP($A177,'Data Vlaue (Cr)'!$C:$FB,143)</f>
        <v>309.85000000000002</v>
      </c>
      <c r="E177" s="50">
        <f>VLOOKUP($A177,'Data Vlaue (Cr)'!$C:$FB,144)</f>
        <v>417.33</v>
      </c>
      <c r="F177" s="50">
        <f>VLOOKUP($A177,'Data Vlaue (Cr)'!$C:$FB,146)*100</f>
        <v>-25.75</v>
      </c>
      <c r="G177" s="49">
        <f>VLOOKUP($A177,'Data Vlaue (Cr)'!$C:$FB,43)</f>
        <v>99</v>
      </c>
      <c r="H177" s="49">
        <f>VLOOKUP($A177,'Data Vlaue (Cr)'!$C:$FB,44)</f>
        <v>219</v>
      </c>
      <c r="I177" s="49">
        <f>VLOOKUP($A177,'Data Vlaue (Cr)'!$C:$FB,46)*100</f>
        <v>-54.7</v>
      </c>
      <c r="J177" s="51">
        <f>VLOOKUP($A177,'Data Vlaue (Cr)'!$C:$FB,59)</f>
        <v>147</v>
      </c>
      <c r="K177" s="51">
        <f>VLOOKUP($A177,'Data Vlaue (Cr)'!$C:$FB,60)</f>
        <v>122</v>
      </c>
      <c r="L177" s="51">
        <f>VLOOKUP($A177,'Data Vlaue (Cr)'!$C:$FB,62)*100</f>
        <v>20.62</v>
      </c>
      <c r="M177" s="51">
        <f>VLOOKUP($A177,'Data Vlaue (Cr)'!$C:$FB,63)</f>
        <v>57</v>
      </c>
      <c r="N177" s="51">
        <f>VLOOKUP($A177,'Data Vlaue (Cr)'!$C:$FB,64)</f>
        <v>70</v>
      </c>
      <c r="O177" s="51">
        <f>VLOOKUP($A177,'Data Vlaue (Cr)'!$C:$FB,66)*100</f>
        <v>-18.59</v>
      </c>
    </row>
    <row r="178" spans="1:15" x14ac:dyDescent="0.25">
      <c r="A178" s="101" t="str">
        <f>'Data Vlaue (Cr)'!C173</f>
        <v>PFC</v>
      </c>
      <c r="B178" s="50">
        <f>VLOOKUP($A178,'Data Vlaue (Cr)'!$C:$FB,8)</f>
        <v>414.7</v>
      </c>
      <c r="C178" s="50">
        <f>VLOOKUP($A178,'Data Vlaue (Cr)'!$C:$FB,11)*100</f>
        <v>-1.21</v>
      </c>
      <c r="D178" s="50">
        <f>VLOOKUP($A178,'Data Vlaue (Cr)'!$C:$FB,143)</f>
        <v>1774.35</v>
      </c>
      <c r="E178" s="50">
        <f>VLOOKUP($A178,'Data Vlaue (Cr)'!$C:$FB,144)</f>
        <v>1274.5999999999999</v>
      </c>
      <c r="F178" s="50">
        <f>VLOOKUP($A178,'Data Vlaue (Cr)'!$C:$FB,146)*100</f>
        <v>39.21</v>
      </c>
      <c r="G178" s="49">
        <f>VLOOKUP($A178,'Data Vlaue (Cr)'!$C:$FB,43)</f>
        <v>329</v>
      </c>
      <c r="H178" s="49">
        <f>VLOOKUP($A178,'Data Vlaue (Cr)'!$C:$FB,44)</f>
        <v>272</v>
      </c>
      <c r="I178" s="49">
        <f>VLOOKUP($A178,'Data Vlaue (Cr)'!$C:$FB,46)*100</f>
        <v>20.82</v>
      </c>
      <c r="J178" s="51">
        <f>VLOOKUP($A178,'Data Vlaue (Cr)'!$C:$FB,59)</f>
        <v>859</v>
      </c>
      <c r="K178" s="51">
        <f>VLOOKUP($A178,'Data Vlaue (Cr)'!$C:$FB,60)</f>
        <v>639</v>
      </c>
      <c r="L178" s="51">
        <f>VLOOKUP($A178,'Data Vlaue (Cr)'!$C:$FB,62)*100</f>
        <v>34.4</v>
      </c>
      <c r="M178" s="51">
        <f>VLOOKUP($A178,'Data Vlaue (Cr)'!$C:$FB,63)</f>
        <v>525</v>
      </c>
      <c r="N178" s="51">
        <f>VLOOKUP($A178,'Data Vlaue (Cr)'!$C:$FB,64)</f>
        <v>317</v>
      </c>
      <c r="O178" s="51">
        <f>VLOOKUP($A178,'Data Vlaue (Cr)'!$C:$FB,66)*100</f>
        <v>65.48</v>
      </c>
    </row>
    <row r="179" spans="1:15" x14ac:dyDescent="0.25">
      <c r="A179" s="101" t="str">
        <f>'Data Vlaue (Cr)'!C174</f>
        <v>PGEL</v>
      </c>
      <c r="B179" s="50">
        <f>VLOOKUP($A179,'Data Vlaue (Cr)'!$C:$FB,8)</f>
        <v>788.9</v>
      </c>
      <c r="C179" s="50">
        <f>VLOOKUP($A179,'Data Vlaue (Cr)'!$C:$FB,11)*100</f>
        <v>-2.2399999999999998</v>
      </c>
      <c r="D179" s="50">
        <f>VLOOKUP($A179,'Data Vlaue (Cr)'!$C:$FB,143)</f>
        <v>320.14</v>
      </c>
      <c r="E179" s="50">
        <f>VLOOKUP($A179,'Data Vlaue (Cr)'!$C:$FB,144)</f>
        <v>317.56</v>
      </c>
      <c r="F179" s="50">
        <f>VLOOKUP($A179,'Data Vlaue (Cr)'!$C:$FB,146)*100</f>
        <v>0.80999999999999994</v>
      </c>
      <c r="G179" s="49">
        <f>VLOOKUP($A179,'Data Vlaue (Cr)'!$C:$FB,43)</f>
        <v>102</v>
      </c>
      <c r="H179" s="49">
        <f>VLOOKUP($A179,'Data Vlaue (Cr)'!$C:$FB,44)</f>
        <v>120</v>
      </c>
      <c r="I179" s="49">
        <f>VLOOKUP($A179,'Data Vlaue (Cr)'!$C:$FB,46)*100</f>
        <v>-15.42</v>
      </c>
      <c r="J179" s="51">
        <f>VLOOKUP($A179,'Data Vlaue (Cr)'!$C:$FB,59)</f>
        <v>150</v>
      </c>
      <c r="K179" s="51">
        <f>VLOOKUP($A179,'Data Vlaue (Cr)'!$C:$FB,60)</f>
        <v>135</v>
      </c>
      <c r="L179" s="51">
        <f>VLOOKUP($A179,'Data Vlaue (Cr)'!$C:$FB,62)*100</f>
        <v>11.37</v>
      </c>
      <c r="M179" s="51">
        <f>VLOOKUP($A179,'Data Vlaue (Cr)'!$C:$FB,63)</f>
        <v>58</v>
      </c>
      <c r="N179" s="51">
        <f>VLOOKUP($A179,'Data Vlaue (Cr)'!$C:$FB,64)</f>
        <v>49</v>
      </c>
      <c r="O179" s="51">
        <f>VLOOKUP($A179,'Data Vlaue (Cr)'!$C:$FB,66)*100</f>
        <v>19.100000000000001</v>
      </c>
    </row>
    <row r="180" spans="1:15" x14ac:dyDescent="0.25">
      <c r="A180" s="101" t="str">
        <f>'Data Vlaue (Cr)'!C175</f>
        <v>PHOENIXLTD</v>
      </c>
      <c r="B180" s="50">
        <f>VLOOKUP($A180,'Data Vlaue (Cr)'!$C:$FB,8)</f>
        <v>1473.6</v>
      </c>
      <c r="C180" s="50">
        <f>VLOOKUP($A180,'Data Vlaue (Cr)'!$C:$FB,11)*100</f>
        <v>-1.35</v>
      </c>
      <c r="D180" s="50">
        <f>VLOOKUP($A180,'Data Vlaue (Cr)'!$C:$FB,143)</f>
        <v>184.91</v>
      </c>
      <c r="E180" s="50">
        <f>VLOOKUP($A180,'Data Vlaue (Cr)'!$C:$FB,144)</f>
        <v>197.87</v>
      </c>
      <c r="F180" s="50">
        <f>VLOOKUP($A180,'Data Vlaue (Cr)'!$C:$FB,146)*100</f>
        <v>-6.5500000000000007</v>
      </c>
      <c r="G180" s="49">
        <f>VLOOKUP($A180,'Data Vlaue (Cr)'!$C:$FB,43)</f>
        <v>57</v>
      </c>
      <c r="H180" s="49">
        <f>VLOOKUP($A180,'Data Vlaue (Cr)'!$C:$FB,44)</f>
        <v>65</v>
      </c>
      <c r="I180" s="49">
        <f>VLOOKUP($A180,'Data Vlaue (Cr)'!$C:$FB,46)*100</f>
        <v>-12.32</v>
      </c>
      <c r="J180" s="51">
        <f>VLOOKUP($A180,'Data Vlaue (Cr)'!$C:$FB,59)</f>
        <v>83</v>
      </c>
      <c r="K180" s="51">
        <f>VLOOKUP($A180,'Data Vlaue (Cr)'!$C:$FB,60)</f>
        <v>100</v>
      </c>
      <c r="L180" s="51">
        <f>VLOOKUP($A180,'Data Vlaue (Cr)'!$C:$FB,62)*100</f>
        <v>-16.71</v>
      </c>
      <c r="M180" s="51">
        <f>VLOOKUP($A180,'Data Vlaue (Cr)'!$C:$FB,63)</f>
        <v>40</v>
      </c>
      <c r="N180" s="51">
        <f>VLOOKUP($A180,'Data Vlaue (Cr)'!$C:$FB,64)</f>
        <v>25</v>
      </c>
      <c r="O180" s="51">
        <f>VLOOKUP($A180,'Data Vlaue (Cr)'!$C:$FB,66)*100</f>
        <v>57.17</v>
      </c>
    </row>
    <row r="181" spans="1:15" x14ac:dyDescent="0.25">
      <c r="A181" s="101" t="str">
        <f>'Data Vlaue (Cr)'!C176</f>
        <v>PIDILITIND</v>
      </c>
      <c r="B181" s="50">
        <f>VLOOKUP($A181,'Data Vlaue (Cr)'!$C:$FB,8)</f>
        <v>2934.3</v>
      </c>
      <c r="C181" s="50">
        <f>VLOOKUP($A181,'Data Vlaue (Cr)'!$C:$FB,11)*100</f>
        <v>-1.04</v>
      </c>
      <c r="D181" s="50">
        <f>VLOOKUP($A181,'Data Vlaue (Cr)'!$C:$FB,143)</f>
        <v>324.73</v>
      </c>
      <c r="E181" s="50">
        <f>VLOOKUP($A181,'Data Vlaue (Cr)'!$C:$FB,144)</f>
        <v>217.57</v>
      </c>
      <c r="F181" s="50">
        <f>VLOOKUP($A181,'Data Vlaue (Cr)'!$C:$FB,146)*100</f>
        <v>49.25</v>
      </c>
      <c r="G181" s="49">
        <f>VLOOKUP($A181,'Data Vlaue (Cr)'!$C:$FB,43)</f>
        <v>72</v>
      </c>
      <c r="H181" s="49">
        <f>VLOOKUP($A181,'Data Vlaue (Cr)'!$C:$FB,44)</f>
        <v>67</v>
      </c>
      <c r="I181" s="49">
        <f>VLOOKUP($A181,'Data Vlaue (Cr)'!$C:$FB,46)*100</f>
        <v>8.3000000000000007</v>
      </c>
      <c r="J181" s="51">
        <f>VLOOKUP($A181,'Data Vlaue (Cr)'!$C:$FB,59)</f>
        <v>180</v>
      </c>
      <c r="K181" s="51">
        <f>VLOOKUP($A181,'Data Vlaue (Cr)'!$C:$FB,60)</f>
        <v>114</v>
      </c>
      <c r="L181" s="51">
        <f>VLOOKUP($A181,'Data Vlaue (Cr)'!$C:$FB,62)*100</f>
        <v>57.85</v>
      </c>
      <c r="M181" s="51">
        <f>VLOOKUP($A181,'Data Vlaue (Cr)'!$C:$FB,63)</f>
        <v>64</v>
      </c>
      <c r="N181" s="51">
        <f>VLOOKUP($A181,'Data Vlaue (Cr)'!$C:$FB,64)</f>
        <v>30</v>
      </c>
      <c r="O181" s="51">
        <f>VLOOKUP($A181,'Data Vlaue (Cr)'!$C:$FB,66)*100</f>
        <v>112.14</v>
      </c>
    </row>
    <row r="182" spans="1:15" x14ac:dyDescent="0.25">
      <c r="A182" s="101" t="str">
        <f>'Data Vlaue (Cr)'!C177</f>
        <v>PIIND</v>
      </c>
      <c r="B182" s="50">
        <f>VLOOKUP($A182,'Data Vlaue (Cr)'!$C:$FB,8)</f>
        <v>4080</v>
      </c>
      <c r="C182" s="50">
        <f>VLOOKUP($A182,'Data Vlaue (Cr)'!$C:$FB,11)*100</f>
        <v>-2.23</v>
      </c>
      <c r="D182" s="50">
        <f>VLOOKUP($A182,'Data Vlaue (Cr)'!$C:$FB,143)</f>
        <v>458.93</v>
      </c>
      <c r="E182" s="50">
        <f>VLOOKUP($A182,'Data Vlaue (Cr)'!$C:$FB,144)</f>
        <v>322.60000000000002</v>
      </c>
      <c r="F182" s="50">
        <f>VLOOKUP($A182,'Data Vlaue (Cr)'!$C:$FB,146)*100</f>
        <v>42.26</v>
      </c>
      <c r="G182" s="49">
        <f>VLOOKUP($A182,'Data Vlaue (Cr)'!$C:$FB,43)</f>
        <v>83</v>
      </c>
      <c r="H182" s="49">
        <f>VLOOKUP($A182,'Data Vlaue (Cr)'!$C:$FB,44)</f>
        <v>57</v>
      </c>
      <c r="I182" s="49">
        <f>VLOOKUP($A182,'Data Vlaue (Cr)'!$C:$FB,46)*100</f>
        <v>45.36</v>
      </c>
      <c r="J182" s="51">
        <f>VLOOKUP($A182,'Data Vlaue (Cr)'!$C:$FB,59)</f>
        <v>271</v>
      </c>
      <c r="K182" s="51">
        <f>VLOOKUP($A182,'Data Vlaue (Cr)'!$C:$FB,60)</f>
        <v>205</v>
      </c>
      <c r="L182" s="51">
        <f>VLOOKUP($A182,'Data Vlaue (Cr)'!$C:$FB,62)*100</f>
        <v>32.06</v>
      </c>
      <c r="M182" s="51">
        <f>VLOOKUP($A182,'Data Vlaue (Cr)'!$C:$FB,63)</f>
        <v>90</v>
      </c>
      <c r="N182" s="51">
        <f>VLOOKUP($A182,'Data Vlaue (Cr)'!$C:$FB,64)</f>
        <v>48</v>
      </c>
      <c r="O182" s="51">
        <f>VLOOKUP($A182,'Data Vlaue (Cr)'!$C:$FB,66)*100</f>
        <v>86.6</v>
      </c>
    </row>
    <row r="183" spans="1:15" x14ac:dyDescent="0.25">
      <c r="A183" s="101" t="str">
        <f>'Data Vlaue (Cr)'!C178</f>
        <v>PNB</v>
      </c>
      <c r="B183" s="50">
        <f>VLOOKUP($A183,'Data Vlaue (Cr)'!$C:$FB,8)</f>
        <v>109.33</v>
      </c>
      <c r="C183" s="50">
        <f>VLOOKUP($A183,'Data Vlaue (Cr)'!$C:$FB,11)*100</f>
        <v>-2.9000000000000004</v>
      </c>
      <c r="D183" s="50">
        <f>VLOOKUP($A183,'Data Vlaue (Cr)'!$C:$FB,143)</f>
        <v>3064.62</v>
      </c>
      <c r="E183" s="50">
        <f>VLOOKUP($A183,'Data Vlaue (Cr)'!$C:$FB,144)</f>
        <v>2398.59</v>
      </c>
      <c r="F183" s="50">
        <f>VLOOKUP($A183,'Data Vlaue (Cr)'!$C:$FB,146)*100</f>
        <v>27.77</v>
      </c>
      <c r="G183" s="49">
        <f>VLOOKUP($A183,'Data Vlaue (Cr)'!$C:$FB,43)</f>
        <v>672</v>
      </c>
      <c r="H183" s="49">
        <f>VLOOKUP($A183,'Data Vlaue (Cr)'!$C:$FB,44)</f>
        <v>469</v>
      </c>
      <c r="I183" s="49">
        <f>VLOOKUP($A183,'Data Vlaue (Cr)'!$C:$FB,46)*100</f>
        <v>43.230000000000004</v>
      </c>
      <c r="J183" s="51">
        <f>VLOOKUP($A183,'Data Vlaue (Cr)'!$C:$FB,59)</f>
        <v>1480</v>
      </c>
      <c r="K183" s="51">
        <f>VLOOKUP($A183,'Data Vlaue (Cr)'!$C:$FB,60)</f>
        <v>1194</v>
      </c>
      <c r="L183" s="51">
        <f>VLOOKUP($A183,'Data Vlaue (Cr)'!$C:$FB,62)*100</f>
        <v>23.91</v>
      </c>
      <c r="M183" s="51">
        <f>VLOOKUP($A183,'Data Vlaue (Cr)'!$C:$FB,63)</f>
        <v>800</v>
      </c>
      <c r="N183" s="51">
        <f>VLOOKUP($A183,'Data Vlaue (Cr)'!$C:$FB,64)</f>
        <v>618</v>
      </c>
      <c r="O183" s="51">
        <f>VLOOKUP($A183,'Data Vlaue (Cr)'!$C:$FB,66)*100</f>
        <v>29.409999999999997</v>
      </c>
    </row>
    <row r="184" spans="1:15" x14ac:dyDescent="0.25">
      <c r="A184" s="101" t="str">
        <f>'Data Vlaue (Cr)'!C179</f>
        <v>PNBHOUSING</v>
      </c>
      <c r="B184" s="50">
        <f>VLOOKUP($A184,'Data Vlaue (Cr)'!$C:$FB,8)</f>
        <v>1086.5999999999999</v>
      </c>
      <c r="C184" s="50">
        <f>VLOOKUP($A184,'Data Vlaue (Cr)'!$C:$FB,11)*100</f>
        <v>0.22</v>
      </c>
      <c r="D184" s="50">
        <f>VLOOKUP($A184,'Data Vlaue (Cr)'!$C:$FB,143)</f>
        <v>2850.69</v>
      </c>
      <c r="E184" s="50">
        <f>VLOOKUP($A184,'Data Vlaue (Cr)'!$C:$FB,144)</f>
        <v>1226.76</v>
      </c>
      <c r="F184" s="50">
        <f>VLOOKUP($A184,'Data Vlaue (Cr)'!$C:$FB,146)*100</f>
        <v>132.38</v>
      </c>
      <c r="G184" s="49">
        <f>VLOOKUP($A184,'Data Vlaue (Cr)'!$C:$FB,43)</f>
        <v>565</v>
      </c>
      <c r="H184" s="49">
        <f>VLOOKUP($A184,'Data Vlaue (Cr)'!$C:$FB,44)</f>
        <v>320</v>
      </c>
      <c r="I184" s="49">
        <f>VLOOKUP($A184,'Data Vlaue (Cr)'!$C:$FB,46)*100</f>
        <v>76.42</v>
      </c>
      <c r="J184" s="51">
        <f>VLOOKUP($A184,'Data Vlaue (Cr)'!$C:$FB,59)</f>
        <v>1620</v>
      </c>
      <c r="K184" s="51">
        <f>VLOOKUP($A184,'Data Vlaue (Cr)'!$C:$FB,60)</f>
        <v>536</v>
      </c>
      <c r="L184" s="51">
        <f>VLOOKUP($A184,'Data Vlaue (Cr)'!$C:$FB,62)*100</f>
        <v>202.51000000000002</v>
      </c>
      <c r="M184" s="51">
        <f>VLOOKUP($A184,'Data Vlaue (Cr)'!$C:$FB,63)</f>
        <v>579</v>
      </c>
      <c r="N184" s="51">
        <f>VLOOKUP($A184,'Data Vlaue (Cr)'!$C:$FB,64)</f>
        <v>357</v>
      </c>
      <c r="O184" s="51">
        <f>VLOOKUP($A184,'Data Vlaue (Cr)'!$C:$FB,66)*100</f>
        <v>62.260000000000005</v>
      </c>
    </row>
    <row r="185" spans="1:15" x14ac:dyDescent="0.25">
      <c r="A185" s="101" t="str">
        <f>'Data Vlaue (Cr)'!C180</f>
        <v>POLICYBZR</v>
      </c>
      <c r="B185" s="50">
        <f>VLOOKUP($A185,'Data Vlaue (Cr)'!$C:$FB,8)</f>
        <v>1820.8</v>
      </c>
      <c r="C185" s="50">
        <f>VLOOKUP($A185,'Data Vlaue (Cr)'!$C:$FB,11)*100</f>
        <v>1.05</v>
      </c>
      <c r="D185" s="50">
        <f>VLOOKUP($A185,'Data Vlaue (Cr)'!$C:$FB,143)</f>
        <v>803.33</v>
      </c>
      <c r="E185" s="50">
        <f>VLOOKUP($A185,'Data Vlaue (Cr)'!$C:$FB,144)</f>
        <v>786.25</v>
      </c>
      <c r="F185" s="50">
        <f>VLOOKUP($A185,'Data Vlaue (Cr)'!$C:$FB,146)*100</f>
        <v>2.17</v>
      </c>
      <c r="G185" s="49">
        <f>VLOOKUP($A185,'Data Vlaue (Cr)'!$C:$FB,43)</f>
        <v>191</v>
      </c>
      <c r="H185" s="49">
        <f>VLOOKUP($A185,'Data Vlaue (Cr)'!$C:$FB,44)</f>
        <v>245</v>
      </c>
      <c r="I185" s="49">
        <f>VLOOKUP($A185,'Data Vlaue (Cr)'!$C:$FB,46)*100</f>
        <v>-22.25</v>
      </c>
      <c r="J185" s="51">
        <f>VLOOKUP($A185,'Data Vlaue (Cr)'!$C:$FB,59)</f>
        <v>436</v>
      </c>
      <c r="K185" s="51">
        <f>VLOOKUP($A185,'Data Vlaue (Cr)'!$C:$FB,60)</f>
        <v>380</v>
      </c>
      <c r="L185" s="51">
        <f>VLOOKUP($A185,'Data Vlaue (Cr)'!$C:$FB,62)*100</f>
        <v>14.6</v>
      </c>
      <c r="M185" s="51">
        <f>VLOOKUP($A185,'Data Vlaue (Cr)'!$C:$FB,63)</f>
        <v>168</v>
      </c>
      <c r="N185" s="51">
        <f>VLOOKUP($A185,'Data Vlaue (Cr)'!$C:$FB,64)</f>
        <v>166</v>
      </c>
      <c r="O185" s="51">
        <f>VLOOKUP($A185,'Data Vlaue (Cr)'!$C:$FB,66)*100</f>
        <v>1.24</v>
      </c>
    </row>
    <row r="186" spans="1:15" x14ac:dyDescent="0.25">
      <c r="A186" s="101" t="str">
        <f>'Data Vlaue (Cr)'!C181</f>
        <v>POLYCAB</v>
      </c>
      <c r="B186" s="50">
        <f>VLOOKUP($A186,'Data Vlaue (Cr)'!$C:$FB,8)</f>
        <v>6960.5</v>
      </c>
      <c r="C186" s="50">
        <f>VLOOKUP($A186,'Data Vlaue (Cr)'!$C:$FB,11)*100</f>
        <v>-1.1599999999999999</v>
      </c>
      <c r="D186" s="50">
        <f>VLOOKUP($A186,'Data Vlaue (Cr)'!$C:$FB,143)</f>
        <v>3081.64</v>
      </c>
      <c r="E186" s="50">
        <f>VLOOKUP($A186,'Data Vlaue (Cr)'!$C:$FB,144)</f>
        <v>7238.4</v>
      </c>
      <c r="F186" s="50">
        <f>VLOOKUP($A186,'Data Vlaue (Cr)'!$C:$FB,146)*100</f>
        <v>-57.430000000000007</v>
      </c>
      <c r="G186" s="49">
        <f>VLOOKUP($A186,'Data Vlaue (Cr)'!$C:$FB,43)</f>
        <v>299</v>
      </c>
      <c r="H186" s="49">
        <f>VLOOKUP($A186,'Data Vlaue (Cr)'!$C:$FB,44)</f>
        <v>703</v>
      </c>
      <c r="I186" s="49">
        <f>VLOOKUP($A186,'Data Vlaue (Cr)'!$C:$FB,46)*100</f>
        <v>-57.430000000000007</v>
      </c>
      <c r="J186" s="51">
        <f>VLOOKUP($A186,'Data Vlaue (Cr)'!$C:$FB,59)</f>
        <v>1723</v>
      </c>
      <c r="K186" s="51">
        <f>VLOOKUP($A186,'Data Vlaue (Cr)'!$C:$FB,60)</f>
        <v>4153</v>
      </c>
      <c r="L186" s="51">
        <f>VLOOKUP($A186,'Data Vlaue (Cr)'!$C:$FB,62)*100</f>
        <v>-58.5</v>
      </c>
      <c r="M186" s="51">
        <f>VLOOKUP($A186,'Data Vlaue (Cr)'!$C:$FB,63)</f>
        <v>994</v>
      </c>
      <c r="N186" s="51">
        <f>VLOOKUP($A186,'Data Vlaue (Cr)'!$C:$FB,64)</f>
        <v>2235</v>
      </c>
      <c r="O186" s="51">
        <f>VLOOKUP($A186,'Data Vlaue (Cr)'!$C:$FB,66)*100</f>
        <v>-55.54</v>
      </c>
    </row>
    <row r="187" spans="1:15" x14ac:dyDescent="0.25">
      <c r="A187" s="101" t="str">
        <f>'Data Vlaue (Cr)'!C182</f>
        <v>POONAWALLA</v>
      </c>
      <c r="B187" s="50">
        <f>VLOOKUP($A187,'Data Vlaue (Cr)'!$C:$FB,8)</f>
        <v>452.4</v>
      </c>
      <c r="C187" s="50">
        <f>VLOOKUP($A187,'Data Vlaue (Cr)'!$C:$FB,11)*100</f>
        <v>-1.41</v>
      </c>
      <c r="D187" s="50">
        <f>VLOOKUP($A187,'Data Vlaue (Cr)'!$C:$FB,143)</f>
        <v>319.60000000000002</v>
      </c>
      <c r="E187" s="50">
        <f>VLOOKUP($A187,'Data Vlaue (Cr)'!$C:$FB,144)</f>
        <v>889.13</v>
      </c>
      <c r="F187" s="50">
        <f>VLOOKUP($A187,'Data Vlaue (Cr)'!$C:$FB,146)*100</f>
        <v>-64.05</v>
      </c>
      <c r="G187" s="49">
        <f>VLOOKUP($A187,'Data Vlaue (Cr)'!$C:$FB,43)</f>
        <v>101</v>
      </c>
      <c r="H187" s="49">
        <f>VLOOKUP($A187,'Data Vlaue (Cr)'!$C:$FB,44)</f>
        <v>202</v>
      </c>
      <c r="I187" s="49">
        <f>VLOOKUP($A187,'Data Vlaue (Cr)'!$C:$FB,46)*100</f>
        <v>-49.87</v>
      </c>
      <c r="J187" s="51">
        <f>VLOOKUP($A187,'Data Vlaue (Cr)'!$C:$FB,59)</f>
        <v>156</v>
      </c>
      <c r="K187" s="51">
        <f>VLOOKUP($A187,'Data Vlaue (Cr)'!$C:$FB,60)</f>
        <v>528</v>
      </c>
      <c r="L187" s="51">
        <f>VLOOKUP($A187,'Data Vlaue (Cr)'!$C:$FB,62)*100</f>
        <v>-70.459999999999994</v>
      </c>
      <c r="M187" s="51">
        <f>VLOOKUP($A187,'Data Vlaue (Cr)'!$C:$FB,63)</f>
        <v>51</v>
      </c>
      <c r="N187" s="51">
        <f>VLOOKUP($A187,'Data Vlaue (Cr)'!$C:$FB,64)</f>
        <v>123</v>
      </c>
      <c r="O187" s="51">
        <f>VLOOKUP($A187,'Data Vlaue (Cr)'!$C:$FB,66)*100</f>
        <v>-58.08</v>
      </c>
    </row>
    <row r="188" spans="1:15" x14ac:dyDescent="0.25">
      <c r="A188" s="101" t="str">
        <f>'Data Vlaue (Cr)'!C183</f>
        <v>POWERGRID</v>
      </c>
      <c r="B188" s="50">
        <f>VLOOKUP($A188,'Data Vlaue (Cr)'!$C:$FB,8)</f>
        <v>297.8</v>
      </c>
      <c r="C188" s="50">
        <f>VLOOKUP($A188,'Data Vlaue (Cr)'!$C:$FB,11)*100</f>
        <v>0.27</v>
      </c>
      <c r="D188" s="50">
        <f>VLOOKUP($A188,'Data Vlaue (Cr)'!$C:$FB,143)</f>
        <v>890.14</v>
      </c>
      <c r="E188" s="50">
        <f>VLOOKUP($A188,'Data Vlaue (Cr)'!$C:$FB,144)</f>
        <v>891.37</v>
      </c>
      <c r="F188" s="50">
        <f>VLOOKUP($A188,'Data Vlaue (Cr)'!$C:$FB,146)*100</f>
        <v>-0.13999999999999999</v>
      </c>
      <c r="G188" s="49">
        <f>VLOOKUP($A188,'Data Vlaue (Cr)'!$C:$FB,43)</f>
        <v>198</v>
      </c>
      <c r="H188" s="49">
        <f>VLOOKUP($A188,'Data Vlaue (Cr)'!$C:$FB,44)</f>
        <v>210</v>
      </c>
      <c r="I188" s="49">
        <f>VLOOKUP($A188,'Data Vlaue (Cr)'!$C:$FB,46)*100</f>
        <v>-5.92</v>
      </c>
      <c r="J188" s="51">
        <f>VLOOKUP($A188,'Data Vlaue (Cr)'!$C:$FB,59)</f>
        <v>405</v>
      </c>
      <c r="K188" s="51">
        <f>VLOOKUP($A188,'Data Vlaue (Cr)'!$C:$FB,60)</f>
        <v>466</v>
      </c>
      <c r="L188" s="51">
        <f>VLOOKUP($A188,'Data Vlaue (Cr)'!$C:$FB,62)*100</f>
        <v>-12.959999999999999</v>
      </c>
      <c r="M188" s="51">
        <f>VLOOKUP($A188,'Data Vlaue (Cr)'!$C:$FB,63)</f>
        <v>276</v>
      </c>
      <c r="N188" s="51">
        <f>VLOOKUP($A188,'Data Vlaue (Cr)'!$C:$FB,64)</f>
        <v>207</v>
      </c>
      <c r="O188" s="51">
        <f>VLOOKUP($A188,'Data Vlaue (Cr)'!$C:$FB,66)*100</f>
        <v>33.17</v>
      </c>
    </row>
    <row r="189" spans="1:15" x14ac:dyDescent="0.25">
      <c r="A189" s="101" t="str">
        <f>'Data Vlaue (Cr)'!C231</f>
        <v>ZYDUSLIFE</v>
      </c>
      <c r="B189" s="50">
        <f>VLOOKUP($A189,'Data Vlaue (Cr)'!$C:$FB,8)</f>
        <v>956.75</v>
      </c>
      <c r="C189" s="50">
        <f>VLOOKUP($A189,'Data Vlaue (Cr)'!$C:$FB,11)*100</f>
        <v>-1.37</v>
      </c>
      <c r="D189" s="50">
        <f>VLOOKUP($A189,'Data Vlaue (Cr)'!$C:$FB,143)</f>
        <v>635.75</v>
      </c>
      <c r="E189" s="50">
        <f>VLOOKUP($A189,'Data Vlaue (Cr)'!$C:$FB,144)</f>
        <v>588.95000000000005</v>
      </c>
      <c r="F189" s="50">
        <f>VLOOKUP($A189,'Data Vlaue (Cr)'!$C:$FB,146)*100</f>
        <v>7.95</v>
      </c>
      <c r="G189" s="49">
        <f>VLOOKUP($A189,'Data Vlaue (Cr)'!$C:$FB,43)</f>
        <v>159</v>
      </c>
      <c r="H189" s="49">
        <f>VLOOKUP($A189,'Data Vlaue (Cr)'!$C:$FB,44)</f>
        <v>236</v>
      </c>
      <c r="I189" s="49">
        <f>VLOOKUP($A189,'Data Vlaue (Cr)'!$C:$FB,46)*100</f>
        <v>-32.65</v>
      </c>
      <c r="J189" s="51">
        <f>VLOOKUP($A189,'Data Vlaue (Cr)'!$C:$FB,59)</f>
        <v>309</v>
      </c>
      <c r="K189" s="51">
        <f>VLOOKUP($A189,'Data Vlaue (Cr)'!$C:$FB,60)</f>
        <v>258</v>
      </c>
      <c r="L189" s="51">
        <f>VLOOKUP($A189,'Data Vlaue (Cr)'!$C:$FB,62)*100</f>
        <v>19.420000000000002</v>
      </c>
      <c r="M189" s="51">
        <f>VLOOKUP($A189,'Data Vlaue (Cr)'!$C:$FB,63)</f>
        <v>153</v>
      </c>
      <c r="N189" s="51">
        <f>VLOOKUP($A189,'Data Vlaue (Cr)'!$C:$FB,64)</f>
        <v>74</v>
      </c>
      <c r="O189" s="51">
        <f>VLOOKUP($A189,'Data Vlaue (Cr)'!$C:$FB,66)*100</f>
        <v>105.4</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11529444.9</v>
      </c>
      <c r="E212" s="131">
        <f>SUM(E7:E211)</f>
        <v>13001579.979999997</v>
      </c>
      <c r="F212" s="132">
        <f>(D212-E212)/E212</f>
        <v>-0.11322739869035492</v>
      </c>
      <c r="G212" s="131">
        <f>SUM(G7:G211)</f>
        <v>84409</v>
      </c>
      <c r="H212" s="131">
        <f>SUM(H7:H211)</f>
        <v>90824</v>
      </c>
      <c r="I212" s="132">
        <f>(G212-H212)/H212</f>
        <v>-7.0631110719633572E-2</v>
      </c>
      <c r="J212" s="131">
        <f>SUM(J7:J211)</f>
        <v>5828184</v>
      </c>
      <c r="K212" s="131">
        <f>SUM(K7:K211)</f>
        <v>7022363</v>
      </c>
      <c r="L212" s="132">
        <f>(J212-K212)/K212</f>
        <v>-0.1700537269292402</v>
      </c>
      <c r="M212" s="131">
        <f>SUM(M7:M211)</f>
        <v>5571503</v>
      </c>
      <c r="N212" s="131">
        <f>SUM(N7:N211)</f>
        <v>5863792</v>
      </c>
      <c r="O212" s="132">
        <f>(M212-N212)/N212</f>
        <v>-4.9846413378919305E-2</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45860</v>
      </c>
      <c r="C6" s="34" t="s">
        <v>328</v>
      </c>
      <c r="D6" s="21">
        <f>B6</f>
        <v>45860</v>
      </c>
      <c r="E6" s="34" t="s">
        <v>322</v>
      </c>
      <c r="F6" s="34" t="s">
        <v>328</v>
      </c>
      <c r="G6" s="21">
        <f>D6</f>
        <v>45860</v>
      </c>
      <c r="H6" s="34" t="s">
        <v>322</v>
      </c>
      <c r="I6" s="34" t="s">
        <v>328</v>
      </c>
      <c r="J6" s="21">
        <f>D6</f>
        <v>45860</v>
      </c>
      <c r="K6" s="34" t="s">
        <v>322</v>
      </c>
      <c r="L6" s="34" t="s">
        <v>328</v>
      </c>
      <c r="M6" s="21">
        <f>D6</f>
        <v>45860</v>
      </c>
      <c r="N6" s="34" t="s">
        <v>322</v>
      </c>
      <c r="O6" s="34" t="s">
        <v>328</v>
      </c>
    </row>
    <row r="7" spans="1:15" x14ac:dyDescent="0.25">
      <c r="A7" s="101" t="str">
        <f>'Data shares'!C2</f>
        <v>360ONE</v>
      </c>
      <c r="B7" s="50">
        <f>VLOOKUP($A7,'Data shares'!$C:$FB,7)</f>
        <v>1144.0999999999999</v>
      </c>
      <c r="C7" s="50">
        <f>VLOOKUP($A7,'Data shares'!$C:$FB,10)*100</f>
        <v>-6.3100000000000005</v>
      </c>
      <c r="D7" s="49">
        <f>VLOOKUP($A7,'Data shares'!$C:$FB,66)</f>
        <v>22201000</v>
      </c>
      <c r="E7" s="49">
        <f>VLOOKUP($A7,'Data shares'!$C:$FB,67)</f>
        <v>3594000</v>
      </c>
      <c r="F7" s="50">
        <f>VLOOKUP($A7,'Data shares'!$C:$FB,69)*100</f>
        <v>517.72</v>
      </c>
      <c r="G7" s="49">
        <f>VLOOKUP($A7,'Data shares'!$C:$FB,42)</f>
        <v>6619500</v>
      </c>
      <c r="H7" s="49">
        <f>VLOOKUP($A7,'Data shares'!$C:$FB,43)</f>
        <v>577000</v>
      </c>
      <c r="I7" s="50">
        <f>VLOOKUP($A7,'Data shares'!$C:$FB,45)*100</f>
        <v>1047.23</v>
      </c>
      <c r="J7" s="49">
        <f>VLOOKUP($A7,'Data shares'!$C:$FB,58)</f>
        <v>8797000</v>
      </c>
      <c r="K7" s="49">
        <f>VLOOKUP($A7,'Data shares'!$C:$FB,59)</f>
        <v>2378000</v>
      </c>
      <c r="L7" s="50">
        <f>VLOOKUP($A7,'Data shares'!$C:$FB,61)*100</f>
        <v>269.93</v>
      </c>
      <c r="M7" s="49">
        <f>VLOOKUP($A7,'Data shares'!$C:$FB,62)</f>
        <v>6784500</v>
      </c>
      <c r="N7" s="49">
        <f>VLOOKUP($A7,'Data shares'!$C:$FB,63)</f>
        <v>639000</v>
      </c>
      <c r="O7" s="140">
        <f>VLOOKUP($A7,'Data shares'!$C:$FB,65)*100</f>
        <v>961.74</v>
      </c>
    </row>
    <row r="8" spans="1:15" x14ac:dyDescent="0.25">
      <c r="A8" s="101" t="str">
        <f>'Data shares'!C3</f>
        <v>AARTIIND</v>
      </c>
      <c r="B8" s="50">
        <f>VLOOKUP($A8,'Data shares'!$C:$FB,7)</f>
        <v>422.95</v>
      </c>
      <c r="C8" s="50">
        <f>VLOOKUP($A8,'Data shares'!$C:$FB,10)*100</f>
        <v>-4.29</v>
      </c>
      <c r="D8" s="49">
        <f>VLOOKUP($A8,'Data shares'!$C:$FB,66)</f>
        <v>44213925</v>
      </c>
      <c r="E8" s="49">
        <f>VLOOKUP($A8,'Data shares'!$C:$FB,67)</f>
        <v>12156875</v>
      </c>
      <c r="F8" s="50">
        <f>VLOOKUP($A8,'Data shares'!$C:$FB,69)*100</f>
        <v>263.69</v>
      </c>
      <c r="G8" s="49">
        <f>VLOOKUP($A8,'Data shares'!$C:$FB,42)</f>
        <v>5640525</v>
      </c>
      <c r="H8" s="49">
        <f>VLOOKUP($A8,'Data shares'!$C:$FB,43)</f>
        <v>2184925</v>
      </c>
      <c r="I8" s="50">
        <f>VLOOKUP($A8,'Data shares'!$C:$FB,45)*100</f>
        <v>158.16</v>
      </c>
      <c r="J8" s="49">
        <f>VLOOKUP($A8,'Data shares'!$C:$FB,58)</f>
        <v>25531425</v>
      </c>
      <c r="K8" s="49">
        <f>VLOOKUP($A8,'Data shares'!$C:$FB,59)</f>
        <v>8236200</v>
      </c>
      <c r="L8" s="50">
        <f>VLOOKUP($A8,'Data shares'!$C:$FB,61)*100</f>
        <v>209.98999999999998</v>
      </c>
      <c r="M8" s="49">
        <f>VLOOKUP($A8,'Data shares'!$C:$FB,62)</f>
        <v>13041975</v>
      </c>
      <c r="N8" s="49">
        <f>VLOOKUP($A8,'Data shares'!$C:$FB,63)</f>
        <v>1735750</v>
      </c>
      <c r="O8" s="140">
        <f>VLOOKUP($A8,'Data shares'!$C:$FB,65)*100</f>
        <v>651.37</v>
      </c>
    </row>
    <row r="9" spans="1:15" x14ac:dyDescent="0.25">
      <c r="A9" s="101" t="str">
        <f>'Data shares'!C4</f>
        <v>ABB</v>
      </c>
      <c r="B9" s="50">
        <f>VLOOKUP($A9,'Data shares'!$C:$FB,7)</f>
        <v>5755</v>
      </c>
      <c r="C9" s="50">
        <f>VLOOKUP($A9,'Data shares'!$C:$FB,10)*100</f>
        <v>-1.39</v>
      </c>
      <c r="D9" s="49">
        <f>VLOOKUP($A9,'Data shares'!$C:$FB,66)</f>
        <v>3811750</v>
      </c>
      <c r="E9" s="49">
        <f>VLOOKUP($A9,'Data shares'!$C:$FB,67)</f>
        <v>8792000</v>
      </c>
      <c r="F9" s="50">
        <f>VLOOKUP($A9,'Data shares'!$C:$FB,69)*100</f>
        <v>-56.65</v>
      </c>
      <c r="G9" s="49">
        <f>VLOOKUP($A9,'Data shares'!$C:$FB,42)</f>
        <v>473000</v>
      </c>
      <c r="H9" s="49">
        <f>VLOOKUP($A9,'Data shares'!$C:$FB,43)</f>
        <v>1110750</v>
      </c>
      <c r="I9" s="50">
        <f>VLOOKUP($A9,'Data shares'!$C:$FB,45)*100</f>
        <v>-57.42</v>
      </c>
      <c r="J9" s="49">
        <f>VLOOKUP($A9,'Data shares'!$C:$FB,58)</f>
        <v>2069250</v>
      </c>
      <c r="K9" s="49">
        <f>VLOOKUP($A9,'Data shares'!$C:$FB,59)</f>
        <v>5473375</v>
      </c>
      <c r="L9" s="50">
        <f>VLOOKUP($A9,'Data shares'!$C:$FB,61)*100</f>
        <v>-62.19</v>
      </c>
      <c r="M9" s="49">
        <f>VLOOKUP($A9,'Data shares'!$C:$FB,62)</f>
        <v>1269500</v>
      </c>
      <c r="N9" s="49">
        <f>VLOOKUP($A9,'Data shares'!$C:$FB,63)</f>
        <v>2207875</v>
      </c>
      <c r="O9" s="140">
        <f>VLOOKUP($A9,'Data shares'!$C:$FB,65)*100</f>
        <v>-42.5</v>
      </c>
    </row>
    <row r="10" spans="1:15" x14ac:dyDescent="0.25">
      <c r="A10" s="101" t="str">
        <f>'Data shares'!C5</f>
        <v>ABCAPITAL</v>
      </c>
      <c r="B10" s="50">
        <f>VLOOKUP($A10,'Data shares'!$C:$FB,7)</f>
        <v>268.55</v>
      </c>
      <c r="C10" s="50">
        <f>VLOOKUP($A10,'Data shares'!$C:$FB,10)*100</f>
        <v>-0.91999999999999993</v>
      </c>
      <c r="D10" s="49">
        <f>VLOOKUP($A10,'Data shares'!$C:$FB,66)</f>
        <v>29422100</v>
      </c>
      <c r="E10" s="49">
        <f>VLOOKUP($A10,'Data shares'!$C:$FB,67)</f>
        <v>47222300</v>
      </c>
      <c r="F10" s="50">
        <f>VLOOKUP($A10,'Data shares'!$C:$FB,69)*100</f>
        <v>-37.69</v>
      </c>
      <c r="G10" s="49">
        <f>VLOOKUP($A10,'Data shares'!$C:$FB,42)</f>
        <v>7024600</v>
      </c>
      <c r="H10" s="49">
        <f>VLOOKUP($A10,'Data shares'!$C:$FB,43)</f>
        <v>10654700</v>
      </c>
      <c r="I10" s="50">
        <f>VLOOKUP($A10,'Data shares'!$C:$FB,45)*100</f>
        <v>-34.07</v>
      </c>
      <c r="J10" s="49">
        <f>VLOOKUP($A10,'Data shares'!$C:$FB,58)</f>
        <v>14387100</v>
      </c>
      <c r="K10" s="49">
        <f>VLOOKUP($A10,'Data shares'!$C:$FB,59)</f>
        <v>22289000</v>
      </c>
      <c r="L10" s="50">
        <f>VLOOKUP($A10,'Data shares'!$C:$FB,61)*100</f>
        <v>-35.449999999999996</v>
      </c>
      <c r="M10" s="49">
        <f>VLOOKUP($A10,'Data shares'!$C:$FB,62)</f>
        <v>8010400</v>
      </c>
      <c r="N10" s="49">
        <f>VLOOKUP($A10,'Data shares'!$C:$FB,63)</f>
        <v>14278600</v>
      </c>
      <c r="O10" s="140">
        <f>VLOOKUP($A10,'Data shares'!$C:$FB,65)*100</f>
        <v>-43.9</v>
      </c>
    </row>
    <row r="11" spans="1:15" x14ac:dyDescent="0.25">
      <c r="A11" s="101" t="str">
        <f>'Data shares'!C6</f>
        <v>ABFRL</v>
      </c>
      <c r="B11" s="50">
        <f>VLOOKUP($A11,'Data shares'!$C:$FB,7)</f>
        <v>75.64</v>
      </c>
      <c r="C11" s="50">
        <f>VLOOKUP($A11,'Data shares'!$C:$FB,10)*100</f>
        <v>0.72</v>
      </c>
      <c r="D11" s="49">
        <f>VLOOKUP($A11,'Data shares'!$C:$FB,66)</f>
        <v>21424000</v>
      </c>
      <c r="E11" s="49">
        <f>VLOOKUP($A11,'Data shares'!$C:$FB,67)</f>
        <v>17654000</v>
      </c>
      <c r="F11" s="50">
        <f>VLOOKUP($A11,'Data shares'!$C:$FB,69)*100</f>
        <v>21.349999999999998</v>
      </c>
      <c r="G11" s="49">
        <f>VLOOKUP($A11,'Data shares'!$C:$FB,42)</f>
        <v>6955000</v>
      </c>
      <c r="H11" s="49">
        <f>VLOOKUP($A11,'Data shares'!$C:$FB,43)</f>
        <v>5558800</v>
      </c>
      <c r="I11" s="50">
        <f>VLOOKUP($A11,'Data shares'!$C:$FB,45)*100</f>
        <v>25.119999999999997</v>
      </c>
      <c r="J11" s="49">
        <f>VLOOKUP($A11,'Data shares'!$C:$FB,58)</f>
        <v>11499800</v>
      </c>
      <c r="K11" s="49">
        <f>VLOOKUP($A11,'Data shares'!$C:$FB,59)</f>
        <v>9217000</v>
      </c>
      <c r="L11" s="50">
        <f>VLOOKUP($A11,'Data shares'!$C:$FB,61)*100</f>
        <v>24.77</v>
      </c>
      <c r="M11" s="49">
        <f>VLOOKUP($A11,'Data shares'!$C:$FB,62)</f>
        <v>2969200</v>
      </c>
      <c r="N11" s="49">
        <f>VLOOKUP($A11,'Data shares'!$C:$FB,63)</f>
        <v>2878200</v>
      </c>
      <c r="O11" s="140">
        <f>VLOOKUP($A11,'Data shares'!$C:$FB,65)*100</f>
        <v>3.16</v>
      </c>
    </row>
    <row r="12" spans="1:15" x14ac:dyDescent="0.25">
      <c r="A12" s="101" t="str">
        <f>'Data shares'!C7</f>
        <v>ACC</v>
      </c>
      <c r="B12" s="50">
        <f>VLOOKUP($A12,'Data shares'!$C:$FB,7)</f>
        <v>1958.9</v>
      </c>
      <c r="C12" s="50">
        <f>VLOOKUP($A12,'Data shares'!$C:$FB,10)*100</f>
        <v>-0.9900000000000001</v>
      </c>
      <c r="D12" s="49">
        <f>VLOOKUP($A12,'Data shares'!$C:$FB,66)</f>
        <v>2491800</v>
      </c>
      <c r="E12" s="49">
        <f>VLOOKUP($A12,'Data shares'!$C:$FB,67)</f>
        <v>2193600</v>
      </c>
      <c r="F12" s="50">
        <f>VLOOKUP($A12,'Data shares'!$C:$FB,69)*100</f>
        <v>13.59</v>
      </c>
      <c r="G12" s="49">
        <f>VLOOKUP($A12,'Data shares'!$C:$FB,42)</f>
        <v>585300</v>
      </c>
      <c r="H12" s="49">
        <f>VLOOKUP($A12,'Data shares'!$C:$FB,43)</f>
        <v>643200</v>
      </c>
      <c r="I12" s="50">
        <f>VLOOKUP($A12,'Data shares'!$C:$FB,45)*100</f>
        <v>-9</v>
      </c>
      <c r="J12" s="49">
        <f>VLOOKUP($A12,'Data shares'!$C:$FB,58)</f>
        <v>1554300</v>
      </c>
      <c r="K12" s="49">
        <f>VLOOKUP($A12,'Data shares'!$C:$FB,59)</f>
        <v>1224300</v>
      </c>
      <c r="L12" s="50">
        <f>VLOOKUP($A12,'Data shares'!$C:$FB,61)*100</f>
        <v>26.950000000000003</v>
      </c>
      <c r="M12" s="49">
        <f>VLOOKUP($A12,'Data shares'!$C:$FB,62)</f>
        <v>352200</v>
      </c>
      <c r="N12" s="49">
        <f>VLOOKUP($A12,'Data shares'!$C:$FB,63)</f>
        <v>326100</v>
      </c>
      <c r="O12" s="140">
        <f>VLOOKUP($A12,'Data shares'!$C:$FB,65)*100</f>
        <v>8</v>
      </c>
    </row>
    <row r="13" spans="1:15" x14ac:dyDescent="0.25">
      <c r="A13" s="101" t="str">
        <f>'Data shares'!C8</f>
        <v>ADANIENSOL</v>
      </c>
      <c r="B13" s="50">
        <f>VLOOKUP($A13,'Data shares'!$C:$FB,7)</f>
        <v>867.2</v>
      </c>
      <c r="C13" s="50">
        <f>VLOOKUP($A13,'Data shares'!$C:$FB,10)*100</f>
        <v>-0.51</v>
      </c>
      <c r="D13" s="49">
        <f>VLOOKUP($A13,'Data shares'!$C:$FB,66)</f>
        <v>3111750</v>
      </c>
      <c r="E13" s="49">
        <f>VLOOKUP($A13,'Data shares'!$C:$FB,67)</f>
        <v>4739850</v>
      </c>
      <c r="F13" s="50">
        <f>VLOOKUP($A13,'Data shares'!$C:$FB,69)*100</f>
        <v>-34.35</v>
      </c>
      <c r="G13" s="49">
        <f>VLOOKUP($A13,'Data shares'!$C:$FB,42)</f>
        <v>867375</v>
      </c>
      <c r="H13" s="49">
        <f>VLOOKUP($A13,'Data shares'!$C:$FB,43)</f>
        <v>1256850</v>
      </c>
      <c r="I13" s="50">
        <f>VLOOKUP($A13,'Data shares'!$C:$FB,45)*100</f>
        <v>-30.990000000000002</v>
      </c>
      <c r="J13" s="49">
        <f>VLOOKUP($A13,'Data shares'!$C:$FB,58)</f>
        <v>1777950</v>
      </c>
      <c r="K13" s="49">
        <f>VLOOKUP($A13,'Data shares'!$C:$FB,59)</f>
        <v>2388150</v>
      </c>
      <c r="L13" s="50">
        <f>VLOOKUP($A13,'Data shares'!$C:$FB,61)*100</f>
        <v>-25.55</v>
      </c>
      <c r="M13" s="49">
        <f>VLOOKUP($A13,'Data shares'!$C:$FB,62)</f>
        <v>466425</v>
      </c>
      <c r="N13" s="49">
        <f>VLOOKUP($A13,'Data shares'!$C:$FB,63)</f>
        <v>1094850</v>
      </c>
      <c r="O13" s="140">
        <f>VLOOKUP($A13,'Data shares'!$C:$FB,65)*100</f>
        <v>-57.4</v>
      </c>
    </row>
    <row r="14" spans="1:15" x14ac:dyDescent="0.25">
      <c r="A14" s="101" t="str">
        <f>'Data shares'!C9</f>
        <v>ADANIENT</v>
      </c>
      <c r="B14" s="50">
        <f>VLOOKUP($A14,'Data shares'!$C:$FB,7)</f>
        <v>2587.8000000000002</v>
      </c>
      <c r="C14" s="50">
        <f>VLOOKUP($A14,'Data shares'!$C:$FB,10)*100</f>
        <v>-1.21</v>
      </c>
      <c r="D14" s="49">
        <f>VLOOKUP($A14,'Data shares'!$C:$FB,66)</f>
        <v>7468500</v>
      </c>
      <c r="E14" s="49">
        <f>VLOOKUP($A14,'Data shares'!$C:$FB,67)</f>
        <v>7882800</v>
      </c>
      <c r="F14" s="50">
        <f>VLOOKUP($A14,'Data shares'!$C:$FB,69)*100</f>
        <v>-5.26</v>
      </c>
      <c r="G14" s="49">
        <f>VLOOKUP($A14,'Data shares'!$C:$FB,42)</f>
        <v>1156200</v>
      </c>
      <c r="H14" s="49">
        <f>VLOOKUP($A14,'Data shares'!$C:$FB,43)</f>
        <v>1234200</v>
      </c>
      <c r="I14" s="50">
        <f>VLOOKUP($A14,'Data shares'!$C:$FB,45)*100</f>
        <v>-6.32</v>
      </c>
      <c r="J14" s="49">
        <f>VLOOKUP($A14,'Data shares'!$C:$FB,58)</f>
        <v>4309200</v>
      </c>
      <c r="K14" s="49">
        <f>VLOOKUP($A14,'Data shares'!$C:$FB,59)</f>
        <v>4297200</v>
      </c>
      <c r="L14" s="50">
        <f>VLOOKUP($A14,'Data shares'!$C:$FB,61)*100</f>
        <v>0.27999999999999997</v>
      </c>
      <c r="M14" s="49">
        <f>VLOOKUP($A14,'Data shares'!$C:$FB,62)</f>
        <v>2003100</v>
      </c>
      <c r="N14" s="49">
        <f>VLOOKUP($A14,'Data shares'!$C:$FB,63)</f>
        <v>2351400</v>
      </c>
      <c r="O14" s="140">
        <f>VLOOKUP($A14,'Data shares'!$C:$FB,65)*100</f>
        <v>-14.81</v>
      </c>
    </row>
    <row r="15" spans="1:15" x14ac:dyDescent="0.25">
      <c r="A15" s="101" t="str">
        <f>'Data shares'!C10</f>
        <v>ADANIGREEN</v>
      </c>
      <c r="B15" s="50">
        <f>VLOOKUP($A15,'Data shares'!$C:$FB,7)</f>
        <v>1013.7</v>
      </c>
      <c r="C15" s="50">
        <f>VLOOKUP($A15,'Data shares'!$C:$FB,10)*100</f>
        <v>-2.21</v>
      </c>
      <c r="D15" s="49">
        <f>VLOOKUP($A15,'Data shares'!$C:$FB,66)</f>
        <v>15100200</v>
      </c>
      <c r="E15" s="49">
        <f>VLOOKUP($A15,'Data shares'!$C:$FB,67)</f>
        <v>8604600</v>
      </c>
      <c r="F15" s="50">
        <f>VLOOKUP($A15,'Data shares'!$C:$FB,69)*100</f>
        <v>75.489999999999995</v>
      </c>
      <c r="G15" s="49">
        <f>VLOOKUP($A15,'Data shares'!$C:$FB,42)</f>
        <v>3250200</v>
      </c>
      <c r="H15" s="49">
        <f>VLOOKUP($A15,'Data shares'!$C:$FB,43)</f>
        <v>1437600</v>
      </c>
      <c r="I15" s="50">
        <f>VLOOKUP($A15,'Data shares'!$C:$FB,45)*100</f>
        <v>126.08999999999999</v>
      </c>
      <c r="J15" s="49">
        <f>VLOOKUP($A15,'Data shares'!$C:$FB,58)</f>
        <v>8539200</v>
      </c>
      <c r="K15" s="49">
        <f>VLOOKUP($A15,'Data shares'!$C:$FB,59)</f>
        <v>5951400</v>
      </c>
      <c r="L15" s="50">
        <f>VLOOKUP($A15,'Data shares'!$C:$FB,61)*100</f>
        <v>43.480000000000004</v>
      </c>
      <c r="M15" s="49">
        <f>VLOOKUP($A15,'Data shares'!$C:$FB,62)</f>
        <v>3310800</v>
      </c>
      <c r="N15" s="49">
        <f>VLOOKUP($A15,'Data shares'!$C:$FB,63)</f>
        <v>1215600</v>
      </c>
      <c r="O15" s="140">
        <f>VLOOKUP($A15,'Data shares'!$C:$FB,65)*100</f>
        <v>172.36</v>
      </c>
    </row>
    <row r="16" spans="1:15" x14ac:dyDescent="0.25">
      <c r="A16" s="101" t="str">
        <f>'Data shares'!C11</f>
        <v>ADANIPORTS</v>
      </c>
      <c r="B16" s="50">
        <f>VLOOKUP($A16,'Data shares'!$C:$FB,7)</f>
        <v>1420.7</v>
      </c>
      <c r="C16" s="50">
        <f>VLOOKUP($A16,'Data shares'!$C:$FB,10)*100</f>
        <v>-2.0500000000000003</v>
      </c>
      <c r="D16" s="49">
        <f>VLOOKUP($A16,'Data shares'!$C:$FB,66)</f>
        <v>13706600</v>
      </c>
      <c r="E16" s="49">
        <f>VLOOKUP($A16,'Data shares'!$C:$FB,67)</f>
        <v>10416275</v>
      </c>
      <c r="F16" s="50">
        <f>VLOOKUP($A16,'Data shares'!$C:$FB,69)*100</f>
        <v>31.59</v>
      </c>
      <c r="G16" s="49">
        <f>VLOOKUP($A16,'Data shares'!$C:$FB,42)</f>
        <v>3339725</v>
      </c>
      <c r="H16" s="49">
        <f>VLOOKUP($A16,'Data shares'!$C:$FB,43)</f>
        <v>1699075</v>
      </c>
      <c r="I16" s="50">
        <f>VLOOKUP($A16,'Data shares'!$C:$FB,45)*100</f>
        <v>96.56</v>
      </c>
      <c r="J16" s="49">
        <f>VLOOKUP($A16,'Data shares'!$C:$FB,58)</f>
        <v>6598700</v>
      </c>
      <c r="K16" s="49">
        <f>VLOOKUP($A16,'Data shares'!$C:$FB,59)</f>
        <v>6281875</v>
      </c>
      <c r="L16" s="50">
        <f>VLOOKUP($A16,'Data shares'!$C:$FB,61)*100</f>
        <v>5.04</v>
      </c>
      <c r="M16" s="49">
        <f>VLOOKUP($A16,'Data shares'!$C:$FB,62)</f>
        <v>3768175</v>
      </c>
      <c r="N16" s="49">
        <f>VLOOKUP($A16,'Data shares'!$C:$FB,63)</f>
        <v>2435325</v>
      </c>
      <c r="O16" s="140">
        <f>VLOOKUP($A16,'Data shares'!$C:$FB,65)*100</f>
        <v>54.730000000000004</v>
      </c>
    </row>
    <row r="17" spans="1:15" x14ac:dyDescent="0.25">
      <c r="A17" s="101" t="str">
        <f>'Data shares'!C12</f>
        <v>ALKEM</v>
      </c>
      <c r="B17" s="50">
        <f>VLOOKUP($A17,'Data shares'!$C:$FB,7)</f>
        <v>4971.8</v>
      </c>
      <c r="C17" s="50">
        <f>VLOOKUP($A17,'Data shares'!$C:$FB,10)*100</f>
        <v>-0.55999999999999994</v>
      </c>
      <c r="D17" s="49">
        <f>VLOOKUP($A17,'Data shares'!$C:$FB,66)</f>
        <v>466625</v>
      </c>
      <c r="E17" s="49">
        <f>VLOOKUP($A17,'Data shares'!$C:$FB,67)</f>
        <v>302625</v>
      </c>
      <c r="F17" s="50">
        <f>VLOOKUP($A17,'Data shares'!$C:$FB,69)*100</f>
        <v>54.190000000000005</v>
      </c>
      <c r="G17" s="49">
        <f>VLOOKUP($A17,'Data shares'!$C:$FB,42)</f>
        <v>116750</v>
      </c>
      <c r="H17" s="49">
        <f>VLOOKUP($A17,'Data shares'!$C:$FB,43)</f>
        <v>114500</v>
      </c>
      <c r="I17" s="50">
        <f>VLOOKUP($A17,'Data shares'!$C:$FB,45)*100</f>
        <v>1.97</v>
      </c>
      <c r="J17" s="49">
        <f>VLOOKUP($A17,'Data shares'!$C:$FB,58)</f>
        <v>262500</v>
      </c>
      <c r="K17" s="49">
        <f>VLOOKUP($A17,'Data shares'!$C:$FB,59)</f>
        <v>112500</v>
      </c>
      <c r="L17" s="50">
        <f>VLOOKUP($A17,'Data shares'!$C:$FB,61)*100</f>
        <v>133.32999999999998</v>
      </c>
      <c r="M17" s="49">
        <f>VLOOKUP($A17,'Data shares'!$C:$FB,62)</f>
        <v>87375</v>
      </c>
      <c r="N17" s="49">
        <f>VLOOKUP($A17,'Data shares'!$C:$FB,63)</f>
        <v>75625</v>
      </c>
      <c r="O17" s="140">
        <f>VLOOKUP($A17,'Data shares'!$C:$FB,65)*100</f>
        <v>15.540000000000001</v>
      </c>
    </row>
    <row r="18" spans="1:15" x14ac:dyDescent="0.25">
      <c r="A18" s="101" t="str">
        <f>'Data shares'!C13</f>
        <v>AMBER</v>
      </c>
      <c r="B18" s="50">
        <f>VLOOKUP($A18,'Data shares'!$C:$FB,7)</f>
        <v>7369</v>
      </c>
      <c r="C18" s="50">
        <f>VLOOKUP($A18,'Data shares'!$C:$FB,10)*100</f>
        <v>-1.35</v>
      </c>
      <c r="D18" s="49">
        <f>VLOOKUP($A18,'Data shares'!$C:$FB,66)</f>
        <v>596300</v>
      </c>
      <c r="E18" s="49">
        <f>VLOOKUP($A18,'Data shares'!$C:$FB,67)</f>
        <v>663000</v>
      </c>
      <c r="F18" s="50">
        <f>VLOOKUP($A18,'Data shares'!$C:$FB,69)*100</f>
        <v>-10.059999999999999</v>
      </c>
      <c r="G18" s="49">
        <f>VLOOKUP($A18,'Data shares'!$C:$FB,42)</f>
        <v>114100</v>
      </c>
      <c r="H18" s="49">
        <f>VLOOKUP($A18,'Data shares'!$C:$FB,43)</f>
        <v>133100</v>
      </c>
      <c r="I18" s="50">
        <f>VLOOKUP($A18,'Data shares'!$C:$FB,45)*100</f>
        <v>-14.27</v>
      </c>
      <c r="J18" s="49">
        <f>VLOOKUP($A18,'Data shares'!$C:$FB,58)</f>
        <v>400500</v>
      </c>
      <c r="K18" s="49">
        <f>VLOOKUP($A18,'Data shares'!$C:$FB,59)</f>
        <v>387200</v>
      </c>
      <c r="L18" s="50">
        <f>VLOOKUP($A18,'Data shares'!$C:$FB,61)*100</f>
        <v>3.4299999999999997</v>
      </c>
      <c r="M18" s="49">
        <f>VLOOKUP($A18,'Data shares'!$C:$FB,62)</f>
        <v>81700</v>
      </c>
      <c r="N18" s="49">
        <f>VLOOKUP($A18,'Data shares'!$C:$FB,63)</f>
        <v>142700</v>
      </c>
      <c r="O18" s="140">
        <f>VLOOKUP($A18,'Data shares'!$C:$FB,65)*100</f>
        <v>-42.75</v>
      </c>
    </row>
    <row r="19" spans="1:15" x14ac:dyDescent="0.25">
      <c r="A19" s="101" t="str">
        <f>'Data shares'!C14</f>
        <v>AMBUJACEM</v>
      </c>
      <c r="B19" s="50">
        <f>VLOOKUP($A19,'Data shares'!$C:$FB,7)</f>
        <v>620.54999999999995</v>
      </c>
      <c r="C19" s="50">
        <f>VLOOKUP($A19,'Data shares'!$C:$FB,10)*100</f>
        <v>1.1900000000000002</v>
      </c>
      <c r="D19" s="49">
        <f>VLOOKUP($A19,'Data shares'!$C:$FB,66)</f>
        <v>51956100</v>
      </c>
      <c r="E19" s="49">
        <f>VLOOKUP($A19,'Data shares'!$C:$FB,67)</f>
        <v>51826950</v>
      </c>
      <c r="F19" s="50">
        <f>VLOOKUP($A19,'Data shares'!$C:$FB,69)*100</f>
        <v>0.25</v>
      </c>
      <c r="G19" s="49">
        <f>VLOOKUP($A19,'Data shares'!$C:$FB,42)</f>
        <v>9133950</v>
      </c>
      <c r="H19" s="49">
        <f>VLOOKUP($A19,'Data shares'!$C:$FB,43)</f>
        <v>7115850</v>
      </c>
      <c r="I19" s="50">
        <f>VLOOKUP($A19,'Data shares'!$C:$FB,45)*100</f>
        <v>28.360000000000003</v>
      </c>
      <c r="J19" s="49">
        <f>VLOOKUP($A19,'Data shares'!$C:$FB,58)</f>
        <v>30831150</v>
      </c>
      <c r="K19" s="49">
        <f>VLOOKUP($A19,'Data shares'!$C:$FB,59)</f>
        <v>35318850</v>
      </c>
      <c r="L19" s="50">
        <f>VLOOKUP($A19,'Data shares'!$C:$FB,61)*100</f>
        <v>-12.709999999999999</v>
      </c>
      <c r="M19" s="49">
        <f>VLOOKUP($A19,'Data shares'!$C:$FB,62)</f>
        <v>11991000</v>
      </c>
      <c r="N19" s="49">
        <f>VLOOKUP($A19,'Data shares'!$C:$FB,63)</f>
        <v>9392250</v>
      </c>
      <c r="O19" s="140">
        <f>VLOOKUP($A19,'Data shares'!$C:$FB,65)*100</f>
        <v>27.67</v>
      </c>
    </row>
    <row r="20" spans="1:15" x14ac:dyDescent="0.25">
      <c r="A20" s="101" t="str">
        <f>'Data shares'!C15</f>
        <v>ANGELONE</v>
      </c>
      <c r="B20" s="50">
        <f>VLOOKUP($A20,'Data shares'!$C:$FB,7)</f>
        <v>2805.4</v>
      </c>
      <c r="C20" s="50">
        <f>VLOOKUP($A20,'Data shares'!$C:$FB,10)*100</f>
        <v>3.66</v>
      </c>
      <c r="D20" s="49">
        <f>VLOOKUP($A20,'Data shares'!$C:$FB,66)</f>
        <v>36755250</v>
      </c>
      <c r="E20" s="49">
        <f>VLOOKUP($A20,'Data shares'!$C:$FB,67)</f>
        <v>547750</v>
      </c>
      <c r="F20" s="50">
        <f>VLOOKUP($A20,'Data shares'!$C:$FB,69)*100</f>
        <v>6610.2199999999993</v>
      </c>
      <c r="G20" s="49">
        <f>VLOOKUP($A20,'Data shares'!$C:$FB,42)</f>
        <v>3391000</v>
      </c>
      <c r="H20" s="49">
        <f>VLOOKUP($A20,'Data shares'!$C:$FB,43)</f>
        <v>160250</v>
      </c>
      <c r="I20" s="50">
        <f>VLOOKUP($A20,'Data shares'!$C:$FB,45)*100</f>
        <v>2016.07</v>
      </c>
      <c r="J20" s="49">
        <f>VLOOKUP($A20,'Data shares'!$C:$FB,58)</f>
        <v>24923250</v>
      </c>
      <c r="K20" s="49">
        <f>VLOOKUP($A20,'Data shares'!$C:$FB,59)</f>
        <v>164750</v>
      </c>
      <c r="L20" s="50">
        <f>VLOOKUP($A20,'Data shares'!$C:$FB,61)*100</f>
        <v>15027.92</v>
      </c>
      <c r="M20" s="49">
        <f>VLOOKUP($A20,'Data shares'!$C:$FB,62)</f>
        <v>8441000</v>
      </c>
      <c r="N20" s="49">
        <f>VLOOKUP($A20,'Data shares'!$C:$FB,63)</f>
        <v>222750</v>
      </c>
      <c r="O20" s="140">
        <f>VLOOKUP($A20,'Data shares'!$C:$FB,65)*100</f>
        <v>3689.4500000000003</v>
      </c>
    </row>
    <row r="21" spans="1:15" x14ac:dyDescent="0.25">
      <c r="A21" s="101" t="str">
        <f>'Data shares'!C16</f>
        <v>APLAPOLLO</v>
      </c>
      <c r="B21" s="50">
        <f>VLOOKUP($A21,'Data shares'!$C:$FB,7)</f>
        <v>1660.4</v>
      </c>
      <c r="C21" s="50">
        <f>VLOOKUP($A21,'Data shares'!$C:$FB,10)*100</f>
        <v>-1.9</v>
      </c>
      <c r="D21" s="49">
        <f>VLOOKUP($A21,'Data shares'!$C:$FB,66)</f>
        <v>3097850</v>
      </c>
      <c r="E21" s="49">
        <f>VLOOKUP($A21,'Data shares'!$C:$FB,67)</f>
        <v>3129700</v>
      </c>
      <c r="F21" s="50">
        <f>VLOOKUP($A21,'Data shares'!$C:$FB,69)*100</f>
        <v>-1.02</v>
      </c>
      <c r="G21" s="49">
        <f>VLOOKUP($A21,'Data shares'!$C:$FB,42)</f>
        <v>992950</v>
      </c>
      <c r="H21" s="49">
        <f>VLOOKUP($A21,'Data shares'!$C:$FB,43)</f>
        <v>697200</v>
      </c>
      <c r="I21" s="50">
        <f>VLOOKUP($A21,'Data shares'!$C:$FB,45)*100</f>
        <v>42.42</v>
      </c>
      <c r="J21" s="49">
        <f>VLOOKUP($A21,'Data shares'!$C:$FB,58)</f>
        <v>1362900</v>
      </c>
      <c r="K21" s="49">
        <f>VLOOKUP($A21,'Data shares'!$C:$FB,59)</f>
        <v>1577800</v>
      </c>
      <c r="L21" s="50">
        <f>VLOOKUP($A21,'Data shares'!$C:$FB,61)*100</f>
        <v>-13.62</v>
      </c>
      <c r="M21" s="49">
        <f>VLOOKUP($A21,'Data shares'!$C:$FB,62)</f>
        <v>742000</v>
      </c>
      <c r="N21" s="49">
        <f>VLOOKUP($A21,'Data shares'!$C:$FB,63)</f>
        <v>854700</v>
      </c>
      <c r="O21" s="140">
        <f>VLOOKUP($A21,'Data shares'!$C:$FB,65)*100</f>
        <v>-13.19</v>
      </c>
    </row>
    <row r="22" spans="1:15" x14ac:dyDescent="0.25">
      <c r="A22" s="101" t="str">
        <f>'Data shares'!C17</f>
        <v>APOLLOHOSP</v>
      </c>
      <c r="B22" s="50">
        <f>VLOOKUP($A22,'Data shares'!$C:$FB,7)</f>
        <v>7246.5</v>
      </c>
      <c r="C22" s="50">
        <f>VLOOKUP($A22,'Data shares'!$C:$FB,10)*100</f>
        <v>-0.11</v>
      </c>
      <c r="D22" s="49">
        <f>VLOOKUP($A22,'Data shares'!$C:$FB,66)</f>
        <v>1809875</v>
      </c>
      <c r="E22" s="49">
        <f>VLOOKUP($A22,'Data shares'!$C:$FB,67)</f>
        <v>2130000</v>
      </c>
      <c r="F22" s="50">
        <f>VLOOKUP($A22,'Data shares'!$C:$FB,69)*100</f>
        <v>-15.03</v>
      </c>
      <c r="G22" s="49">
        <f>VLOOKUP($A22,'Data shares'!$C:$FB,42)</f>
        <v>192750</v>
      </c>
      <c r="H22" s="49">
        <f>VLOOKUP($A22,'Data shares'!$C:$FB,43)</f>
        <v>250375</v>
      </c>
      <c r="I22" s="50">
        <f>VLOOKUP($A22,'Data shares'!$C:$FB,45)*100</f>
        <v>-23.02</v>
      </c>
      <c r="J22" s="49">
        <f>VLOOKUP($A22,'Data shares'!$C:$FB,58)</f>
        <v>1106750</v>
      </c>
      <c r="K22" s="49">
        <f>VLOOKUP($A22,'Data shares'!$C:$FB,59)</f>
        <v>1170875</v>
      </c>
      <c r="L22" s="50">
        <f>VLOOKUP($A22,'Data shares'!$C:$FB,61)*100</f>
        <v>-5.48</v>
      </c>
      <c r="M22" s="49">
        <f>VLOOKUP($A22,'Data shares'!$C:$FB,62)</f>
        <v>510375</v>
      </c>
      <c r="N22" s="49">
        <f>VLOOKUP($A22,'Data shares'!$C:$FB,63)</f>
        <v>708750</v>
      </c>
      <c r="O22" s="140">
        <f>VLOOKUP($A22,'Data shares'!$C:$FB,65)*100</f>
        <v>-27.99</v>
      </c>
    </row>
    <row r="23" spans="1:15" x14ac:dyDescent="0.25">
      <c r="A23" s="101" t="str">
        <f>'Data shares'!C18</f>
        <v>ASHOKLEY</v>
      </c>
      <c r="B23" s="50">
        <f>VLOOKUP($A23,'Data shares'!$C:$FB,7)</f>
        <v>124</v>
      </c>
      <c r="C23" s="50">
        <f>VLOOKUP($A23,'Data shares'!$C:$FB,10)*100</f>
        <v>-0.64</v>
      </c>
      <c r="D23" s="49">
        <f>VLOOKUP($A23,'Data shares'!$C:$FB,66)</f>
        <v>34515000</v>
      </c>
      <c r="E23" s="49">
        <f>VLOOKUP($A23,'Data shares'!$C:$FB,67)</f>
        <v>60515000</v>
      </c>
      <c r="F23" s="50">
        <f>VLOOKUP($A23,'Data shares'!$C:$FB,69)*100</f>
        <v>-42.96</v>
      </c>
      <c r="G23" s="49">
        <f>VLOOKUP($A23,'Data shares'!$C:$FB,42)</f>
        <v>12610000</v>
      </c>
      <c r="H23" s="49">
        <f>VLOOKUP($A23,'Data shares'!$C:$FB,43)</f>
        <v>16245000</v>
      </c>
      <c r="I23" s="50">
        <f>VLOOKUP($A23,'Data shares'!$C:$FB,45)*100</f>
        <v>-22.38</v>
      </c>
      <c r="J23" s="49">
        <f>VLOOKUP($A23,'Data shares'!$C:$FB,58)</f>
        <v>13115000</v>
      </c>
      <c r="K23" s="49">
        <f>VLOOKUP($A23,'Data shares'!$C:$FB,59)</f>
        <v>27845000</v>
      </c>
      <c r="L23" s="50">
        <f>VLOOKUP($A23,'Data shares'!$C:$FB,61)*100</f>
        <v>-52.900000000000006</v>
      </c>
      <c r="M23" s="49">
        <f>VLOOKUP($A23,'Data shares'!$C:$FB,62)</f>
        <v>8790000</v>
      </c>
      <c r="N23" s="49">
        <f>VLOOKUP($A23,'Data shares'!$C:$FB,63)</f>
        <v>16425000</v>
      </c>
      <c r="O23" s="140">
        <f>VLOOKUP($A23,'Data shares'!$C:$FB,65)*100</f>
        <v>-46.48</v>
      </c>
    </row>
    <row r="24" spans="1:15" x14ac:dyDescent="0.25">
      <c r="A24" s="101" t="str">
        <f>'Data shares'!C19</f>
        <v>ASIANPAINT</v>
      </c>
      <c r="B24" s="50">
        <f>VLOOKUP($A24,'Data shares'!$C:$FB,7)</f>
        <v>2365.1999999999998</v>
      </c>
      <c r="C24" s="50">
        <f>VLOOKUP($A24,'Data shares'!$C:$FB,10)*100</f>
        <v>-0.43</v>
      </c>
      <c r="D24" s="49">
        <f>VLOOKUP($A24,'Data shares'!$C:$FB,66)</f>
        <v>6550500</v>
      </c>
      <c r="E24" s="49">
        <f>VLOOKUP($A24,'Data shares'!$C:$FB,67)</f>
        <v>8379750</v>
      </c>
      <c r="F24" s="50">
        <f>VLOOKUP($A24,'Data shares'!$C:$FB,69)*100</f>
        <v>-21.83</v>
      </c>
      <c r="G24" s="49">
        <f>VLOOKUP($A24,'Data shares'!$C:$FB,42)</f>
        <v>945500</v>
      </c>
      <c r="H24" s="49">
        <f>VLOOKUP($A24,'Data shares'!$C:$FB,43)</f>
        <v>1148000</v>
      </c>
      <c r="I24" s="50">
        <f>VLOOKUP($A24,'Data shares'!$C:$FB,45)*100</f>
        <v>-17.64</v>
      </c>
      <c r="J24" s="49">
        <f>VLOOKUP($A24,'Data shares'!$C:$FB,58)</f>
        <v>4032000</v>
      </c>
      <c r="K24" s="49">
        <f>VLOOKUP($A24,'Data shares'!$C:$FB,59)</f>
        <v>5106750</v>
      </c>
      <c r="L24" s="50">
        <f>VLOOKUP($A24,'Data shares'!$C:$FB,61)*100</f>
        <v>-21.05</v>
      </c>
      <c r="M24" s="49">
        <f>VLOOKUP($A24,'Data shares'!$C:$FB,62)</f>
        <v>1573000</v>
      </c>
      <c r="N24" s="49">
        <f>VLOOKUP($A24,'Data shares'!$C:$FB,63)</f>
        <v>2125000</v>
      </c>
      <c r="O24" s="140">
        <f>VLOOKUP($A24,'Data shares'!$C:$FB,65)*100</f>
        <v>-25.979999999999997</v>
      </c>
    </row>
    <row r="25" spans="1:15" x14ac:dyDescent="0.25">
      <c r="A25" s="101" t="str">
        <f>'Data shares'!C20</f>
        <v>ASTRAL</v>
      </c>
      <c r="B25" s="50">
        <f>VLOOKUP($A25,'Data shares'!$C:$FB,7)</f>
        <v>1475</v>
      </c>
      <c r="C25" s="50">
        <f>VLOOKUP($A25,'Data shares'!$C:$FB,10)*100</f>
        <v>-1.73</v>
      </c>
      <c r="D25" s="49">
        <f>VLOOKUP($A25,'Data shares'!$C:$FB,66)</f>
        <v>6954275</v>
      </c>
      <c r="E25" s="49">
        <f>VLOOKUP($A25,'Data shares'!$C:$FB,67)</f>
        <v>4084250</v>
      </c>
      <c r="F25" s="50">
        <f>VLOOKUP($A25,'Data shares'!$C:$FB,69)*100</f>
        <v>70.27</v>
      </c>
      <c r="G25" s="49">
        <f>VLOOKUP($A25,'Data shares'!$C:$FB,42)</f>
        <v>1533825</v>
      </c>
      <c r="H25" s="49">
        <f>VLOOKUP($A25,'Data shares'!$C:$FB,43)</f>
        <v>728450</v>
      </c>
      <c r="I25" s="50">
        <f>VLOOKUP($A25,'Data shares'!$C:$FB,45)*100</f>
        <v>110.55999999999999</v>
      </c>
      <c r="J25" s="49">
        <f>VLOOKUP($A25,'Data shares'!$C:$FB,58)</f>
        <v>4034525</v>
      </c>
      <c r="K25" s="49">
        <f>VLOOKUP($A25,'Data shares'!$C:$FB,59)</f>
        <v>2422925</v>
      </c>
      <c r="L25" s="50">
        <f>VLOOKUP($A25,'Data shares'!$C:$FB,61)*100</f>
        <v>66.510000000000005</v>
      </c>
      <c r="M25" s="49">
        <f>VLOOKUP($A25,'Data shares'!$C:$FB,62)</f>
        <v>1385925</v>
      </c>
      <c r="N25" s="49">
        <f>VLOOKUP($A25,'Data shares'!$C:$FB,63)</f>
        <v>932875</v>
      </c>
      <c r="O25" s="140">
        <f>VLOOKUP($A25,'Data shares'!$C:$FB,65)*100</f>
        <v>48.559999999999995</v>
      </c>
    </row>
    <row r="26" spans="1:15" x14ac:dyDescent="0.25">
      <c r="A26" s="101" t="str">
        <f>'Data shares'!C21</f>
        <v>ATGL</v>
      </c>
      <c r="B26" s="50">
        <f>VLOOKUP($A26,'Data shares'!$C:$FB,7)</f>
        <v>646.95000000000005</v>
      </c>
      <c r="C26" s="50">
        <f>VLOOKUP($A26,'Data shares'!$C:$FB,10)*100</f>
        <v>-1.6400000000000001</v>
      </c>
      <c r="D26" s="49">
        <f>VLOOKUP($A26,'Data shares'!$C:$FB,66)</f>
        <v>3122875</v>
      </c>
      <c r="E26" s="49">
        <f>VLOOKUP($A26,'Data shares'!$C:$FB,67)</f>
        <v>2574250</v>
      </c>
      <c r="F26" s="50">
        <f>VLOOKUP($A26,'Data shares'!$C:$FB,69)*100</f>
        <v>21.310000000000002</v>
      </c>
      <c r="G26" s="49">
        <f>VLOOKUP($A26,'Data shares'!$C:$FB,42)</f>
        <v>861000</v>
      </c>
      <c r="H26" s="49">
        <f>VLOOKUP($A26,'Data shares'!$C:$FB,43)</f>
        <v>723625</v>
      </c>
      <c r="I26" s="50">
        <f>VLOOKUP($A26,'Data shares'!$C:$FB,45)*100</f>
        <v>18.98</v>
      </c>
      <c r="J26" s="49">
        <f>VLOOKUP($A26,'Data shares'!$C:$FB,58)</f>
        <v>1794625</v>
      </c>
      <c r="K26" s="49">
        <f>VLOOKUP($A26,'Data shares'!$C:$FB,59)</f>
        <v>1372000</v>
      </c>
      <c r="L26" s="50">
        <f>VLOOKUP($A26,'Data shares'!$C:$FB,61)*100</f>
        <v>30.8</v>
      </c>
      <c r="M26" s="49">
        <f>VLOOKUP($A26,'Data shares'!$C:$FB,62)</f>
        <v>467250</v>
      </c>
      <c r="N26" s="49">
        <f>VLOOKUP($A26,'Data shares'!$C:$FB,63)</f>
        <v>478625</v>
      </c>
      <c r="O26" s="140">
        <f>VLOOKUP($A26,'Data shares'!$C:$FB,65)*100</f>
        <v>-2.3800000000000003</v>
      </c>
    </row>
    <row r="27" spans="1:15" x14ac:dyDescent="0.25">
      <c r="A27" s="101" t="str">
        <f>'Data shares'!C22</f>
        <v>AUBANK</v>
      </c>
      <c r="B27" s="50">
        <f>VLOOKUP($A27,'Data shares'!$C:$FB,7)</f>
        <v>725.8</v>
      </c>
      <c r="C27" s="50">
        <f>VLOOKUP($A27,'Data shares'!$C:$FB,10)*100</f>
        <v>-3.5999999999999996</v>
      </c>
      <c r="D27" s="49">
        <f>VLOOKUP($A27,'Data shares'!$C:$FB,66)</f>
        <v>47564000</v>
      </c>
      <c r="E27" s="49">
        <f>VLOOKUP($A27,'Data shares'!$C:$FB,67)</f>
        <v>101689000</v>
      </c>
      <c r="F27" s="50">
        <f>VLOOKUP($A27,'Data shares'!$C:$FB,69)*100</f>
        <v>-53.23</v>
      </c>
      <c r="G27" s="49">
        <f>VLOOKUP($A27,'Data shares'!$C:$FB,42)</f>
        <v>8902000</v>
      </c>
      <c r="H27" s="49">
        <f>VLOOKUP($A27,'Data shares'!$C:$FB,43)</f>
        <v>19014000</v>
      </c>
      <c r="I27" s="50">
        <f>VLOOKUP($A27,'Data shares'!$C:$FB,45)*100</f>
        <v>-53.180000000000007</v>
      </c>
      <c r="J27" s="49">
        <f>VLOOKUP($A27,'Data shares'!$C:$FB,58)</f>
        <v>24052000</v>
      </c>
      <c r="K27" s="49">
        <f>VLOOKUP($A27,'Data shares'!$C:$FB,59)</f>
        <v>50633000</v>
      </c>
      <c r="L27" s="50">
        <f>VLOOKUP($A27,'Data shares'!$C:$FB,61)*100</f>
        <v>-52.5</v>
      </c>
      <c r="M27" s="49">
        <f>VLOOKUP($A27,'Data shares'!$C:$FB,62)</f>
        <v>14610000</v>
      </c>
      <c r="N27" s="49">
        <f>VLOOKUP($A27,'Data shares'!$C:$FB,63)</f>
        <v>32042000</v>
      </c>
      <c r="O27" s="140">
        <f>VLOOKUP($A27,'Data shares'!$C:$FB,65)*100</f>
        <v>-54.400000000000006</v>
      </c>
    </row>
    <row r="28" spans="1:15" x14ac:dyDescent="0.25">
      <c r="A28" s="101" t="str">
        <f>'Data shares'!C23</f>
        <v>AUROPHARMA</v>
      </c>
      <c r="B28" s="50">
        <f>VLOOKUP($A28,'Data shares'!$C:$FB,7)</f>
        <v>1101.4000000000001</v>
      </c>
      <c r="C28" s="50">
        <f>VLOOKUP($A28,'Data shares'!$C:$FB,10)*100</f>
        <v>-3.26</v>
      </c>
      <c r="D28" s="49">
        <f>VLOOKUP($A28,'Data shares'!$C:$FB,66)</f>
        <v>14593700</v>
      </c>
      <c r="E28" s="49">
        <f>VLOOKUP($A28,'Data shares'!$C:$FB,67)</f>
        <v>7131300</v>
      </c>
      <c r="F28" s="50">
        <f>VLOOKUP($A28,'Data shares'!$C:$FB,69)*100</f>
        <v>104.64</v>
      </c>
      <c r="G28" s="49">
        <f>VLOOKUP($A28,'Data shares'!$C:$FB,42)</f>
        <v>4027100</v>
      </c>
      <c r="H28" s="49">
        <f>VLOOKUP($A28,'Data shares'!$C:$FB,43)</f>
        <v>4604600</v>
      </c>
      <c r="I28" s="50">
        <f>VLOOKUP($A28,'Data shares'!$C:$FB,45)*100</f>
        <v>-12.540000000000001</v>
      </c>
      <c r="J28" s="49">
        <f>VLOOKUP($A28,'Data shares'!$C:$FB,58)</f>
        <v>6371750</v>
      </c>
      <c r="K28" s="49">
        <f>VLOOKUP($A28,'Data shares'!$C:$FB,59)</f>
        <v>1851300</v>
      </c>
      <c r="L28" s="50">
        <f>VLOOKUP($A28,'Data shares'!$C:$FB,61)*100</f>
        <v>244.18</v>
      </c>
      <c r="M28" s="49">
        <f>VLOOKUP($A28,'Data shares'!$C:$FB,62)</f>
        <v>4194850</v>
      </c>
      <c r="N28" s="49">
        <f>VLOOKUP($A28,'Data shares'!$C:$FB,63)</f>
        <v>675400</v>
      </c>
      <c r="O28" s="140">
        <f>VLOOKUP($A28,'Data shares'!$C:$FB,65)*100</f>
        <v>521.08999999999992</v>
      </c>
    </row>
    <row r="29" spans="1:15" x14ac:dyDescent="0.25">
      <c r="A29" s="101" t="str">
        <f>'Data shares'!C24</f>
        <v>AXISBANK</v>
      </c>
      <c r="B29" s="50">
        <f>VLOOKUP($A29,'Data shares'!$C:$FB,7)</f>
        <v>1098</v>
      </c>
      <c r="C29" s="50">
        <f>VLOOKUP($A29,'Data shares'!$C:$FB,10)*100</f>
        <v>-0.15</v>
      </c>
      <c r="D29" s="49">
        <f>VLOOKUP($A29,'Data shares'!$C:$FB,66)</f>
        <v>105355000</v>
      </c>
      <c r="E29" s="49">
        <f>VLOOKUP($A29,'Data shares'!$C:$FB,67)</f>
        <v>216156250</v>
      </c>
      <c r="F29" s="50">
        <f>VLOOKUP($A29,'Data shares'!$C:$FB,69)*100</f>
        <v>-51.259999999999991</v>
      </c>
      <c r="G29" s="49">
        <f>VLOOKUP($A29,'Data shares'!$C:$FB,42)</f>
        <v>14527500</v>
      </c>
      <c r="H29" s="49">
        <f>VLOOKUP($A29,'Data shares'!$C:$FB,43)</f>
        <v>22985625</v>
      </c>
      <c r="I29" s="50">
        <f>VLOOKUP($A29,'Data shares'!$C:$FB,45)*100</f>
        <v>-36.799999999999997</v>
      </c>
      <c r="J29" s="49">
        <f>VLOOKUP($A29,'Data shares'!$C:$FB,58)</f>
        <v>62638125</v>
      </c>
      <c r="K29" s="49">
        <f>VLOOKUP($A29,'Data shares'!$C:$FB,59)</f>
        <v>120570625</v>
      </c>
      <c r="L29" s="50">
        <f>VLOOKUP($A29,'Data shares'!$C:$FB,61)*100</f>
        <v>-48.05</v>
      </c>
      <c r="M29" s="49">
        <f>VLOOKUP($A29,'Data shares'!$C:$FB,62)</f>
        <v>28189375</v>
      </c>
      <c r="N29" s="49">
        <f>VLOOKUP($A29,'Data shares'!$C:$FB,63)</f>
        <v>72600000</v>
      </c>
      <c r="O29" s="140">
        <f>VLOOKUP($A29,'Data shares'!$C:$FB,65)*100</f>
        <v>-61.17</v>
      </c>
    </row>
    <row r="30" spans="1:15" x14ac:dyDescent="0.25">
      <c r="A30" s="101" t="str">
        <f>'Data shares'!C25</f>
        <v>BAJAJ-AUTO</v>
      </c>
      <c r="B30" s="50">
        <f>VLOOKUP($A30,'Data shares'!$C:$FB,7)</f>
        <v>8295</v>
      </c>
      <c r="C30" s="50">
        <f>VLOOKUP($A30,'Data shares'!$C:$FB,10)*100</f>
        <v>-1.7000000000000002</v>
      </c>
      <c r="D30" s="49">
        <f>VLOOKUP($A30,'Data shares'!$C:$FB,66)</f>
        <v>3816675</v>
      </c>
      <c r="E30" s="49">
        <f>VLOOKUP($A30,'Data shares'!$C:$FB,67)</f>
        <v>3506625</v>
      </c>
      <c r="F30" s="50">
        <f>VLOOKUP($A30,'Data shares'!$C:$FB,69)*100</f>
        <v>8.84</v>
      </c>
      <c r="G30" s="49">
        <f>VLOOKUP($A30,'Data shares'!$C:$FB,42)</f>
        <v>369300</v>
      </c>
      <c r="H30" s="49">
        <f>VLOOKUP($A30,'Data shares'!$C:$FB,43)</f>
        <v>342900</v>
      </c>
      <c r="I30" s="50">
        <f>VLOOKUP($A30,'Data shares'!$C:$FB,45)*100</f>
        <v>7.7</v>
      </c>
      <c r="J30" s="49">
        <f>VLOOKUP($A30,'Data shares'!$C:$FB,58)</f>
        <v>2070825</v>
      </c>
      <c r="K30" s="49">
        <f>VLOOKUP($A30,'Data shares'!$C:$FB,59)</f>
        <v>2081325</v>
      </c>
      <c r="L30" s="50">
        <f>VLOOKUP($A30,'Data shares'!$C:$FB,61)*100</f>
        <v>-0.5</v>
      </c>
      <c r="M30" s="49">
        <f>VLOOKUP($A30,'Data shares'!$C:$FB,62)</f>
        <v>1376550</v>
      </c>
      <c r="N30" s="49">
        <f>VLOOKUP($A30,'Data shares'!$C:$FB,63)</f>
        <v>1082400</v>
      </c>
      <c r="O30" s="140">
        <f>VLOOKUP($A30,'Data shares'!$C:$FB,65)*100</f>
        <v>27.18</v>
      </c>
    </row>
    <row r="31" spans="1:15" x14ac:dyDescent="0.25">
      <c r="A31" s="101" t="str">
        <f>'Data shares'!C26</f>
        <v>BAJAJFINSV</v>
      </c>
      <c r="B31" s="50">
        <f>VLOOKUP($A31,'Data shares'!$C:$FB,7)</f>
        <v>2039.6</v>
      </c>
      <c r="C31" s="50">
        <f>VLOOKUP($A31,'Data shares'!$C:$FB,10)*100</f>
        <v>-0.70000000000000007</v>
      </c>
      <c r="D31" s="49">
        <f>VLOOKUP($A31,'Data shares'!$C:$FB,66)</f>
        <v>19624000</v>
      </c>
      <c r="E31" s="49">
        <f>VLOOKUP($A31,'Data shares'!$C:$FB,67)</f>
        <v>17493500</v>
      </c>
      <c r="F31" s="50">
        <f>VLOOKUP($A31,'Data shares'!$C:$FB,69)*100</f>
        <v>12.18</v>
      </c>
      <c r="G31" s="49">
        <f>VLOOKUP($A31,'Data shares'!$C:$FB,42)</f>
        <v>3006000</v>
      </c>
      <c r="H31" s="49">
        <f>VLOOKUP($A31,'Data shares'!$C:$FB,43)</f>
        <v>2264000</v>
      </c>
      <c r="I31" s="50">
        <f>VLOOKUP($A31,'Data shares'!$C:$FB,45)*100</f>
        <v>32.769999999999996</v>
      </c>
      <c r="J31" s="49">
        <f>VLOOKUP($A31,'Data shares'!$C:$FB,58)</f>
        <v>10463000</v>
      </c>
      <c r="K31" s="49">
        <f>VLOOKUP($A31,'Data shares'!$C:$FB,59)</f>
        <v>9764000</v>
      </c>
      <c r="L31" s="50">
        <f>VLOOKUP($A31,'Data shares'!$C:$FB,61)*100</f>
        <v>7.16</v>
      </c>
      <c r="M31" s="49">
        <f>VLOOKUP($A31,'Data shares'!$C:$FB,62)</f>
        <v>6155000</v>
      </c>
      <c r="N31" s="49">
        <f>VLOOKUP($A31,'Data shares'!$C:$FB,63)</f>
        <v>5465500</v>
      </c>
      <c r="O31" s="140">
        <f>VLOOKUP($A31,'Data shares'!$C:$FB,65)*100</f>
        <v>12.620000000000001</v>
      </c>
    </row>
    <row r="32" spans="1:15" x14ac:dyDescent="0.25">
      <c r="A32" s="101" t="str">
        <f>'Data shares'!C27</f>
        <v>BAJFINANCE</v>
      </c>
      <c r="B32" s="50">
        <f>VLOOKUP($A32,'Data shares'!$C:$FB,7)</f>
        <v>952.55</v>
      </c>
      <c r="C32" s="50">
        <f>VLOOKUP($A32,'Data shares'!$C:$FB,10)*100</f>
        <v>0.43</v>
      </c>
      <c r="D32" s="49">
        <f>VLOOKUP($A32,'Data shares'!$C:$FB,66)</f>
        <v>68457000</v>
      </c>
      <c r="E32" s="49">
        <f>VLOOKUP($A32,'Data shares'!$C:$FB,67)</f>
        <v>47754750</v>
      </c>
      <c r="F32" s="50">
        <f>VLOOKUP($A32,'Data shares'!$C:$FB,69)*100</f>
        <v>43.35</v>
      </c>
      <c r="G32" s="49">
        <f>VLOOKUP($A32,'Data shares'!$C:$FB,42)</f>
        <v>14757000</v>
      </c>
      <c r="H32" s="49">
        <f>VLOOKUP($A32,'Data shares'!$C:$FB,43)</f>
        <v>8982000</v>
      </c>
      <c r="I32" s="50">
        <f>VLOOKUP($A32,'Data shares'!$C:$FB,45)*100</f>
        <v>64.3</v>
      </c>
      <c r="J32" s="49">
        <f>VLOOKUP($A32,'Data shares'!$C:$FB,58)</f>
        <v>33546000</v>
      </c>
      <c r="K32" s="49">
        <f>VLOOKUP($A32,'Data shares'!$C:$FB,59)</f>
        <v>24185250</v>
      </c>
      <c r="L32" s="50">
        <f>VLOOKUP($A32,'Data shares'!$C:$FB,61)*100</f>
        <v>38.700000000000003</v>
      </c>
      <c r="M32" s="49">
        <f>VLOOKUP($A32,'Data shares'!$C:$FB,62)</f>
        <v>20154000</v>
      </c>
      <c r="N32" s="49">
        <f>VLOOKUP($A32,'Data shares'!$C:$FB,63)</f>
        <v>14587500</v>
      </c>
      <c r="O32" s="140">
        <f>VLOOKUP($A32,'Data shares'!$C:$FB,65)*100</f>
        <v>38.159999999999997</v>
      </c>
    </row>
    <row r="33" spans="1:15" x14ac:dyDescent="0.25">
      <c r="A33" s="101" t="str">
        <f>'Data shares'!C28</f>
        <v>BALKRISIND</v>
      </c>
      <c r="B33" s="50">
        <f>VLOOKUP($A33,'Data shares'!$C:$FB,7)</f>
        <v>2756.9</v>
      </c>
      <c r="C33" s="50">
        <f>VLOOKUP($A33,'Data shares'!$C:$FB,10)*100</f>
        <v>-0.62</v>
      </c>
      <c r="D33" s="49">
        <f>VLOOKUP($A33,'Data shares'!$C:$FB,66)</f>
        <v>1669500</v>
      </c>
      <c r="E33" s="49">
        <f>VLOOKUP($A33,'Data shares'!$C:$FB,67)</f>
        <v>2885400</v>
      </c>
      <c r="F33" s="50">
        <f>VLOOKUP($A33,'Data shares'!$C:$FB,69)*100</f>
        <v>-42.14</v>
      </c>
      <c r="G33" s="49">
        <f>VLOOKUP($A33,'Data shares'!$C:$FB,42)</f>
        <v>460500</v>
      </c>
      <c r="H33" s="49">
        <f>VLOOKUP($A33,'Data shares'!$C:$FB,43)</f>
        <v>441000</v>
      </c>
      <c r="I33" s="50">
        <f>VLOOKUP($A33,'Data shares'!$C:$FB,45)*100</f>
        <v>4.42</v>
      </c>
      <c r="J33" s="49">
        <f>VLOOKUP($A33,'Data shares'!$C:$FB,58)</f>
        <v>810300</v>
      </c>
      <c r="K33" s="49">
        <f>VLOOKUP($A33,'Data shares'!$C:$FB,59)</f>
        <v>1586100</v>
      </c>
      <c r="L33" s="50">
        <f>VLOOKUP($A33,'Data shares'!$C:$FB,61)*100</f>
        <v>-48.91</v>
      </c>
      <c r="M33" s="49">
        <f>VLOOKUP($A33,'Data shares'!$C:$FB,62)</f>
        <v>398700</v>
      </c>
      <c r="N33" s="49">
        <f>VLOOKUP($A33,'Data shares'!$C:$FB,63)</f>
        <v>858300</v>
      </c>
      <c r="O33" s="140">
        <f>VLOOKUP($A33,'Data shares'!$C:$FB,65)*100</f>
        <v>-53.55</v>
      </c>
    </row>
    <row r="34" spans="1:15" x14ac:dyDescent="0.25">
      <c r="A34" s="101" t="str">
        <f>'Data shares'!C29</f>
        <v>BANDHANBNK</v>
      </c>
      <c r="B34" s="50">
        <f>VLOOKUP($A34,'Data shares'!$C:$FB,7)</f>
        <v>180.94</v>
      </c>
      <c r="C34" s="50">
        <f>VLOOKUP($A34,'Data shares'!$C:$FB,10)*100</f>
        <v>-0.72</v>
      </c>
      <c r="D34" s="49">
        <f>VLOOKUP($A34,'Data shares'!$C:$FB,66)</f>
        <v>7110000</v>
      </c>
      <c r="E34" s="49">
        <f>VLOOKUP($A34,'Data shares'!$C:$FB,67)</f>
        <v>26438400</v>
      </c>
      <c r="F34" s="50">
        <f>VLOOKUP($A34,'Data shares'!$C:$FB,69)*100</f>
        <v>-73.11</v>
      </c>
      <c r="G34" s="49">
        <f>VLOOKUP($A34,'Data shares'!$C:$FB,42)</f>
        <v>3844800</v>
      </c>
      <c r="H34" s="49">
        <f>VLOOKUP($A34,'Data shares'!$C:$FB,43)</f>
        <v>9176400</v>
      </c>
      <c r="I34" s="50">
        <f>VLOOKUP($A34,'Data shares'!$C:$FB,45)*100</f>
        <v>-58.099999999999994</v>
      </c>
      <c r="J34" s="49">
        <f>VLOOKUP($A34,'Data shares'!$C:$FB,58)</f>
        <v>2437200</v>
      </c>
      <c r="K34" s="49">
        <f>VLOOKUP($A34,'Data shares'!$C:$FB,59)</f>
        <v>11196000</v>
      </c>
      <c r="L34" s="50">
        <f>VLOOKUP($A34,'Data shares'!$C:$FB,61)*100</f>
        <v>-78.23</v>
      </c>
      <c r="M34" s="49">
        <f>VLOOKUP($A34,'Data shares'!$C:$FB,62)</f>
        <v>828000</v>
      </c>
      <c r="N34" s="49">
        <f>VLOOKUP($A34,'Data shares'!$C:$FB,63)</f>
        <v>6066000</v>
      </c>
      <c r="O34" s="140">
        <f>VLOOKUP($A34,'Data shares'!$C:$FB,65)*100</f>
        <v>-86.350000000000009</v>
      </c>
    </row>
    <row r="35" spans="1:15" x14ac:dyDescent="0.25">
      <c r="A35" s="101" t="str">
        <f>'Data shares'!C30</f>
        <v>BANKBARODA</v>
      </c>
      <c r="B35" s="50">
        <f>VLOOKUP($A35,'Data shares'!$C:$FB,7)</f>
        <v>239.48</v>
      </c>
      <c r="C35" s="50">
        <f>VLOOKUP($A35,'Data shares'!$C:$FB,10)*100</f>
        <v>-1.6099999999999999</v>
      </c>
      <c r="D35" s="49">
        <f>VLOOKUP($A35,'Data shares'!$C:$FB,66)</f>
        <v>132414750</v>
      </c>
      <c r="E35" s="49">
        <f>VLOOKUP($A35,'Data shares'!$C:$FB,67)</f>
        <v>100190025</v>
      </c>
      <c r="F35" s="50">
        <f>VLOOKUP($A35,'Data shares'!$C:$FB,69)*100</f>
        <v>32.159999999999997</v>
      </c>
      <c r="G35" s="49">
        <f>VLOOKUP($A35,'Data shares'!$C:$FB,42)</f>
        <v>26076375</v>
      </c>
      <c r="H35" s="49">
        <f>VLOOKUP($A35,'Data shares'!$C:$FB,43)</f>
        <v>25561575</v>
      </c>
      <c r="I35" s="50">
        <f>VLOOKUP($A35,'Data shares'!$C:$FB,45)*100</f>
        <v>2.0099999999999998</v>
      </c>
      <c r="J35" s="49">
        <f>VLOOKUP($A35,'Data shares'!$C:$FB,58)</f>
        <v>54946125</v>
      </c>
      <c r="K35" s="49">
        <f>VLOOKUP($A35,'Data shares'!$C:$FB,59)</f>
        <v>43313400</v>
      </c>
      <c r="L35" s="50">
        <f>VLOOKUP($A35,'Data shares'!$C:$FB,61)*100</f>
        <v>26.86</v>
      </c>
      <c r="M35" s="49">
        <f>VLOOKUP($A35,'Data shares'!$C:$FB,62)</f>
        <v>51392250</v>
      </c>
      <c r="N35" s="49">
        <f>VLOOKUP($A35,'Data shares'!$C:$FB,63)</f>
        <v>31315050</v>
      </c>
      <c r="O35" s="140">
        <f>VLOOKUP($A35,'Data shares'!$C:$FB,65)*100</f>
        <v>64.11</v>
      </c>
    </row>
    <row r="36" spans="1:15" x14ac:dyDescent="0.25">
      <c r="A36" s="101" t="str">
        <f>'Data shares'!C31</f>
        <v>BANKINDIA</v>
      </c>
      <c r="B36" s="50">
        <f>VLOOKUP($A36,'Data shares'!$C:$FB,7)</f>
        <v>113.13</v>
      </c>
      <c r="C36" s="50">
        <f>VLOOKUP($A36,'Data shares'!$C:$FB,10)*100</f>
        <v>-1.34</v>
      </c>
      <c r="D36" s="49">
        <f>VLOOKUP($A36,'Data shares'!$C:$FB,66)</f>
        <v>30368000</v>
      </c>
      <c r="E36" s="49">
        <f>VLOOKUP($A36,'Data shares'!$C:$FB,67)</f>
        <v>45453200</v>
      </c>
      <c r="F36" s="50">
        <f>VLOOKUP($A36,'Data shares'!$C:$FB,69)*100</f>
        <v>-33.19</v>
      </c>
      <c r="G36" s="49">
        <f>VLOOKUP($A36,'Data shares'!$C:$FB,42)</f>
        <v>12693200</v>
      </c>
      <c r="H36" s="49">
        <f>VLOOKUP($A36,'Data shares'!$C:$FB,43)</f>
        <v>12116000</v>
      </c>
      <c r="I36" s="50">
        <f>VLOOKUP($A36,'Data shares'!$C:$FB,45)*100</f>
        <v>4.7600000000000007</v>
      </c>
      <c r="J36" s="49">
        <f>VLOOKUP($A36,'Data shares'!$C:$FB,58)</f>
        <v>12069200</v>
      </c>
      <c r="K36" s="49">
        <f>VLOOKUP($A36,'Data shares'!$C:$FB,59)</f>
        <v>22770800</v>
      </c>
      <c r="L36" s="50">
        <f>VLOOKUP($A36,'Data shares'!$C:$FB,61)*100</f>
        <v>-47</v>
      </c>
      <c r="M36" s="49">
        <f>VLOOKUP($A36,'Data shares'!$C:$FB,62)</f>
        <v>5605600</v>
      </c>
      <c r="N36" s="49">
        <f>VLOOKUP($A36,'Data shares'!$C:$FB,63)</f>
        <v>10566400</v>
      </c>
      <c r="O36" s="140">
        <f>VLOOKUP($A36,'Data shares'!$C:$FB,65)*100</f>
        <v>-46.949999999999996</v>
      </c>
    </row>
    <row r="37" spans="1:15" x14ac:dyDescent="0.25">
      <c r="A37" s="101" t="str">
        <f>'Data shares'!C32</f>
        <v>BANKNIFTY</v>
      </c>
      <c r="B37" s="50">
        <f>VLOOKUP($A37,'Data shares'!$C:$FB,7)</f>
        <v>56756</v>
      </c>
      <c r="C37" s="50">
        <f>VLOOKUP($A37,'Data shares'!$C:$FB,10)*100</f>
        <v>-0.35000000000000003</v>
      </c>
      <c r="D37" s="49">
        <f>VLOOKUP($A37,'Data shares'!$C:$FB,66)</f>
        <v>137479055</v>
      </c>
      <c r="E37" s="49">
        <f>VLOOKUP($A37,'Data shares'!$C:$FB,67)</f>
        <v>186630325</v>
      </c>
      <c r="F37" s="50">
        <f>VLOOKUP($A37,'Data shares'!$C:$FB,69)*100</f>
        <v>-26.340000000000003</v>
      </c>
      <c r="G37" s="49">
        <f>VLOOKUP($A37,'Data shares'!$C:$FB,42)</f>
        <v>978425</v>
      </c>
      <c r="H37" s="49">
        <f>VLOOKUP($A37,'Data shares'!$C:$FB,43)</f>
        <v>1787765</v>
      </c>
      <c r="I37" s="50">
        <f>VLOOKUP($A37,'Data shares'!$C:$FB,45)*100</f>
        <v>-45.269999999999996</v>
      </c>
      <c r="J37" s="49">
        <f>VLOOKUP($A37,'Data shares'!$C:$FB,58)</f>
        <v>71974840</v>
      </c>
      <c r="K37" s="49">
        <f>VLOOKUP($A37,'Data shares'!$C:$FB,59)</f>
        <v>103302430</v>
      </c>
      <c r="L37" s="50">
        <f>VLOOKUP($A37,'Data shares'!$C:$FB,61)*100</f>
        <v>-30.330000000000002</v>
      </c>
      <c r="M37" s="49">
        <f>VLOOKUP($A37,'Data shares'!$C:$FB,62)</f>
        <v>64525790</v>
      </c>
      <c r="N37" s="49">
        <f>VLOOKUP($A37,'Data shares'!$C:$FB,63)</f>
        <v>81540130</v>
      </c>
      <c r="O37" s="140">
        <f>VLOOKUP($A37,'Data shares'!$C:$FB,65)*100</f>
        <v>-20.87</v>
      </c>
    </row>
    <row r="38" spans="1:15" x14ac:dyDescent="0.25">
      <c r="A38" s="101" t="str">
        <f>'Data shares'!C33</f>
        <v>BDL</v>
      </c>
      <c r="B38" s="50">
        <f>VLOOKUP($A38,'Data shares'!$C:$FB,7)</f>
        <v>1717.4</v>
      </c>
      <c r="C38" s="50">
        <f>VLOOKUP($A38,'Data shares'!$C:$FB,10)*100</f>
        <v>-0.06</v>
      </c>
      <c r="D38" s="49">
        <f>VLOOKUP($A38,'Data shares'!$C:$FB,66)</f>
        <v>5955300</v>
      </c>
      <c r="E38" s="49">
        <f>VLOOKUP($A38,'Data shares'!$C:$FB,67)</f>
        <v>15917525</v>
      </c>
      <c r="F38" s="50">
        <f>VLOOKUP($A38,'Data shares'!$C:$FB,69)*100</f>
        <v>-62.59</v>
      </c>
      <c r="G38" s="49">
        <f>VLOOKUP($A38,'Data shares'!$C:$FB,42)</f>
        <v>1131650</v>
      </c>
      <c r="H38" s="49">
        <f>VLOOKUP($A38,'Data shares'!$C:$FB,43)</f>
        <v>2164500</v>
      </c>
      <c r="I38" s="50">
        <f>VLOOKUP($A38,'Data shares'!$C:$FB,45)*100</f>
        <v>-47.72</v>
      </c>
      <c r="J38" s="49">
        <f>VLOOKUP($A38,'Data shares'!$C:$FB,58)</f>
        <v>3628300</v>
      </c>
      <c r="K38" s="49">
        <f>VLOOKUP($A38,'Data shares'!$C:$FB,59)</f>
        <v>9708075</v>
      </c>
      <c r="L38" s="50">
        <f>VLOOKUP($A38,'Data shares'!$C:$FB,61)*100</f>
        <v>-62.629999999999995</v>
      </c>
      <c r="M38" s="49">
        <f>VLOOKUP($A38,'Data shares'!$C:$FB,62)</f>
        <v>1195350</v>
      </c>
      <c r="N38" s="49">
        <f>VLOOKUP($A38,'Data shares'!$C:$FB,63)</f>
        <v>4044950</v>
      </c>
      <c r="O38" s="140">
        <f>VLOOKUP($A38,'Data shares'!$C:$FB,65)*100</f>
        <v>-70.45</v>
      </c>
    </row>
    <row r="39" spans="1:15" x14ac:dyDescent="0.25">
      <c r="A39" s="101" t="str">
        <f>'Data shares'!C34</f>
        <v>BEL</v>
      </c>
      <c r="B39" s="50">
        <f>VLOOKUP($A39,'Data shares'!$C:$FB,7)</f>
        <v>403.1</v>
      </c>
      <c r="C39" s="50">
        <f>VLOOKUP($A39,'Data shares'!$C:$FB,10)*100</f>
        <v>0.79</v>
      </c>
      <c r="D39" s="49">
        <f>VLOOKUP($A39,'Data shares'!$C:$FB,66)</f>
        <v>147484650</v>
      </c>
      <c r="E39" s="49">
        <f>VLOOKUP($A39,'Data shares'!$C:$FB,67)</f>
        <v>222240150</v>
      </c>
      <c r="F39" s="50">
        <f>VLOOKUP($A39,'Data shares'!$C:$FB,69)*100</f>
        <v>-33.64</v>
      </c>
      <c r="G39" s="49">
        <f>VLOOKUP($A39,'Data shares'!$C:$FB,42)</f>
        <v>20192250</v>
      </c>
      <c r="H39" s="49">
        <f>VLOOKUP($A39,'Data shares'!$C:$FB,43)</f>
        <v>26123100</v>
      </c>
      <c r="I39" s="50">
        <f>VLOOKUP($A39,'Data shares'!$C:$FB,45)*100</f>
        <v>-22.7</v>
      </c>
      <c r="J39" s="49">
        <f>VLOOKUP($A39,'Data shares'!$C:$FB,58)</f>
        <v>86665650</v>
      </c>
      <c r="K39" s="49">
        <f>VLOOKUP($A39,'Data shares'!$C:$FB,59)</f>
        <v>126876300</v>
      </c>
      <c r="L39" s="50">
        <f>VLOOKUP($A39,'Data shares'!$C:$FB,61)*100</f>
        <v>-31.69</v>
      </c>
      <c r="M39" s="49">
        <f>VLOOKUP($A39,'Data shares'!$C:$FB,62)</f>
        <v>40626750</v>
      </c>
      <c r="N39" s="49">
        <f>VLOOKUP($A39,'Data shares'!$C:$FB,63)</f>
        <v>69240750</v>
      </c>
      <c r="O39" s="140">
        <f>VLOOKUP($A39,'Data shares'!$C:$FB,65)*100</f>
        <v>-41.33</v>
      </c>
    </row>
    <row r="40" spans="1:15" x14ac:dyDescent="0.25">
      <c r="A40" s="101" t="str">
        <f>'Data shares'!C35</f>
        <v>BHARATFORG</v>
      </c>
      <c r="B40" s="50">
        <f>VLOOKUP($A40,'Data shares'!$C:$FB,7)</f>
        <v>1204.7</v>
      </c>
      <c r="C40" s="50">
        <f>VLOOKUP($A40,'Data shares'!$C:$FB,10)*100</f>
        <v>-1.32</v>
      </c>
      <c r="D40" s="49">
        <f>VLOOKUP($A40,'Data shares'!$C:$FB,66)</f>
        <v>4883000</v>
      </c>
      <c r="E40" s="49">
        <f>VLOOKUP($A40,'Data shares'!$C:$FB,67)</f>
        <v>3574500</v>
      </c>
      <c r="F40" s="50">
        <f>VLOOKUP($A40,'Data shares'!$C:$FB,69)*100</f>
        <v>36.61</v>
      </c>
      <c r="G40" s="49">
        <f>VLOOKUP($A40,'Data shares'!$C:$FB,42)</f>
        <v>1309500</v>
      </c>
      <c r="H40" s="49">
        <f>VLOOKUP($A40,'Data shares'!$C:$FB,43)</f>
        <v>1002500</v>
      </c>
      <c r="I40" s="50">
        <f>VLOOKUP($A40,'Data shares'!$C:$FB,45)*100</f>
        <v>30.620000000000005</v>
      </c>
      <c r="J40" s="49">
        <f>VLOOKUP($A40,'Data shares'!$C:$FB,58)</f>
        <v>2307000</v>
      </c>
      <c r="K40" s="49">
        <f>VLOOKUP($A40,'Data shares'!$C:$FB,59)</f>
        <v>1830000</v>
      </c>
      <c r="L40" s="50">
        <f>VLOOKUP($A40,'Data shares'!$C:$FB,61)*100</f>
        <v>26.07</v>
      </c>
      <c r="M40" s="49">
        <f>VLOOKUP($A40,'Data shares'!$C:$FB,62)</f>
        <v>1266500</v>
      </c>
      <c r="N40" s="49">
        <f>VLOOKUP($A40,'Data shares'!$C:$FB,63)</f>
        <v>742000</v>
      </c>
      <c r="O40" s="140">
        <f>VLOOKUP($A40,'Data shares'!$C:$FB,65)*100</f>
        <v>70.69</v>
      </c>
    </row>
    <row r="41" spans="1:15" x14ac:dyDescent="0.25">
      <c r="A41" s="101" t="str">
        <f>'Data shares'!C36</f>
        <v>BHARTIARTL</v>
      </c>
      <c r="B41" s="50">
        <f>VLOOKUP($A41,'Data shares'!$C:$FB,7)</f>
        <v>1906.8</v>
      </c>
      <c r="C41" s="50">
        <f>VLOOKUP($A41,'Data shares'!$C:$FB,10)*100</f>
        <v>-0.13</v>
      </c>
      <c r="D41" s="49">
        <f>VLOOKUP($A41,'Data shares'!$C:$FB,66)</f>
        <v>25201125</v>
      </c>
      <c r="E41" s="49">
        <f>VLOOKUP($A41,'Data shares'!$C:$FB,67)</f>
        <v>24735150</v>
      </c>
      <c r="F41" s="50">
        <f>VLOOKUP($A41,'Data shares'!$C:$FB,69)*100</f>
        <v>1.8800000000000001</v>
      </c>
      <c r="G41" s="49">
        <f>VLOOKUP($A41,'Data shares'!$C:$FB,42)</f>
        <v>2967800</v>
      </c>
      <c r="H41" s="49">
        <f>VLOOKUP($A41,'Data shares'!$C:$FB,43)</f>
        <v>3239025</v>
      </c>
      <c r="I41" s="50">
        <f>VLOOKUP($A41,'Data shares'!$C:$FB,45)*100</f>
        <v>-8.3699999999999992</v>
      </c>
      <c r="J41" s="49">
        <f>VLOOKUP($A41,'Data shares'!$C:$FB,58)</f>
        <v>15940050</v>
      </c>
      <c r="K41" s="49">
        <f>VLOOKUP($A41,'Data shares'!$C:$FB,59)</f>
        <v>16489150</v>
      </c>
      <c r="L41" s="50">
        <f>VLOOKUP($A41,'Data shares'!$C:$FB,61)*100</f>
        <v>-3.3300000000000005</v>
      </c>
      <c r="M41" s="49">
        <f>VLOOKUP($A41,'Data shares'!$C:$FB,62)</f>
        <v>6293275</v>
      </c>
      <c r="N41" s="49">
        <f>VLOOKUP($A41,'Data shares'!$C:$FB,63)</f>
        <v>5006975</v>
      </c>
      <c r="O41" s="140">
        <f>VLOOKUP($A41,'Data shares'!$C:$FB,65)*100</f>
        <v>25.69</v>
      </c>
    </row>
    <row r="42" spans="1:15" x14ac:dyDescent="0.25">
      <c r="A42" s="101" t="str">
        <f>'Data shares'!C37</f>
        <v>BHEL</v>
      </c>
      <c r="B42" s="50">
        <f>VLOOKUP($A42,'Data shares'!$C:$FB,7)</f>
        <v>250.5</v>
      </c>
      <c r="C42" s="50">
        <f>VLOOKUP($A42,'Data shares'!$C:$FB,10)*100</f>
        <v>-1.63</v>
      </c>
      <c r="D42" s="49">
        <f>VLOOKUP($A42,'Data shares'!$C:$FB,66)</f>
        <v>42165375</v>
      </c>
      <c r="E42" s="49">
        <f>VLOOKUP($A42,'Data shares'!$C:$FB,67)</f>
        <v>43414875</v>
      </c>
      <c r="F42" s="50">
        <f>VLOOKUP($A42,'Data shares'!$C:$FB,69)*100</f>
        <v>-2.88</v>
      </c>
      <c r="G42" s="49">
        <f>VLOOKUP($A42,'Data shares'!$C:$FB,42)</f>
        <v>8271375</v>
      </c>
      <c r="H42" s="49">
        <f>VLOOKUP($A42,'Data shares'!$C:$FB,43)</f>
        <v>9287250</v>
      </c>
      <c r="I42" s="50">
        <f>VLOOKUP($A42,'Data shares'!$C:$FB,45)*100</f>
        <v>-10.94</v>
      </c>
      <c r="J42" s="49">
        <f>VLOOKUP($A42,'Data shares'!$C:$FB,58)</f>
        <v>22021125</v>
      </c>
      <c r="K42" s="49">
        <f>VLOOKUP($A42,'Data shares'!$C:$FB,59)</f>
        <v>23506875</v>
      </c>
      <c r="L42" s="50">
        <f>VLOOKUP($A42,'Data shares'!$C:$FB,61)*100</f>
        <v>-6.32</v>
      </c>
      <c r="M42" s="49">
        <f>VLOOKUP($A42,'Data shares'!$C:$FB,62)</f>
        <v>11872875</v>
      </c>
      <c r="N42" s="49">
        <f>VLOOKUP($A42,'Data shares'!$C:$FB,63)</f>
        <v>10620750</v>
      </c>
      <c r="O42" s="140">
        <f>VLOOKUP($A42,'Data shares'!$C:$FB,65)*100</f>
        <v>11.790000000000001</v>
      </c>
    </row>
    <row r="43" spans="1:15" x14ac:dyDescent="0.25">
      <c r="A43" s="101" t="str">
        <f>'Data shares'!C38</f>
        <v>BIOCON</v>
      </c>
      <c r="B43" s="50">
        <f>VLOOKUP($A43,'Data shares'!$C:$FB,7)</f>
        <v>387.2</v>
      </c>
      <c r="C43" s="50">
        <f>VLOOKUP($A43,'Data shares'!$C:$FB,10)*100</f>
        <v>-1.8900000000000001</v>
      </c>
      <c r="D43" s="49">
        <f>VLOOKUP($A43,'Data shares'!$C:$FB,66)</f>
        <v>36972500</v>
      </c>
      <c r="E43" s="49">
        <f>VLOOKUP($A43,'Data shares'!$C:$FB,67)</f>
        <v>27825000</v>
      </c>
      <c r="F43" s="50">
        <f>VLOOKUP($A43,'Data shares'!$C:$FB,69)*100</f>
        <v>32.879999999999995</v>
      </c>
      <c r="G43" s="49">
        <f>VLOOKUP($A43,'Data shares'!$C:$FB,42)</f>
        <v>7977500</v>
      </c>
      <c r="H43" s="49">
        <f>VLOOKUP($A43,'Data shares'!$C:$FB,43)</f>
        <v>5772500</v>
      </c>
      <c r="I43" s="50">
        <f>VLOOKUP($A43,'Data shares'!$C:$FB,45)*100</f>
        <v>38.200000000000003</v>
      </c>
      <c r="J43" s="49">
        <f>VLOOKUP($A43,'Data shares'!$C:$FB,58)</f>
        <v>18190000</v>
      </c>
      <c r="K43" s="49">
        <f>VLOOKUP($A43,'Data shares'!$C:$FB,59)</f>
        <v>14650000</v>
      </c>
      <c r="L43" s="50">
        <f>VLOOKUP($A43,'Data shares'!$C:$FB,61)*100</f>
        <v>24.16</v>
      </c>
      <c r="M43" s="49">
        <f>VLOOKUP($A43,'Data shares'!$C:$FB,62)</f>
        <v>10805000</v>
      </c>
      <c r="N43" s="49">
        <f>VLOOKUP($A43,'Data shares'!$C:$FB,63)</f>
        <v>7402500</v>
      </c>
      <c r="O43" s="140">
        <f>VLOOKUP($A43,'Data shares'!$C:$FB,65)*100</f>
        <v>45.96</v>
      </c>
    </row>
    <row r="44" spans="1:15" x14ac:dyDescent="0.25">
      <c r="A44" s="101" t="str">
        <f>'Data shares'!C39</f>
        <v>BLUESTARCO</v>
      </c>
      <c r="B44" s="50">
        <f>VLOOKUP($A44,'Data shares'!$C:$FB,7)</f>
        <v>1764.2</v>
      </c>
      <c r="C44" s="50">
        <f>VLOOKUP($A44,'Data shares'!$C:$FB,10)*100</f>
        <v>-3.04</v>
      </c>
      <c r="D44" s="49">
        <f>VLOOKUP($A44,'Data shares'!$C:$FB,66)</f>
        <v>6252025</v>
      </c>
      <c r="E44" s="49">
        <f>VLOOKUP($A44,'Data shares'!$C:$FB,67)</f>
        <v>6010875</v>
      </c>
      <c r="F44" s="50">
        <f>VLOOKUP($A44,'Data shares'!$C:$FB,69)*100</f>
        <v>4.01</v>
      </c>
      <c r="G44" s="49">
        <f>VLOOKUP($A44,'Data shares'!$C:$FB,42)</f>
        <v>1050725</v>
      </c>
      <c r="H44" s="49">
        <f>VLOOKUP($A44,'Data shares'!$C:$FB,43)</f>
        <v>509600</v>
      </c>
      <c r="I44" s="50">
        <f>VLOOKUP($A44,'Data shares'!$C:$FB,45)*100</f>
        <v>106.19000000000001</v>
      </c>
      <c r="J44" s="49">
        <f>VLOOKUP($A44,'Data shares'!$C:$FB,58)</f>
        <v>2813200</v>
      </c>
      <c r="K44" s="49">
        <f>VLOOKUP($A44,'Data shares'!$C:$FB,59)</f>
        <v>1984125</v>
      </c>
      <c r="L44" s="50">
        <f>VLOOKUP($A44,'Data shares'!$C:$FB,61)*100</f>
        <v>41.79</v>
      </c>
      <c r="M44" s="49">
        <f>VLOOKUP($A44,'Data shares'!$C:$FB,62)</f>
        <v>2388100</v>
      </c>
      <c r="N44" s="49">
        <f>VLOOKUP($A44,'Data shares'!$C:$FB,63)</f>
        <v>3517150</v>
      </c>
      <c r="O44" s="140">
        <f>VLOOKUP($A44,'Data shares'!$C:$FB,65)*100</f>
        <v>-32.1</v>
      </c>
    </row>
    <row r="45" spans="1:15" x14ac:dyDescent="0.25">
      <c r="A45" s="101" t="str">
        <f>'Data shares'!C40</f>
        <v>BOSCHLTD</v>
      </c>
      <c r="B45" s="50">
        <f>VLOOKUP($A45,'Data shares'!$C:$FB,7)</f>
        <v>37755</v>
      </c>
      <c r="C45" s="50">
        <f>VLOOKUP($A45,'Data shares'!$C:$FB,10)*100</f>
        <v>-1.47</v>
      </c>
      <c r="D45" s="49">
        <f>VLOOKUP($A45,'Data shares'!$C:$FB,66)</f>
        <v>1148600</v>
      </c>
      <c r="E45" s="49">
        <f>VLOOKUP($A45,'Data shares'!$C:$FB,67)</f>
        <v>842300</v>
      </c>
      <c r="F45" s="50">
        <f>VLOOKUP($A45,'Data shares'!$C:$FB,69)*100</f>
        <v>36.36</v>
      </c>
      <c r="G45" s="49">
        <f>VLOOKUP($A45,'Data shares'!$C:$FB,42)</f>
        <v>70025</v>
      </c>
      <c r="H45" s="49">
        <f>VLOOKUP($A45,'Data shares'!$C:$FB,43)</f>
        <v>63000</v>
      </c>
      <c r="I45" s="50">
        <f>VLOOKUP($A45,'Data shares'!$C:$FB,45)*100</f>
        <v>11.15</v>
      </c>
      <c r="J45" s="49">
        <f>VLOOKUP($A45,'Data shares'!$C:$FB,58)</f>
        <v>711800</v>
      </c>
      <c r="K45" s="49">
        <f>VLOOKUP($A45,'Data shares'!$C:$FB,59)</f>
        <v>568750</v>
      </c>
      <c r="L45" s="50">
        <f>VLOOKUP($A45,'Data shares'!$C:$FB,61)*100</f>
        <v>25.15</v>
      </c>
      <c r="M45" s="49">
        <f>VLOOKUP($A45,'Data shares'!$C:$FB,62)</f>
        <v>366775</v>
      </c>
      <c r="N45" s="49">
        <f>VLOOKUP($A45,'Data shares'!$C:$FB,63)</f>
        <v>210550</v>
      </c>
      <c r="O45" s="140">
        <f>VLOOKUP($A45,'Data shares'!$C:$FB,65)*100</f>
        <v>74.2</v>
      </c>
    </row>
    <row r="46" spans="1:15" x14ac:dyDescent="0.25">
      <c r="A46" s="101" t="str">
        <f>'Data shares'!C41</f>
        <v>BPCL</v>
      </c>
      <c r="B46" s="50">
        <f>VLOOKUP($A46,'Data shares'!$C:$FB,7)</f>
        <v>340.35</v>
      </c>
      <c r="C46" s="50">
        <f>VLOOKUP($A46,'Data shares'!$C:$FB,10)*100</f>
        <v>-0.66</v>
      </c>
      <c r="D46" s="49">
        <f>VLOOKUP($A46,'Data shares'!$C:$FB,66)</f>
        <v>24249050</v>
      </c>
      <c r="E46" s="49">
        <f>VLOOKUP($A46,'Data shares'!$C:$FB,67)</f>
        <v>25242475</v>
      </c>
      <c r="F46" s="50">
        <f>VLOOKUP($A46,'Data shares'!$C:$FB,69)*100</f>
        <v>-3.94</v>
      </c>
      <c r="G46" s="49">
        <f>VLOOKUP($A46,'Data shares'!$C:$FB,42)</f>
        <v>6025725</v>
      </c>
      <c r="H46" s="49">
        <f>VLOOKUP($A46,'Data shares'!$C:$FB,43)</f>
        <v>5488525</v>
      </c>
      <c r="I46" s="50">
        <f>VLOOKUP($A46,'Data shares'!$C:$FB,45)*100</f>
        <v>9.7900000000000009</v>
      </c>
      <c r="J46" s="49">
        <f>VLOOKUP($A46,'Data shares'!$C:$FB,58)</f>
        <v>11848025</v>
      </c>
      <c r="K46" s="49">
        <f>VLOOKUP($A46,'Data shares'!$C:$FB,59)</f>
        <v>11950725</v>
      </c>
      <c r="L46" s="50">
        <f>VLOOKUP($A46,'Data shares'!$C:$FB,61)*100</f>
        <v>-0.86</v>
      </c>
      <c r="M46" s="49">
        <f>VLOOKUP($A46,'Data shares'!$C:$FB,62)</f>
        <v>6375300</v>
      </c>
      <c r="N46" s="49">
        <f>VLOOKUP($A46,'Data shares'!$C:$FB,63)</f>
        <v>7803225</v>
      </c>
      <c r="O46" s="140">
        <f>VLOOKUP($A46,'Data shares'!$C:$FB,65)*100</f>
        <v>-18.3</v>
      </c>
    </row>
    <row r="47" spans="1:15" x14ac:dyDescent="0.25">
      <c r="A47" s="101" t="str">
        <f>'Data shares'!C42</f>
        <v>BRITANNIA</v>
      </c>
      <c r="B47" s="50">
        <f>VLOOKUP($A47,'Data shares'!$C:$FB,7)</f>
        <v>5708.5</v>
      </c>
      <c r="C47" s="50">
        <f>VLOOKUP($A47,'Data shares'!$C:$FB,10)*100</f>
        <v>0.48</v>
      </c>
      <c r="D47" s="49">
        <f>VLOOKUP($A47,'Data shares'!$C:$FB,66)</f>
        <v>2176750</v>
      </c>
      <c r="E47" s="49">
        <f>VLOOKUP($A47,'Data shares'!$C:$FB,67)</f>
        <v>1535125</v>
      </c>
      <c r="F47" s="50">
        <f>VLOOKUP($A47,'Data shares'!$C:$FB,69)*100</f>
        <v>41.8</v>
      </c>
      <c r="G47" s="49">
        <f>VLOOKUP($A47,'Data shares'!$C:$FB,42)</f>
        <v>347750</v>
      </c>
      <c r="H47" s="49">
        <f>VLOOKUP($A47,'Data shares'!$C:$FB,43)</f>
        <v>342375</v>
      </c>
      <c r="I47" s="50">
        <f>VLOOKUP($A47,'Data shares'!$C:$FB,45)*100</f>
        <v>1.5699999999999998</v>
      </c>
      <c r="J47" s="49">
        <f>VLOOKUP($A47,'Data shares'!$C:$FB,58)</f>
        <v>1169000</v>
      </c>
      <c r="K47" s="49">
        <f>VLOOKUP($A47,'Data shares'!$C:$FB,59)</f>
        <v>782750</v>
      </c>
      <c r="L47" s="50">
        <f>VLOOKUP($A47,'Data shares'!$C:$FB,61)*100</f>
        <v>49.35</v>
      </c>
      <c r="M47" s="49">
        <f>VLOOKUP($A47,'Data shares'!$C:$FB,62)</f>
        <v>660000</v>
      </c>
      <c r="N47" s="49">
        <f>VLOOKUP($A47,'Data shares'!$C:$FB,63)</f>
        <v>410000</v>
      </c>
      <c r="O47" s="140">
        <f>VLOOKUP($A47,'Data shares'!$C:$FB,65)*100</f>
        <v>60.980000000000004</v>
      </c>
    </row>
    <row r="48" spans="1:15" x14ac:dyDescent="0.25">
      <c r="A48" s="101" t="str">
        <f>'Data shares'!C43</f>
        <v>BSE</v>
      </c>
      <c r="B48" s="50">
        <f>VLOOKUP($A48,'Data shares'!$C:$FB,7)</f>
        <v>2548.4</v>
      </c>
      <c r="C48" s="50">
        <f>VLOOKUP($A48,'Data shares'!$C:$FB,10)*100</f>
        <v>1.0699999999999998</v>
      </c>
      <c r="D48" s="49">
        <f>VLOOKUP($A48,'Data shares'!$C:$FB,66)</f>
        <v>34615500</v>
      </c>
      <c r="E48" s="49">
        <f>VLOOKUP($A48,'Data shares'!$C:$FB,67)</f>
        <v>63047625</v>
      </c>
      <c r="F48" s="50">
        <f>VLOOKUP($A48,'Data shares'!$C:$FB,69)*100</f>
        <v>-45.1</v>
      </c>
      <c r="G48" s="49">
        <f>VLOOKUP($A48,'Data shares'!$C:$FB,42)</f>
        <v>3063750</v>
      </c>
      <c r="H48" s="49">
        <f>VLOOKUP($A48,'Data shares'!$C:$FB,43)</f>
        <v>4828125</v>
      </c>
      <c r="I48" s="50">
        <f>VLOOKUP($A48,'Data shares'!$C:$FB,45)*100</f>
        <v>-36.54</v>
      </c>
      <c r="J48" s="49">
        <f>VLOOKUP($A48,'Data shares'!$C:$FB,58)</f>
        <v>20691000</v>
      </c>
      <c r="K48" s="49">
        <f>VLOOKUP($A48,'Data shares'!$C:$FB,59)</f>
        <v>40637625</v>
      </c>
      <c r="L48" s="50">
        <f>VLOOKUP($A48,'Data shares'!$C:$FB,61)*100</f>
        <v>-49.08</v>
      </c>
      <c r="M48" s="49">
        <f>VLOOKUP($A48,'Data shares'!$C:$FB,62)</f>
        <v>10860750</v>
      </c>
      <c r="N48" s="49">
        <f>VLOOKUP($A48,'Data shares'!$C:$FB,63)</f>
        <v>17581875</v>
      </c>
      <c r="O48" s="140">
        <f>VLOOKUP($A48,'Data shares'!$C:$FB,65)*100</f>
        <v>-38.229999999999997</v>
      </c>
    </row>
    <row r="49" spans="1:15" x14ac:dyDescent="0.25">
      <c r="A49" s="101" t="str">
        <f>'Data shares'!C44</f>
        <v>BSOFT</v>
      </c>
      <c r="B49" s="50">
        <f>VLOOKUP($A49,'Data shares'!$C:$FB,7)</f>
        <v>404.3</v>
      </c>
      <c r="C49" s="50">
        <f>VLOOKUP($A49,'Data shares'!$C:$FB,10)*100</f>
        <v>-2.96</v>
      </c>
      <c r="D49" s="49">
        <f>VLOOKUP($A49,'Data shares'!$C:$FB,66)</f>
        <v>12356500</v>
      </c>
      <c r="E49" s="49">
        <f>VLOOKUP($A49,'Data shares'!$C:$FB,67)</f>
        <v>4625400</v>
      </c>
      <c r="F49" s="50">
        <f>VLOOKUP($A49,'Data shares'!$C:$FB,69)*100</f>
        <v>167.14</v>
      </c>
      <c r="G49" s="49">
        <f>VLOOKUP($A49,'Data shares'!$C:$FB,42)</f>
        <v>1515800</v>
      </c>
      <c r="H49" s="49">
        <f>VLOOKUP($A49,'Data shares'!$C:$FB,43)</f>
        <v>776100</v>
      </c>
      <c r="I49" s="50">
        <f>VLOOKUP($A49,'Data shares'!$C:$FB,45)*100</f>
        <v>95.309999999999988</v>
      </c>
      <c r="J49" s="49">
        <f>VLOOKUP($A49,'Data shares'!$C:$FB,58)</f>
        <v>8732100</v>
      </c>
      <c r="K49" s="49">
        <f>VLOOKUP($A49,'Data shares'!$C:$FB,59)</f>
        <v>3114800</v>
      </c>
      <c r="L49" s="50">
        <f>VLOOKUP($A49,'Data shares'!$C:$FB,61)*100</f>
        <v>180.33999999999997</v>
      </c>
      <c r="M49" s="49">
        <f>VLOOKUP($A49,'Data shares'!$C:$FB,62)</f>
        <v>2108600</v>
      </c>
      <c r="N49" s="49">
        <f>VLOOKUP($A49,'Data shares'!$C:$FB,63)</f>
        <v>734500</v>
      </c>
      <c r="O49" s="140">
        <f>VLOOKUP($A49,'Data shares'!$C:$FB,65)*100</f>
        <v>187.08</v>
      </c>
    </row>
    <row r="50" spans="1:15" x14ac:dyDescent="0.25">
      <c r="A50" s="101" t="str">
        <f>'Data shares'!C45</f>
        <v>CAMS</v>
      </c>
      <c r="B50" s="50">
        <f>VLOOKUP($A50,'Data shares'!$C:$FB,7)</f>
        <v>4247.5</v>
      </c>
      <c r="C50" s="50">
        <f>VLOOKUP($A50,'Data shares'!$C:$FB,10)*100</f>
        <v>0</v>
      </c>
      <c r="D50" s="49">
        <f>VLOOKUP($A50,'Data shares'!$C:$FB,66)</f>
        <v>1539450</v>
      </c>
      <c r="E50" s="49">
        <f>VLOOKUP($A50,'Data shares'!$C:$FB,67)</f>
        <v>1344150</v>
      </c>
      <c r="F50" s="50">
        <f>VLOOKUP($A50,'Data shares'!$C:$FB,69)*100</f>
        <v>14.530000000000001</v>
      </c>
      <c r="G50" s="49">
        <f>VLOOKUP($A50,'Data shares'!$C:$FB,42)</f>
        <v>320850</v>
      </c>
      <c r="H50" s="49">
        <f>VLOOKUP($A50,'Data shares'!$C:$FB,43)</f>
        <v>268950</v>
      </c>
      <c r="I50" s="50">
        <f>VLOOKUP($A50,'Data shares'!$C:$FB,45)*100</f>
        <v>19.3</v>
      </c>
      <c r="J50" s="49">
        <f>VLOOKUP($A50,'Data shares'!$C:$FB,58)</f>
        <v>874050</v>
      </c>
      <c r="K50" s="49">
        <f>VLOOKUP($A50,'Data shares'!$C:$FB,59)</f>
        <v>716700</v>
      </c>
      <c r="L50" s="50">
        <f>VLOOKUP($A50,'Data shares'!$C:$FB,61)*100</f>
        <v>21.95</v>
      </c>
      <c r="M50" s="49">
        <f>VLOOKUP($A50,'Data shares'!$C:$FB,62)</f>
        <v>344550</v>
      </c>
      <c r="N50" s="49">
        <f>VLOOKUP($A50,'Data shares'!$C:$FB,63)</f>
        <v>358500</v>
      </c>
      <c r="O50" s="140">
        <f>VLOOKUP($A50,'Data shares'!$C:$FB,65)*100</f>
        <v>-3.8899999999999997</v>
      </c>
    </row>
    <row r="51" spans="1:15" x14ac:dyDescent="0.25">
      <c r="A51" s="101" t="str">
        <f>'Data shares'!C46</f>
        <v>CANBK</v>
      </c>
      <c r="B51" s="50">
        <f>VLOOKUP($A51,'Data shares'!$C:$FB,7)</f>
        <v>108.05</v>
      </c>
      <c r="C51" s="50">
        <f>VLOOKUP($A51,'Data shares'!$C:$FB,10)*100</f>
        <v>-3.55</v>
      </c>
      <c r="D51" s="49">
        <f>VLOOKUP($A51,'Data shares'!$C:$FB,66)</f>
        <v>493269750</v>
      </c>
      <c r="E51" s="49">
        <f>VLOOKUP($A51,'Data shares'!$C:$FB,67)</f>
        <v>414605250</v>
      </c>
      <c r="F51" s="50">
        <f>VLOOKUP($A51,'Data shares'!$C:$FB,69)*100</f>
        <v>18.970000000000002</v>
      </c>
      <c r="G51" s="49">
        <f>VLOOKUP($A51,'Data shares'!$C:$FB,42)</f>
        <v>99488250</v>
      </c>
      <c r="H51" s="49">
        <f>VLOOKUP($A51,'Data shares'!$C:$FB,43)</f>
        <v>75586500</v>
      </c>
      <c r="I51" s="50">
        <f>VLOOKUP($A51,'Data shares'!$C:$FB,45)*100</f>
        <v>31.619999999999997</v>
      </c>
      <c r="J51" s="49">
        <f>VLOOKUP($A51,'Data shares'!$C:$FB,58)</f>
        <v>267070500</v>
      </c>
      <c r="K51" s="49">
        <f>VLOOKUP($A51,'Data shares'!$C:$FB,59)</f>
        <v>243891000</v>
      </c>
      <c r="L51" s="50">
        <f>VLOOKUP($A51,'Data shares'!$C:$FB,61)*100</f>
        <v>9.5</v>
      </c>
      <c r="M51" s="49">
        <f>VLOOKUP($A51,'Data shares'!$C:$FB,62)</f>
        <v>126711000</v>
      </c>
      <c r="N51" s="49">
        <f>VLOOKUP($A51,'Data shares'!$C:$FB,63)</f>
        <v>95127750</v>
      </c>
      <c r="O51" s="140">
        <f>VLOOKUP($A51,'Data shares'!$C:$FB,65)*100</f>
        <v>33.200000000000003</v>
      </c>
    </row>
    <row r="52" spans="1:15" x14ac:dyDescent="0.25">
      <c r="A52" s="101" t="str">
        <f>'Data shares'!C47</f>
        <v>CDSL</v>
      </c>
      <c r="B52" s="50">
        <f>VLOOKUP($A52,'Data shares'!$C:$FB,7)</f>
        <v>1714.7</v>
      </c>
      <c r="C52" s="50">
        <f>VLOOKUP($A52,'Data shares'!$C:$FB,10)*100</f>
        <v>-0.97</v>
      </c>
      <c r="D52" s="49">
        <f>VLOOKUP($A52,'Data shares'!$C:$FB,66)</f>
        <v>17020200</v>
      </c>
      <c r="E52" s="49">
        <f>VLOOKUP($A52,'Data shares'!$C:$FB,67)</f>
        <v>14529775</v>
      </c>
      <c r="F52" s="50">
        <f>VLOOKUP($A52,'Data shares'!$C:$FB,69)*100</f>
        <v>17.14</v>
      </c>
      <c r="G52" s="49">
        <f>VLOOKUP($A52,'Data shares'!$C:$FB,42)</f>
        <v>2871850</v>
      </c>
      <c r="H52" s="49">
        <f>VLOOKUP($A52,'Data shares'!$C:$FB,43)</f>
        <v>2467625</v>
      </c>
      <c r="I52" s="50">
        <f>VLOOKUP($A52,'Data shares'!$C:$FB,45)*100</f>
        <v>16.38</v>
      </c>
      <c r="J52" s="49">
        <f>VLOOKUP($A52,'Data shares'!$C:$FB,58)</f>
        <v>10602950</v>
      </c>
      <c r="K52" s="49">
        <f>VLOOKUP($A52,'Data shares'!$C:$FB,59)</f>
        <v>8613175</v>
      </c>
      <c r="L52" s="50">
        <f>VLOOKUP($A52,'Data shares'!$C:$FB,61)*100</f>
        <v>23.1</v>
      </c>
      <c r="M52" s="49">
        <f>VLOOKUP($A52,'Data shares'!$C:$FB,62)</f>
        <v>3545400</v>
      </c>
      <c r="N52" s="49">
        <f>VLOOKUP($A52,'Data shares'!$C:$FB,63)</f>
        <v>3448975</v>
      </c>
      <c r="O52" s="140">
        <f>VLOOKUP($A52,'Data shares'!$C:$FB,65)*100</f>
        <v>2.8000000000000003</v>
      </c>
    </row>
    <row r="53" spans="1:15" x14ac:dyDescent="0.25">
      <c r="A53" s="101" t="str">
        <f>'Data shares'!C48</f>
        <v>CESC</v>
      </c>
      <c r="B53" s="50">
        <f>VLOOKUP($A53,'Data shares'!$C:$FB,7)</f>
        <v>177.93</v>
      </c>
      <c r="C53" s="50">
        <f>VLOOKUP($A53,'Data shares'!$C:$FB,10)*100</f>
        <v>-0.5</v>
      </c>
      <c r="D53" s="49">
        <f>VLOOKUP($A53,'Data shares'!$C:$FB,66)</f>
        <v>6111750</v>
      </c>
      <c r="E53" s="49">
        <f>VLOOKUP($A53,'Data shares'!$C:$FB,67)</f>
        <v>16548125</v>
      </c>
      <c r="F53" s="50">
        <f>VLOOKUP($A53,'Data shares'!$C:$FB,69)*100</f>
        <v>-63.070000000000007</v>
      </c>
      <c r="G53" s="49">
        <f>VLOOKUP($A53,'Data shares'!$C:$FB,42)</f>
        <v>2135125</v>
      </c>
      <c r="H53" s="49">
        <f>VLOOKUP($A53,'Data shares'!$C:$FB,43)</f>
        <v>4495000</v>
      </c>
      <c r="I53" s="50">
        <f>VLOOKUP($A53,'Data shares'!$C:$FB,45)*100</f>
        <v>-52.5</v>
      </c>
      <c r="J53" s="49">
        <f>VLOOKUP($A53,'Data shares'!$C:$FB,58)</f>
        <v>3182750</v>
      </c>
      <c r="K53" s="49">
        <f>VLOOKUP($A53,'Data shares'!$C:$FB,59)</f>
        <v>8747125</v>
      </c>
      <c r="L53" s="50">
        <f>VLOOKUP($A53,'Data shares'!$C:$FB,61)*100</f>
        <v>-63.61</v>
      </c>
      <c r="M53" s="49">
        <f>VLOOKUP($A53,'Data shares'!$C:$FB,62)</f>
        <v>793875</v>
      </c>
      <c r="N53" s="49">
        <f>VLOOKUP($A53,'Data shares'!$C:$FB,63)</f>
        <v>3306000</v>
      </c>
      <c r="O53" s="140">
        <f>VLOOKUP($A53,'Data shares'!$C:$FB,65)*100</f>
        <v>-75.990000000000009</v>
      </c>
    </row>
    <row r="54" spans="1:15" x14ac:dyDescent="0.25">
      <c r="A54" s="101" t="str">
        <f>'Data shares'!C49</f>
        <v>CGPOWER</v>
      </c>
      <c r="B54" s="50">
        <f>VLOOKUP($A54,'Data shares'!$C:$FB,7)</f>
        <v>683.8</v>
      </c>
      <c r="C54" s="50">
        <f>VLOOKUP($A54,'Data shares'!$C:$FB,10)*100</f>
        <v>0.45999999999999996</v>
      </c>
      <c r="D54" s="49">
        <f>VLOOKUP($A54,'Data shares'!$C:$FB,66)</f>
        <v>12964200</v>
      </c>
      <c r="E54" s="49">
        <f>VLOOKUP($A54,'Data shares'!$C:$FB,67)</f>
        <v>12296100</v>
      </c>
      <c r="F54" s="50">
        <f>VLOOKUP($A54,'Data shares'!$C:$FB,69)*100</f>
        <v>5.43</v>
      </c>
      <c r="G54" s="49">
        <f>VLOOKUP($A54,'Data shares'!$C:$FB,42)</f>
        <v>4027300</v>
      </c>
      <c r="H54" s="49">
        <f>VLOOKUP($A54,'Data shares'!$C:$FB,43)</f>
        <v>3993300</v>
      </c>
      <c r="I54" s="50">
        <f>VLOOKUP($A54,'Data shares'!$C:$FB,45)*100</f>
        <v>0.85000000000000009</v>
      </c>
      <c r="J54" s="49">
        <f>VLOOKUP($A54,'Data shares'!$C:$FB,58)</f>
        <v>6613850</v>
      </c>
      <c r="K54" s="49">
        <f>VLOOKUP($A54,'Data shares'!$C:$FB,59)</f>
        <v>6212650</v>
      </c>
      <c r="L54" s="50">
        <f>VLOOKUP($A54,'Data shares'!$C:$FB,61)*100</f>
        <v>6.4600000000000009</v>
      </c>
      <c r="M54" s="49">
        <f>VLOOKUP($A54,'Data shares'!$C:$FB,62)</f>
        <v>2323050</v>
      </c>
      <c r="N54" s="49">
        <f>VLOOKUP($A54,'Data shares'!$C:$FB,63)</f>
        <v>2090150</v>
      </c>
      <c r="O54" s="140">
        <f>VLOOKUP($A54,'Data shares'!$C:$FB,65)*100</f>
        <v>11.14</v>
      </c>
    </row>
    <row r="55" spans="1:15" x14ac:dyDescent="0.25">
      <c r="A55" s="101" t="str">
        <f>'Data shares'!C50</f>
        <v>CHAMBLFERT</v>
      </c>
      <c r="B55" s="50">
        <f>VLOOKUP($A55,'Data shares'!$C:$FB,7)</f>
        <v>550.20000000000005</v>
      </c>
      <c r="C55" s="50">
        <f>VLOOKUP($A55,'Data shares'!$C:$FB,10)*100</f>
        <v>-0.27</v>
      </c>
      <c r="D55" s="49">
        <f>VLOOKUP($A55,'Data shares'!$C:$FB,66)</f>
        <v>4185700</v>
      </c>
      <c r="E55" s="49">
        <f>VLOOKUP($A55,'Data shares'!$C:$FB,67)</f>
        <v>5661050</v>
      </c>
      <c r="F55" s="50">
        <f>VLOOKUP($A55,'Data shares'!$C:$FB,69)*100</f>
        <v>-26.06</v>
      </c>
      <c r="G55" s="49">
        <f>VLOOKUP($A55,'Data shares'!$C:$FB,42)</f>
        <v>1191300</v>
      </c>
      <c r="H55" s="49">
        <f>VLOOKUP($A55,'Data shares'!$C:$FB,43)</f>
        <v>1530450</v>
      </c>
      <c r="I55" s="50">
        <f>VLOOKUP($A55,'Data shares'!$C:$FB,45)*100</f>
        <v>-22.16</v>
      </c>
      <c r="J55" s="49">
        <f>VLOOKUP($A55,'Data shares'!$C:$FB,58)</f>
        <v>2354100</v>
      </c>
      <c r="K55" s="49">
        <f>VLOOKUP($A55,'Data shares'!$C:$FB,59)</f>
        <v>2987750</v>
      </c>
      <c r="L55" s="50">
        <f>VLOOKUP($A55,'Data shares'!$C:$FB,61)*100</f>
        <v>-21.21</v>
      </c>
      <c r="M55" s="49">
        <f>VLOOKUP($A55,'Data shares'!$C:$FB,62)</f>
        <v>640300</v>
      </c>
      <c r="N55" s="49">
        <f>VLOOKUP($A55,'Data shares'!$C:$FB,63)</f>
        <v>1142850</v>
      </c>
      <c r="O55" s="140">
        <f>VLOOKUP($A55,'Data shares'!$C:$FB,65)*100</f>
        <v>-43.97</v>
      </c>
    </row>
    <row r="56" spans="1:15" x14ac:dyDescent="0.25">
      <c r="A56" s="101" t="str">
        <f>'Data shares'!C51</f>
        <v>CHOLAFIN</v>
      </c>
      <c r="B56" s="50">
        <f>VLOOKUP($A56,'Data shares'!$C:$FB,7)</f>
        <v>1565.4</v>
      </c>
      <c r="C56" s="50">
        <f>VLOOKUP($A56,'Data shares'!$C:$FB,10)*100</f>
        <v>-0.53</v>
      </c>
      <c r="D56" s="49">
        <f>VLOOKUP($A56,'Data shares'!$C:$FB,66)</f>
        <v>4680000</v>
      </c>
      <c r="E56" s="49">
        <f>VLOOKUP($A56,'Data shares'!$C:$FB,67)</f>
        <v>12791875</v>
      </c>
      <c r="F56" s="50">
        <f>VLOOKUP($A56,'Data shares'!$C:$FB,69)*100</f>
        <v>-63.41</v>
      </c>
      <c r="G56" s="49">
        <f>VLOOKUP($A56,'Data shares'!$C:$FB,42)</f>
        <v>1315000</v>
      </c>
      <c r="H56" s="49">
        <f>VLOOKUP($A56,'Data shares'!$C:$FB,43)</f>
        <v>4165625</v>
      </c>
      <c r="I56" s="50">
        <f>VLOOKUP($A56,'Data shares'!$C:$FB,45)*100</f>
        <v>-68.430000000000007</v>
      </c>
      <c r="J56" s="49">
        <f>VLOOKUP($A56,'Data shares'!$C:$FB,58)</f>
        <v>2246875</v>
      </c>
      <c r="K56" s="49">
        <f>VLOOKUP($A56,'Data shares'!$C:$FB,59)</f>
        <v>5636875</v>
      </c>
      <c r="L56" s="50">
        <f>VLOOKUP($A56,'Data shares'!$C:$FB,61)*100</f>
        <v>-60.140000000000008</v>
      </c>
      <c r="M56" s="49">
        <f>VLOOKUP($A56,'Data shares'!$C:$FB,62)</f>
        <v>1118125</v>
      </c>
      <c r="N56" s="49">
        <f>VLOOKUP($A56,'Data shares'!$C:$FB,63)</f>
        <v>2989375</v>
      </c>
      <c r="O56" s="140">
        <f>VLOOKUP($A56,'Data shares'!$C:$FB,65)*100</f>
        <v>-62.6</v>
      </c>
    </row>
    <row r="57" spans="1:15" x14ac:dyDescent="0.25">
      <c r="A57" s="101" t="str">
        <f>'Data shares'!C52</f>
        <v>CIPLA</v>
      </c>
      <c r="B57" s="50">
        <f>VLOOKUP($A57,'Data shares'!$C:$FB,7)</f>
        <v>1464.4</v>
      </c>
      <c r="C57" s="50">
        <f>VLOOKUP($A57,'Data shares'!$C:$FB,10)*100</f>
        <v>-0.64</v>
      </c>
      <c r="D57" s="49">
        <f>VLOOKUP($A57,'Data shares'!$C:$FB,66)</f>
        <v>6915750</v>
      </c>
      <c r="E57" s="49">
        <f>VLOOKUP($A57,'Data shares'!$C:$FB,67)</f>
        <v>3965250</v>
      </c>
      <c r="F57" s="50">
        <f>VLOOKUP($A57,'Data shares'!$C:$FB,69)*100</f>
        <v>74.41</v>
      </c>
      <c r="G57" s="49">
        <f>VLOOKUP($A57,'Data shares'!$C:$FB,42)</f>
        <v>1642500</v>
      </c>
      <c r="H57" s="49">
        <f>VLOOKUP($A57,'Data shares'!$C:$FB,43)</f>
        <v>1149375</v>
      </c>
      <c r="I57" s="50">
        <f>VLOOKUP($A57,'Data shares'!$C:$FB,45)*100</f>
        <v>42.9</v>
      </c>
      <c r="J57" s="49">
        <f>VLOOKUP($A57,'Data shares'!$C:$FB,58)</f>
        <v>3075375</v>
      </c>
      <c r="K57" s="49">
        <f>VLOOKUP($A57,'Data shares'!$C:$FB,59)</f>
        <v>1735875</v>
      </c>
      <c r="L57" s="50">
        <f>VLOOKUP($A57,'Data shares'!$C:$FB,61)*100</f>
        <v>77.17</v>
      </c>
      <c r="M57" s="49">
        <f>VLOOKUP($A57,'Data shares'!$C:$FB,62)</f>
        <v>2197875</v>
      </c>
      <c r="N57" s="49">
        <f>VLOOKUP($A57,'Data shares'!$C:$FB,63)</f>
        <v>1080000</v>
      </c>
      <c r="O57" s="140">
        <f>VLOOKUP($A57,'Data shares'!$C:$FB,65)*100</f>
        <v>103.50999999999999</v>
      </c>
    </row>
    <row r="58" spans="1:15" x14ac:dyDescent="0.25">
      <c r="A58" s="101" t="str">
        <f>'Data shares'!C53</f>
        <v>COALINDIA</v>
      </c>
      <c r="B58" s="50">
        <f>VLOOKUP($A58,'Data shares'!$C:$FB,7)</f>
        <v>389.1</v>
      </c>
      <c r="C58" s="50">
        <f>VLOOKUP($A58,'Data shares'!$C:$FB,10)*100</f>
        <v>0.59</v>
      </c>
      <c r="D58" s="49">
        <f>VLOOKUP($A58,'Data shares'!$C:$FB,66)</f>
        <v>62722350</v>
      </c>
      <c r="E58" s="49">
        <f>VLOOKUP($A58,'Data shares'!$C:$FB,67)</f>
        <v>41440950</v>
      </c>
      <c r="F58" s="50">
        <f>VLOOKUP($A58,'Data shares'!$C:$FB,69)*100</f>
        <v>51.349999999999994</v>
      </c>
      <c r="G58" s="49">
        <f>VLOOKUP($A58,'Data shares'!$C:$FB,42)</f>
        <v>10326150</v>
      </c>
      <c r="H58" s="49">
        <f>VLOOKUP($A58,'Data shares'!$C:$FB,43)</f>
        <v>9070650</v>
      </c>
      <c r="I58" s="50">
        <f>VLOOKUP($A58,'Data shares'!$C:$FB,45)*100</f>
        <v>13.84</v>
      </c>
      <c r="J58" s="49">
        <f>VLOOKUP($A58,'Data shares'!$C:$FB,58)</f>
        <v>34311600</v>
      </c>
      <c r="K58" s="49">
        <f>VLOOKUP($A58,'Data shares'!$C:$FB,59)</f>
        <v>19780200</v>
      </c>
      <c r="L58" s="50">
        <f>VLOOKUP($A58,'Data shares'!$C:$FB,61)*100</f>
        <v>73.460000000000008</v>
      </c>
      <c r="M58" s="49">
        <f>VLOOKUP($A58,'Data shares'!$C:$FB,62)</f>
        <v>18084600</v>
      </c>
      <c r="N58" s="49">
        <f>VLOOKUP($A58,'Data shares'!$C:$FB,63)</f>
        <v>12590100</v>
      </c>
      <c r="O58" s="140">
        <f>VLOOKUP($A58,'Data shares'!$C:$FB,65)*100</f>
        <v>43.64</v>
      </c>
    </row>
    <row r="59" spans="1:15" x14ac:dyDescent="0.25">
      <c r="A59" s="101" t="str">
        <f>'Data shares'!C54</f>
        <v>COFORGE</v>
      </c>
      <c r="B59" s="50">
        <f>VLOOKUP($A59,'Data shares'!$C:$FB,7)</f>
        <v>1858.4</v>
      </c>
      <c r="C59" s="50">
        <f>VLOOKUP($A59,'Data shares'!$C:$FB,10)*100</f>
        <v>-0.85000000000000009</v>
      </c>
      <c r="D59" s="49">
        <f>VLOOKUP($A59,'Data shares'!$C:$FB,66)</f>
        <v>8163000</v>
      </c>
      <c r="E59" s="49">
        <f>VLOOKUP($A59,'Data shares'!$C:$FB,67)</f>
        <v>6381375</v>
      </c>
      <c r="F59" s="50">
        <f>VLOOKUP($A59,'Data shares'!$C:$FB,69)*100</f>
        <v>27.92</v>
      </c>
      <c r="G59" s="49">
        <f>VLOOKUP($A59,'Data shares'!$C:$FB,42)</f>
        <v>2267625</v>
      </c>
      <c r="H59" s="49">
        <f>VLOOKUP($A59,'Data shares'!$C:$FB,43)</f>
        <v>1720125</v>
      </c>
      <c r="I59" s="50">
        <f>VLOOKUP($A59,'Data shares'!$C:$FB,45)*100</f>
        <v>31.830000000000002</v>
      </c>
      <c r="J59" s="49">
        <f>VLOOKUP($A59,'Data shares'!$C:$FB,58)</f>
        <v>4333500</v>
      </c>
      <c r="K59" s="49">
        <f>VLOOKUP($A59,'Data shares'!$C:$FB,59)</f>
        <v>3389250</v>
      </c>
      <c r="L59" s="50">
        <f>VLOOKUP($A59,'Data shares'!$C:$FB,61)*100</f>
        <v>27.860000000000003</v>
      </c>
      <c r="M59" s="49">
        <f>VLOOKUP($A59,'Data shares'!$C:$FB,62)</f>
        <v>1561875</v>
      </c>
      <c r="N59" s="49">
        <f>VLOOKUP($A59,'Data shares'!$C:$FB,63)</f>
        <v>1272000</v>
      </c>
      <c r="O59" s="140">
        <f>VLOOKUP($A59,'Data shares'!$C:$FB,65)*100</f>
        <v>22.79</v>
      </c>
    </row>
    <row r="60" spans="1:15" x14ac:dyDescent="0.25">
      <c r="A60" s="101" t="str">
        <f>'Data shares'!C55</f>
        <v>COLPAL</v>
      </c>
      <c r="B60" s="50">
        <f>VLOOKUP($A60,'Data shares'!$C:$FB,7)</f>
        <v>2379.5</v>
      </c>
      <c r="C60" s="50">
        <f>VLOOKUP($A60,'Data shares'!$C:$FB,10)*100</f>
        <v>-0.52</v>
      </c>
      <c r="D60" s="49">
        <f>VLOOKUP($A60,'Data shares'!$C:$FB,66)</f>
        <v>17249850</v>
      </c>
      <c r="E60" s="49">
        <f>VLOOKUP($A60,'Data shares'!$C:$FB,67)</f>
        <v>2920050</v>
      </c>
      <c r="F60" s="50">
        <f>VLOOKUP($A60,'Data shares'!$C:$FB,69)*100</f>
        <v>490.74</v>
      </c>
      <c r="G60" s="49">
        <f>VLOOKUP($A60,'Data shares'!$C:$FB,42)</f>
        <v>3943575</v>
      </c>
      <c r="H60" s="49">
        <f>VLOOKUP($A60,'Data shares'!$C:$FB,43)</f>
        <v>1013625</v>
      </c>
      <c r="I60" s="50">
        <f>VLOOKUP($A60,'Data shares'!$C:$FB,45)*100</f>
        <v>289.06</v>
      </c>
      <c r="J60" s="49">
        <f>VLOOKUP($A60,'Data shares'!$C:$FB,58)</f>
        <v>8121150</v>
      </c>
      <c r="K60" s="49">
        <f>VLOOKUP($A60,'Data shares'!$C:$FB,59)</f>
        <v>1248975</v>
      </c>
      <c r="L60" s="50">
        <f>VLOOKUP($A60,'Data shares'!$C:$FB,61)*100</f>
        <v>550.23</v>
      </c>
      <c r="M60" s="49">
        <f>VLOOKUP($A60,'Data shares'!$C:$FB,62)</f>
        <v>5185125</v>
      </c>
      <c r="N60" s="49">
        <f>VLOOKUP($A60,'Data shares'!$C:$FB,63)</f>
        <v>657450</v>
      </c>
      <c r="O60" s="140">
        <f>VLOOKUP($A60,'Data shares'!$C:$FB,65)*100</f>
        <v>688.67000000000007</v>
      </c>
    </row>
    <row r="61" spans="1:15" x14ac:dyDescent="0.25">
      <c r="A61" s="101" t="str">
        <f>'Data shares'!C56</f>
        <v>CONCOR</v>
      </c>
      <c r="B61" s="50">
        <f>VLOOKUP($A61,'Data shares'!$C:$FB,7)</f>
        <v>607.5</v>
      </c>
      <c r="C61" s="50">
        <f>VLOOKUP($A61,'Data shares'!$C:$FB,10)*100</f>
        <v>-0.97</v>
      </c>
      <c r="D61" s="49">
        <f>VLOOKUP($A61,'Data shares'!$C:$FB,66)</f>
        <v>9645000</v>
      </c>
      <c r="E61" s="49">
        <f>VLOOKUP($A61,'Data shares'!$C:$FB,67)</f>
        <v>6985000</v>
      </c>
      <c r="F61" s="50">
        <f>VLOOKUP($A61,'Data shares'!$C:$FB,69)*100</f>
        <v>38.080000000000005</v>
      </c>
      <c r="G61" s="49">
        <f>VLOOKUP($A61,'Data shares'!$C:$FB,42)</f>
        <v>3797500</v>
      </c>
      <c r="H61" s="49">
        <f>VLOOKUP($A61,'Data shares'!$C:$FB,43)</f>
        <v>1890000</v>
      </c>
      <c r="I61" s="50">
        <f>VLOOKUP($A61,'Data shares'!$C:$FB,45)*100</f>
        <v>100.93</v>
      </c>
      <c r="J61" s="49">
        <f>VLOOKUP($A61,'Data shares'!$C:$FB,58)</f>
        <v>4252500</v>
      </c>
      <c r="K61" s="49">
        <f>VLOOKUP($A61,'Data shares'!$C:$FB,59)</f>
        <v>3640000</v>
      </c>
      <c r="L61" s="50">
        <f>VLOOKUP($A61,'Data shares'!$C:$FB,61)*100</f>
        <v>16.830000000000002</v>
      </c>
      <c r="M61" s="49">
        <f>VLOOKUP($A61,'Data shares'!$C:$FB,62)</f>
        <v>1595000</v>
      </c>
      <c r="N61" s="49">
        <f>VLOOKUP($A61,'Data shares'!$C:$FB,63)</f>
        <v>1455000</v>
      </c>
      <c r="O61" s="140">
        <f>VLOOKUP($A61,'Data shares'!$C:$FB,65)*100</f>
        <v>9.6199999999999992</v>
      </c>
    </row>
    <row r="62" spans="1:15" x14ac:dyDescent="0.25">
      <c r="A62" s="101" t="str">
        <f>'Data shares'!C57</f>
        <v>CROMPTON</v>
      </c>
      <c r="B62" s="50">
        <f>VLOOKUP($A62,'Data shares'!$C:$FB,7)</f>
        <v>335.95</v>
      </c>
      <c r="C62" s="50">
        <f>VLOOKUP($A62,'Data shares'!$C:$FB,10)*100</f>
        <v>-1.52</v>
      </c>
      <c r="D62" s="49">
        <f>VLOOKUP($A62,'Data shares'!$C:$FB,66)</f>
        <v>21263400</v>
      </c>
      <c r="E62" s="49">
        <f>VLOOKUP($A62,'Data shares'!$C:$FB,67)</f>
        <v>8604000</v>
      </c>
      <c r="F62" s="50">
        <f>VLOOKUP($A62,'Data shares'!$C:$FB,69)*100</f>
        <v>147.13</v>
      </c>
      <c r="G62" s="49">
        <f>VLOOKUP($A62,'Data shares'!$C:$FB,42)</f>
        <v>7515000</v>
      </c>
      <c r="H62" s="49">
        <f>VLOOKUP($A62,'Data shares'!$C:$FB,43)</f>
        <v>3108600</v>
      </c>
      <c r="I62" s="50">
        <f>VLOOKUP($A62,'Data shares'!$C:$FB,45)*100</f>
        <v>141.75</v>
      </c>
      <c r="J62" s="49">
        <f>VLOOKUP($A62,'Data shares'!$C:$FB,58)</f>
        <v>9361800</v>
      </c>
      <c r="K62" s="49">
        <f>VLOOKUP($A62,'Data shares'!$C:$FB,59)</f>
        <v>3841200</v>
      </c>
      <c r="L62" s="50">
        <f>VLOOKUP($A62,'Data shares'!$C:$FB,61)*100</f>
        <v>143.72</v>
      </c>
      <c r="M62" s="49">
        <f>VLOOKUP($A62,'Data shares'!$C:$FB,62)</f>
        <v>4386600</v>
      </c>
      <c r="N62" s="49">
        <f>VLOOKUP($A62,'Data shares'!$C:$FB,63)</f>
        <v>1654200</v>
      </c>
      <c r="O62" s="140">
        <f>VLOOKUP($A62,'Data shares'!$C:$FB,65)*100</f>
        <v>165.18</v>
      </c>
    </row>
    <row r="63" spans="1:15" x14ac:dyDescent="0.25">
      <c r="A63" s="101" t="str">
        <f>'Data shares'!C58</f>
        <v>CUMMINSIND</v>
      </c>
      <c r="B63" s="50">
        <f>VLOOKUP($A63,'Data shares'!$C:$FB,7)</f>
        <v>3587.4</v>
      </c>
      <c r="C63" s="50">
        <f>VLOOKUP($A63,'Data shares'!$C:$FB,10)*100</f>
        <v>-0.84</v>
      </c>
      <c r="D63" s="49">
        <f>VLOOKUP($A63,'Data shares'!$C:$FB,66)</f>
        <v>2087600</v>
      </c>
      <c r="E63" s="49">
        <f>VLOOKUP($A63,'Data shares'!$C:$FB,67)</f>
        <v>4072400</v>
      </c>
      <c r="F63" s="50">
        <f>VLOOKUP($A63,'Data shares'!$C:$FB,69)*100</f>
        <v>-48.74</v>
      </c>
      <c r="G63" s="49">
        <f>VLOOKUP($A63,'Data shares'!$C:$FB,42)</f>
        <v>471000</v>
      </c>
      <c r="H63" s="49">
        <f>VLOOKUP($A63,'Data shares'!$C:$FB,43)</f>
        <v>691800</v>
      </c>
      <c r="I63" s="50">
        <f>VLOOKUP($A63,'Data shares'!$C:$FB,45)*100</f>
        <v>-31.919999999999998</v>
      </c>
      <c r="J63" s="49">
        <f>VLOOKUP($A63,'Data shares'!$C:$FB,58)</f>
        <v>1029800</v>
      </c>
      <c r="K63" s="49">
        <f>VLOOKUP($A63,'Data shares'!$C:$FB,59)</f>
        <v>2528200</v>
      </c>
      <c r="L63" s="50">
        <f>VLOOKUP($A63,'Data shares'!$C:$FB,61)*100</f>
        <v>-59.27</v>
      </c>
      <c r="M63" s="49">
        <f>VLOOKUP($A63,'Data shares'!$C:$FB,62)</f>
        <v>586800</v>
      </c>
      <c r="N63" s="49">
        <f>VLOOKUP($A63,'Data shares'!$C:$FB,63)</f>
        <v>852400</v>
      </c>
      <c r="O63" s="140">
        <f>VLOOKUP($A63,'Data shares'!$C:$FB,65)*100</f>
        <v>-31.16</v>
      </c>
    </row>
    <row r="64" spans="1:15" x14ac:dyDescent="0.25">
      <c r="A64" s="101" t="str">
        <f>'Data shares'!C59</f>
        <v>CYIENT</v>
      </c>
      <c r="B64" s="50">
        <f>VLOOKUP($A64,'Data shares'!$C:$FB,7)</f>
        <v>1271.2</v>
      </c>
      <c r="C64" s="50">
        <f>VLOOKUP($A64,'Data shares'!$C:$FB,10)*100</f>
        <v>-0.92999999999999994</v>
      </c>
      <c r="D64" s="49">
        <f>VLOOKUP($A64,'Data shares'!$C:$FB,66)</f>
        <v>1092250</v>
      </c>
      <c r="E64" s="49">
        <f>VLOOKUP($A64,'Data shares'!$C:$FB,67)</f>
        <v>1327275</v>
      </c>
      <c r="F64" s="50">
        <f>VLOOKUP($A64,'Data shares'!$C:$FB,69)*100</f>
        <v>-17.71</v>
      </c>
      <c r="G64" s="49">
        <f>VLOOKUP($A64,'Data shares'!$C:$FB,42)</f>
        <v>299625</v>
      </c>
      <c r="H64" s="49">
        <f>VLOOKUP($A64,'Data shares'!$C:$FB,43)</f>
        <v>283050</v>
      </c>
      <c r="I64" s="50">
        <f>VLOOKUP($A64,'Data shares'!$C:$FB,45)*100</f>
        <v>5.86</v>
      </c>
      <c r="J64" s="49">
        <f>VLOOKUP($A64,'Data shares'!$C:$FB,58)</f>
        <v>482800</v>
      </c>
      <c r="K64" s="49">
        <f>VLOOKUP($A64,'Data shares'!$C:$FB,59)</f>
        <v>695300</v>
      </c>
      <c r="L64" s="50">
        <f>VLOOKUP($A64,'Data shares'!$C:$FB,61)*100</f>
        <v>-30.56</v>
      </c>
      <c r="M64" s="49">
        <f>VLOOKUP($A64,'Data shares'!$C:$FB,62)</f>
        <v>309825</v>
      </c>
      <c r="N64" s="49">
        <f>VLOOKUP($A64,'Data shares'!$C:$FB,63)</f>
        <v>348925</v>
      </c>
      <c r="O64" s="140">
        <f>VLOOKUP($A64,'Data shares'!$C:$FB,65)*100</f>
        <v>-11.21</v>
      </c>
    </row>
    <row r="65" spans="1:15" x14ac:dyDescent="0.25">
      <c r="A65" s="101" t="str">
        <f>'Data shares'!C60</f>
        <v>DABUR</v>
      </c>
      <c r="B65" s="50">
        <f>VLOOKUP($A65,'Data shares'!$C:$FB,7)</f>
        <v>515.04999999999995</v>
      </c>
      <c r="C65" s="50">
        <f>VLOOKUP($A65,'Data shares'!$C:$FB,10)*100</f>
        <v>0.1</v>
      </c>
      <c r="D65" s="49">
        <f>VLOOKUP($A65,'Data shares'!$C:$FB,66)</f>
        <v>11286250</v>
      </c>
      <c r="E65" s="49">
        <f>VLOOKUP($A65,'Data shares'!$C:$FB,67)</f>
        <v>13845000</v>
      </c>
      <c r="F65" s="50">
        <f>VLOOKUP($A65,'Data shares'!$C:$FB,69)*100</f>
        <v>-18.48</v>
      </c>
      <c r="G65" s="49">
        <f>VLOOKUP($A65,'Data shares'!$C:$FB,42)</f>
        <v>1672500</v>
      </c>
      <c r="H65" s="49">
        <f>VLOOKUP($A65,'Data shares'!$C:$FB,43)</f>
        <v>2247500</v>
      </c>
      <c r="I65" s="50">
        <f>VLOOKUP($A65,'Data shares'!$C:$FB,45)*100</f>
        <v>-25.580000000000002</v>
      </c>
      <c r="J65" s="49">
        <f>VLOOKUP($A65,'Data shares'!$C:$FB,58)</f>
        <v>6717500</v>
      </c>
      <c r="K65" s="49">
        <f>VLOOKUP($A65,'Data shares'!$C:$FB,59)</f>
        <v>6530000</v>
      </c>
      <c r="L65" s="50">
        <f>VLOOKUP($A65,'Data shares'!$C:$FB,61)*100</f>
        <v>2.87</v>
      </c>
      <c r="M65" s="49">
        <f>VLOOKUP($A65,'Data shares'!$C:$FB,62)</f>
        <v>2896250</v>
      </c>
      <c r="N65" s="49">
        <f>VLOOKUP($A65,'Data shares'!$C:$FB,63)</f>
        <v>5067500</v>
      </c>
      <c r="O65" s="140">
        <f>VLOOKUP($A65,'Data shares'!$C:$FB,65)*100</f>
        <v>-42.85</v>
      </c>
    </row>
    <row r="66" spans="1:15" x14ac:dyDescent="0.25">
      <c r="A66" s="101" t="str">
        <f>'Data shares'!C61</f>
        <v>DALBHARAT</v>
      </c>
      <c r="B66" s="50">
        <f>VLOOKUP($A66,'Data shares'!$C:$FB,7)</f>
        <v>2320.1999999999998</v>
      </c>
      <c r="C66" s="50">
        <f>VLOOKUP($A66,'Data shares'!$C:$FB,10)*100</f>
        <v>2.56</v>
      </c>
      <c r="D66" s="49">
        <f>VLOOKUP($A66,'Data shares'!$C:$FB,66)</f>
        <v>9040200</v>
      </c>
      <c r="E66" s="49">
        <f>VLOOKUP($A66,'Data shares'!$C:$FB,67)</f>
        <v>4534400</v>
      </c>
      <c r="F66" s="50">
        <f>VLOOKUP($A66,'Data shares'!$C:$FB,69)*100</f>
        <v>99.37</v>
      </c>
      <c r="G66" s="49">
        <f>VLOOKUP($A66,'Data shares'!$C:$FB,42)</f>
        <v>1682200</v>
      </c>
      <c r="H66" s="49">
        <f>VLOOKUP($A66,'Data shares'!$C:$FB,43)</f>
        <v>1032525</v>
      </c>
      <c r="I66" s="50">
        <f>VLOOKUP($A66,'Data shares'!$C:$FB,45)*100</f>
        <v>62.92</v>
      </c>
      <c r="J66" s="49">
        <f>VLOOKUP($A66,'Data shares'!$C:$FB,58)</f>
        <v>5239650</v>
      </c>
      <c r="K66" s="49">
        <f>VLOOKUP($A66,'Data shares'!$C:$FB,59)</f>
        <v>2849600</v>
      </c>
      <c r="L66" s="50">
        <f>VLOOKUP($A66,'Data shares'!$C:$FB,61)*100</f>
        <v>83.87</v>
      </c>
      <c r="M66" s="49">
        <f>VLOOKUP($A66,'Data shares'!$C:$FB,62)</f>
        <v>2118350</v>
      </c>
      <c r="N66" s="49">
        <f>VLOOKUP($A66,'Data shares'!$C:$FB,63)</f>
        <v>652275</v>
      </c>
      <c r="O66" s="140">
        <f>VLOOKUP($A66,'Data shares'!$C:$FB,65)*100</f>
        <v>224.76</v>
      </c>
    </row>
    <row r="67" spans="1:15" x14ac:dyDescent="0.25">
      <c r="A67" s="101" t="str">
        <f>'Data shares'!C62</f>
        <v>DELHIVERY</v>
      </c>
      <c r="B67" s="50">
        <f>VLOOKUP($A67,'Data shares'!$C:$FB,7)</f>
        <v>436.85</v>
      </c>
      <c r="C67" s="50">
        <f>VLOOKUP($A67,'Data shares'!$C:$FB,10)*100</f>
        <v>0.86999999999999988</v>
      </c>
      <c r="D67" s="49">
        <f>VLOOKUP($A67,'Data shares'!$C:$FB,66)</f>
        <v>30979750</v>
      </c>
      <c r="E67" s="49">
        <f>VLOOKUP($A67,'Data shares'!$C:$FB,67)</f>
        <v>15355000</v>
      </c>
      <c r="F67" s="50">
        <f>VLOOKUP($A67,'Data shares'!$C:$FB,69)*100</f>
        <v>101.76</v>
      </c>
      <c r="G67" s="49">
        <f>VLOOKUP($A67,'Data shares'!$C:$FB,42)</f>
        <v>7544700</v>
      </c>
      <c r="H67" s="49">
        <f>VLOOKUP($A67,'Data shares'!$C:$FB,43)</f>
        <v>2543950</v>
      </c>
      <c r="I67" s="50">
        <f>VLOOKUP($A67,'Data shares'!$C:$FB,45)*100</f>
        <v>196.57</v>
      </c>
      <c r="J67" s="49">
        <f>VLOOKUP($A67,'Data shares'!$C:$FB,58)</f>
        <v>15525150</v>
      </c>
      <c r="K67" s="49">
        <f>VLOOKUP($A67,'Data shares'!$C:$FB,59)</f>
        <v>9057375</v>
      </c>
      <c r="L67" s="50">
        <f>VLOOKUP($A67,'Data shares'!$C:$FB,61)*100</f>
        <v>71.41</v>
      </c>
      <c r="M67" s="49">
        <f>VLOOKUP($A67,'Data shares'!$C:$FB,62)</f>
        <v>7909900</v>
      </c>
      <c r="N67" s="49">
        <f>VLOOKUP($A67,'Data shares'!$C:$FB,63)</f>
        <v>3753675</v>
      </c>
      <c r="O67" s="140">
        <f>VLOOKUP($A67,'Data shares'!$C:$FB,65)*100</f>
        <v>110.72</v>
      </c>
    </row>
    <row r="68" spans="1:15" x14ac:dyDescent="0.25">
      <c r="A68" s="101" t="str">
        <f>'Data shares'!C63</f>
        <v>DIVISLAB</v>
      </c>
      <c r="B68" s="50">
        <f>VLOOKUP($A68,'Data shares'!$C:$FB,7)</f>
        <v>6613</v>
      </c>
      <c r="C68" s="50">
        <f>VLOOKUP($A68,'Data shares'!$C:$FB,10)*100</f>
        <v>-1.1199999999999999</v>
      </c>
      <c r="D68" s="49">
        <f>VLOOKUP($A68,'Data shares'!$C:$FB,66)</f>
        <v>1695200</v>
      </c>
      <c r="E68" s="49">
        <f>VLOOKUP($A68,'Data shares'!$C:$FB,67)</f>
        <v>1319600</v>
      </c>
      <c r="F68" s="50">
        <f>VLOOKUP($A68,'Data shares'!$C:$FB,69)*100</f>
        <v>28.46</v>
      </c>
      <c r="G68" s="49">
        <f>VLOOKUP($A68,'Data shares'!$C:$FB,42)</f>
        <v>298800</v>
      </c>
      <c r="H68" s="49">
        <f>VLOOKUP($A68,'Data shares'!$C:$FB,43)</f>
        <v>196900</v>
      </c>
      <c r="I68" s="50">
        <f>VLOOKUP($A68,'Data shares'!$C:$FB,45)*100</f>
        <v>51.749999999999993</v>
      </c>
      <c r="J68" s="49">
        <f>VLOOKUP($A68,'Data shares'!$C:$FB,58)</f>
        <v>945200</v>
      </c>
      <c r="K68" s="49">
        <f>VLOOKUP($A68,'Data shares'!$C:$FB,59)</f>
        <v>744800</v>
      </c>
      <c r="L68" s="50">
        <f>VLOOKUP($A68,'Data shares'!$C:$FB,61)*100</f>
        <v>26.91</v>
      </c>
      <c r="M68" s="49">
        <f>VLOOKUP($A68,'Data shares'!$C:$FB,62)</f>
        <v>451200</v>
      </c>
      <c r="N68" s="49">
        <f>VLOOKUP($A68,'Data shares'!$C:$FB,63)</f>
        <v>377900</v>
      </c>
      <c r="O68" s="140">
        <f>VLOOKUP($A68,'Data shares'!$C:$FB,65)*100</f>
        <v>19.400000000000002</v>
      </c>
    </row>
    <row r="69" spans="1:15" x14ac:dyDescent="0.25">
      <c r="A69" s="101" t="str">
        <f>'Data shares'!C64</f>
        <v>DIXON</v>
      </c>
      <c r="B69" s="50">
        <f>VLOOKUP($A69,'Data shares'!$C:$FB,7)</f>
        <v>16112</v>
      </c>
      <c r="C69" s="50">
        <f>VLOOKUP($A69,'Data shares'!$C:$FB,10)*100</f>
        <v>-1.04</v>
      </c>
      <c r="D69" s="49">
        <f>VLOOKUP($A69,'Data shares'!$C:$FB,66)</f>
        <v>4822200</v>
      </c>
      <c r="E69" s="49">
        <f>VLOOKUP($A69,'Data shares'!$C:$FB,67)</f>
        <v>4841550</v>
      </c>
      <c r="F69" s="50">
        <f>VLOOKUP($A69,'Data shares'!$C:$FB,69)*100</f>
        <v>-0.4</v>
      </c>
      <c r="G69" s="49">
        <f>VLOOKUP($A69,'Data shares'!$C:$FB,42)</f>
        <v>588500</v>
      </c>
      <c r="H69" s="49">
        <f>VLOOKUP($A69,'Data shares'!$C:$FB,43)</f>
        <v>731550</v>
      </c>
      <c r="I69" s="50">
        <f>VLOOKUP($A69,'Data shares'!$C:$FB,45)*100</f>
        <v>-19.55</v>
      </c>
      <c r="J69" s="49">
        <f>VLOOKUP($A69,'Data shares'!$C:$FB,58)</f>
        <v>2523950</v>
      </c>
      <c r="K69" s="49">
        <f>VLOOKUP($A69,'Data shares'!$C:$FB,59)</f>
        <v>2738450</v>
      </c>
      <c r="L69" s="50">
        <f>VLOOKUP($A69,'Data shares'!$C:$FB,61)*100</f>
        <v>-7.8299999999999992</v>
      </c>
      <c r="M69" s="49">
        <f>VLOOKUP($A69,'Data shares'!$C:$FB,62)</f>
        <v>1709750</v>
      </c>
      <c r="N69" s="49">
        <f>VLOOKUP($A69,'Data shares'!$C:$FB,63)</f>
        <v>1371550</v>
      </c>
      <c r="O69" s="140">
        <f>VLOOKUP($A69,'Data shares'!$C:$FB,65)*100</f>
        <v>24.66</v>
      </c>
    </row>
    <row r="70" spans="1:15" x14ac:dyDescent="0.25">
      <c r="A70" s="101" t="str">
        <f>'Data shares'!C65</f>
        <v>DLF</v>
      </c>
      <c r="B70" s="50">
        <f>VLOOKUP($A70,'Data shares'!$C:$FB,7)</f>
        <v>845.5</v>
      </c>
      <c r="C70" s="50">
        <f>VLOOKUP($A70,'Data shares'!$C:$FB,10)*100</f>
        <v>-0.83</v>
      </c>
      <c r="D70" s="49">
        <f>VLOOKUP($A70,'Data shares'!$C:$FB,66)</f>
        <v>27410625</v>
      </c>
      <c r="E70" s="49">
        <f>VLOOKUP($A70,'Data shares'!$C:$FB,67)</f>
        <v>22430100</v>
      </c>
      <c r="F70" s="50">
        <f>VLOOKUP($A70,'Data shares'!$C:$FB,69)*100</f>
        <v>22.2</v>
      </c>
      <c r="G70" s="49">
        <f>VLOOKUP($A70,'Data shares'!$C:$FB,42)</f>
        <v>5228850</v>
      </c>
      <c r="H70" s="49">
        <f>VLOOKUP($A70,'Data shares'!$C:$FB,43)</f>
        <v>3976500</v>
      </c>
      <c r="I70" s="50">
        <f>VLOOKUP($A70,'Data shares'!$C:$FB,45)*100</f>
        <v>31.490000000000002</v>
      </c>
      <c r="J70" s="49">
        <f>VLOOKUP($A70,'Data shares'!$C:$FB,58)</f>
        <v>14803800</v>
      </c>
      <c r="K70" s="49">
        <f>VLOOKUP($A70,'Data shares'!$C:$FB,59)</f>
        <v>12752025</v>
      </c>
      <c r="L70" s="50">
        <f>VLOOKUP($A70,'Data shares'!$C:$FB,61)*100</f>
        <v>16.09</v>
      </c>
      <c r="M70" s="49">
        <f>VLOOKUP($A70,'Data shares'!$C:$FB,62)</f>
        <v>7377975</v>
      </c>
      <c r="N70" s="49">
        <f>VLOOKUP($A70,'Data shares'!$C:$FB,63)</f>
        <v>5701575</v>
      </c>
      <c r="O70" s="140">
        <f>VLOOKUP($A70,'Data shares'!$C:$FB,65)*100</f>
        <v>29.4</v>
      </c>
    </row>
    <row r="71" spans="1:15" x14ac:dyDescent="0.25">
      <c r="A71" s="101" t="str">
        <f>'Data shares'!C66</f>
        <v>DMART</v>
      </c>
      <c r="B71" s="50">
        <f>VLOOKUP($A71,'Data shares'!$C:$FB,7)</f>
        <v>4033.3</v>
      </c>
      <c r="C71" s="50">
        <f>VLOOKUP($A71,'Data shares'!$C:$FB,10)*100</f>
        <v>0.24</v>
      </c>
      <c r="D71" s="49">
        <f>VLOOKUP($A71,'Data shares'!$C:$FB,66)</f>
        <v>4199250</v>
      </c>
      <c r="E71" s="49">
        <f>VLOOKUP($A71,'Data shares'!$C:$FB,67)</f>
        <v>3223800</v>
      </c>
      <c r="F71" s="50">
        <f>VLOOKUP($A71,'Data shares'!$C:$FB,69)*100</f>
        <v>30.259999999999998</v>
      </c>
      <c r="G71" s="49">
        <f>VLOOKUP($A71,'Data shares'!$C:$FB,42)</f>
        <v>602400</v>
      </c>
      <c r="H71" s="49">
        <f>VLOOKUP($A71,'Data shares'!$C:$FB,43)</f>
        <v>357750</v>
      </c>
      <c r="I71" s="50">
        <f>VLOOKUP($A71,'Data shares'!$C:$FB,45)*100</f>
        <v>68.39</v>
      </c>
      <c r="J71" s="49">
        <f>VLOOKUP($A71,'Data shares'!$C:$FB,58)</f>
        <v>2737350</v>
      </c>
      <c r="K71" s="49">
        <f>VLOOKUP($A71,'Data shares'!$C:$FB,59)</f>
        <v>2107350</v>
      </c>
      <c r="L71" s="50">
        <f>VLOOKUP($A71,'Data shares'!$C:$FB,61)*100</f>
        <v>29.9</v>
      </c>
      <c r="M71" s="49">
        <f>VLOOKUP($A71,'Data shares'!$C:$FB,62)</f>
        <v>859500</v>
      </c>
      <c r="N71" s="49">
        <f>VLOOKUP($A71,'Data shares'!$C:$FB,63)</f>
        <v>758700</v>
      </c>
      <c r="O71" s="140">
        <f>VLOOKUP($A71,'Data shares'!$C:$FB,65)*100</f>
        <v>13.29</v>
      </c>
    </row>
    <row r="72" spans="1:15" x14ac:dyDescent="0.25">
      <c r="A72" s="101" t="str">
        <f>'Data shares'!C67</f>
        <v>DRREDDY</v>
      </c>
      <c r="B72" s="50">
        <f>VLOOKUP($A72,'Data shares'!$C:$FB,7)</f>
        <v>1240</v>
      </c>
      <c r="C72" s="50">
        <f>VLOOKUP($A72,'Data shares'!$C:$FB,10)*100</f>
        <v>-1.53</v>
      </c>
      <c r="D72" s="49">
        <f>VLOOKUP($A72,'Data shares'!$C:$FB,66)</f>
        <v>14695625</v>
      </c>
      <c r="E72" s="49">
        <f>VLOOKUP($A72,'Data shares'!$C:$FB,67)</f>
        <v>6153125</v>
      </c>
      <c r="F72" s="50">
        <f>VLOOKUP($A72,'Data shares'!$C:$FB,69)*100</f>
        <v>138.83000000000001</v>
      </c>
      <c r="G72" s="49">
        <f>VLOOKUP($A72,'Data shares'!$C:$FB,42)</f>
        <v>3487500</v>
      </c>
      <c r="H72" s="49">
        <f>VLOOKUP($A72,'Data shares'!$C:$FB,43)</f>
        <v>1587500</v>
      </c>
      <c r="I72" s="50">
        <f>VLOOKUP($A72,'Data shares'!$C:$FB,45)*100</f>
        <v>119.69000000000001</v>
      </c>
      <c r="J72" s="49">
        <f>VLOOKUP($A72,'Data shares'!$C:$FB,58)</f>
        <v>6073125</v>
      </c>
      <c r="K72" s="49">
        <f>VLOOKUP($A72,'Data shares'!$C:$FB,59)</f>
        <v>3055000</v>
      </c>
      <c r="L72" s="50">
        <f>VLOOKUP($A72,'Data shares'!$C:$FB,61)*100</f>
        <v>98.79</v>
      </c>
      <c r="M72" s="49">
        <f>VLOOKUP($A72,'Data shares'!$C:$FB,62)</f>
        <v>5135000</v>
      </c>
      <c r="N72" s="49">
        <f>VLOOKUP($A72,'Data shares'!$C:$FB,63)</f>
        <v>1510625</v>
      </c>
      <c r="O72" s="140">
        <f>VLOOKUP($A72,'Data shares'!$C:$FB,65)*100</f>
        <v>239.93</v>
      </c>
    </row>
    <row r="73" spans="1:15" x14ac:dyDescent="0.25">
      <c r="A73" s="101" t="str">
        <f>'Data shares'!C68</f>
        <v>EICHERMOT</v>
      </c>
      <c r="B73" s="50">
        <f>VLOOKUP($A73,'Data shares'!$C:$FB,7)</f>
        <v>5439.5</v>
      </c>
      <c r="C73" s="50">
        <f>VLOOKUP($A73,'Data shares'!$C:$FB,10)*100</f>
        <v>-2.13</v>
      </c>
      <c r="D73" s="49">
        <f>VLOOKUP($A73,'Data shares'!$C:$FB,66)</f>
        <v>3694600</v>
      </c>
      <c r="E73" s="49">
        <f>VLOOKUP($A73,'Data shares'!$C:$FB,67)</f>
        <v>2203075</v>
      </c>
      <c r="F73" s="50">
        <f>VLOOKUP($A73,'Data shares'!$C:$FB,69)*100</f>
        <v>67.7</v>
      </c>
      <c r="G73" s="49">
        <f>VLOOKUP($A73,'Data shares'!$C:$FB,42)</f>
        <v>446250</v>
      </c>
      <c r="H73" s="49">
        <f>VLOOKUP($A73,'Data shares'!$C:$FB,43)</f>
        <v>296450</v>
      </c>
      <c r="I73" s="50">
        <f>VLOOKUP($A73,'Data shares'!$C:$FB,45)*100</f>
        <v>50.529999999999994</v>
      </c>
      <c r="J73" s="49">
        <f>VLOOKUP($A73,'Data shares'!$C:$FB,58)</f>
        <v>2003050</v>
      </c>
      <c r="K73" s="49">
        <f>VLOOKUP($A73,'Data shares'!$C:$FB,59)</f>
        <v>1147650</v>
      </c>
      <c r="L73" s="50">
        <f>VLOOKUP($A73,'Data shares'!$C:$FB,61)*100</f>
        <v>74.53</v>
      </c>
      <c r="M73" s="49">
        <f>VLOOKUP($A73,'Data shares'!$C:$FB,62)</f>
        <v>1245300</v>
      </c>
      <c r="N73" s="49">
        <f>VLOOKUP($A73,'Data shares'!$C:$FB,63)</f>
        <v>758975</v>
      </c>
      <c r="O73" s="140">
        <f>VLOOKUP($A73,'Data shares'!$C:$FB,65)*100</f>
        <v>64.08</v>
      </c>
    </row>
    <row r="74" spans="1:15" x14ac:dyDescent="0.25">
      <c r="A74" s="101" t="str">
        <f>'Data shares'!C69</f>
        <v>ETERNAL</v>
      </c>
      <c r="B74" s="50">
        <f>VLOOKUP($A74,'Data shares'!$C:$FB,7)</f>
        <v>299.8</v>
      </c>
      <c r="C74" s="50">
        <f>VLOOKUP($A74,'Data shares'!$C:$FB,10)*100</f>
        <v>10.34</v>
      </c>
      <c r="D74" s="49">
        <f>VLOOKUP($A74,'Data shares'!$C:$FB,66)</f>
        <v>1678182450</v>
      </c>
      <c r="E74" s="49">
        <f>VLOOKUP($A74,'Data shares'!$C:$FB,67)</f>
        <v>621777275</v>
      </c>
      <c r="F74" s="50">
        <f>VLOOKUP($A74,'Data shares'!$C:$FB,69)*100</f>
        <v>169.9</v>
      </c>
      <c r="G74" s="49">
        <f>VLOOKUP($A74,'Data shares'!$C:$FB,42)</f>
        <v>195646575</v>
      </c>
      <c r="H74" s="49">
        <f>VLOOKUP($A74,'Data shares'!$C:$FB,43)</f>
        <v>115527000</v>
      </c>
      <c r="I74" s="50">
        <f>VLOOKUP($A74,'Data shares'!$C:$FB,45)*100</f>
        <v>69.349999999999994</v>
      </c>
      <c r="J74" s="49">
        <f>VLOOKUP($A74,'Data shares'!$C:$FB,58)</f>
        <v>836872350</v>
      </c>
      <c r="K74" s="49">
        <f>VLOOKUP($A74,'Data shares'!$C:$FB,59)</f>
        <v>312194500</v>
      </c>
      <c r="L74" s="50">
        <f>VLOOKUP($A74,'Data shares'!$C:$FB,61)*100</f>
        <v>168.06</v>
      </c>
      <c r="M74" s="49">
        <f>VLOOKUP($A74,'Data shares'!$C:$FB,62)</f>
        <v>645663525</v>
      </c>
      <c r="N74" s="49">
        <f>VLOOKUP($A74,'Data shares'!$C:$FB,63)</f>
        <v>194055775</v>
      </c>
      <c r="O74" s="140">
        <f>VLOOKUP($A74,'Data shares'!$C:$FB,65)*100</f>
        <v>232.72</v>
      </c>
    </row>
    <row r="75" spans="1:15" x14ac:dyDescent="0.25">
      <c r="A75" s="101" t="str">
        <f>'Data shares'!C70</f>
        <v>EXIDEIND</v>
      </c>
      <c r="B75" s="50">
        <f>VLOOKUP($A75,'Data shares'!$C:$FB,7)</f>
        <v>394.25</v>
      </c>
      <c r="C75" s="50">
        <f>VLOOKUP($A75,'Data shares'!$C:$FB,10)*100</f>
        <v>1.32</v>
      </c>
      <c r="D75" s="49">
        <f>VLOOKUP($A75,'Data shares'!$C:$FB,66)</f>
        <v>48726000</v>
      </c>
      <c r="E75" s="49">
        <f>VLOOKUP($A75,'Data shares'!$C:$FB,67)</f>
        <v>42395400</v>
      </c>
      <c r="F75" s="50">
        <f>VLOOKUP($A75,'Data shares'!$C:$FB,69)*100</f>
        <v>14.93</v>
      </c>
      <c r="G75" s="49">
        <f>VLOOKUP($A75,'Data shares'!$C:$FB,42)</f>
        <v>8618400</v>
      </c>
      <c r="H75" s="49">
        <f>VLOOKUP($A75,'Data shares'!$C:$FB,43)</f>
        <v>6433200</v>
      </c>
      <c r="I75" s="50">
        <f>VLOOKUP($A75,'Data shares'!$C:$FB,45)*100</f>
        <v>33.97</v>
      </c>
      <c r="J75" s="49">
        <f>VLOOKUP($A75,'Data shares'!$C:$FB,58)</f>
        <v>33665400</v>
      </c>
      <c r="K75" s="49">
        <f>VLOOKUP($A75,'Data shares'!$C:$FB,59)</f>
        <v>29077200</v>
      </c>
      <c r="L75" s="50">
        <f>VLOOKUP($A75,'Data shares'!$C:$FB,61)*100</f>
        <v>15.78</v>
      </c>
      <c r="M75" s="49">
        <f>VLOOKUP($A75,'Data shares'!$C:$FB,62)</f>
        <v>6442200</v>
      </c>
      <c r="N75" s="49">
        <f>VLOOKUP($A75,'Data shares'!$C:$FB,63)</f>
        <v>6885000</v>
      </c>
      <c r="O75" s="140">
        <f>VLOOKUP($A75,'Data shares'!$C:$FB,65)*100</f>
        <v>-6.43</v>
      </c>
    </row>
    <row r="76" spans="1:15" x14ac:dyDescent="0.25">
      <c r="A76" s="101" t="str">
        <f>'Data shares'!C71</f>
        <v>FEDERALBNK</v>
      </c>
      <c r="B76" s="50">
        <f>VLOOKUP($A76,'Data shares'!$C:$FB,7)</f>
        <v>212.4</v>
      </c>
      <c r="C76" s="50">
        <f>VLOOKUP($A76,'Data shares'!$C:$FB,10)*100</f>
        <v>-0.18</v>
      </c>
      <c r="D76" s="49">
        <f>VLOOKUP($A76,'Data shares'!$C:$FB,66)</f>
        <v>60395000</v>
      </c>
      <c r="E76" s="49">
        <f>VLOOKUP($A76,'Data shares'!$C:$FB,67)</f>
        <v>124275000</v>
      </c>
      <c r="F76" s="50">
        <f>VLOOKUP($A76,'Data shares'!$C:$FB,69)*100</f>
        <v>-51.4</v>
      </c>
      <c r="G76" s="49">
        <f>VLOOKUP($A76,'Data shares'!$C:$FB,42)</f>
        <v>12445000</v>
      </c>
      <c r="H76" s="49">
        <f>VLOOKUP($A76,'Data shares'!$C:$FB,43)</f>
        <v>21985000</v>
      </c>
      <c r="I76" s="50">
        <f>VLOOKUP($A76,'Data shares'!$C:$FB,45)*100</f>
        <v>-43.39</v>
      </c>
      <c r="J76" s="49">
        <f>VLOOKUP($A76,'Data shares'!$C:$FB,58)</f>
        <v>28770000</v>
      </c>
      <c r="K76" s="49">
        <f>VLOOKUP($A76,'Data shares'!$C:$FB,59)</f>
        <v>63140000</v>
      </c>
      <c r="L76" s="50">
        <f>VLOOKUP($A76,'Data shares'!$C:$FB,61)*100</f>
        <v>-54.43</v>
      </c>
      <c r="M76" s="49">
        <f>VLOOKUP($A76,'Data shares'!$C:$FB,62)</f>
        <v>19180000</v>
      </c>
      <c r="N76" s="49">
        <f>VLOOKUP($A76,'Data shares'!$C:$FB,63)</f>
        <v>39150000</v>
      </c>
      <c r="O76" s="140">
        <f>VLOOKUP($A76,'Data shares'!$C:$FB,65)*100</f>
        <v>-51.01</v>
      </c>
    </row>
    <row r="77" spans="1:15" x14ac:dyDescent="0.25">
      <c r="A77" s="101" t="str">
        <f>'Data shares'!C72</f>
        <v>FINNIFTY</v>
      </c>
      <c r="B77" s="50">
        <f>VLOOKUP($A77,'Data shares'!$C:$FB,7)</f>
        <v>26990.45</v>
      </c>
      <c r="C77" s="50">
        <f>VLOOKUP($A77,'Data shares'!$C:$FB,10)*100</f>
        <v>0.01</v>
      </c>
      <c r="D77" s="49">
        <f>VLOOKUP($A77,'Data shares'!$C:$FB,66)</f>
        <v>6596200</v>
      </c>
      <c r="E77" s="49">
        <f>VLOOKUP($A77,'Data shares'!$C:$FB,67)</f>
        <v>9493315</v>
      </c>
      <c r="F77" s="50">
        <f>VLOOKUP($A77,'Data shares'!$C:$FB,69)*100</f>
        <v>-30.520000000000003</v>
      </c>
      <c r="G77" s="49">
        <f>VLOOKUP($A77,'Data shares'!$C:$FB,42)</f>
        <v>17550</v>
      </c>
      <c r="H77" s="49">
        <f>VLOOKUP($A77,'Data shares'!$C:$FB,43)</f>
        <v>46540</v>
      </c>
      <c r="I77" s="50">
        <f>VLOOKUP($A77,'Data shares'!$C:$FB,45)*100</f>
        <v>-62.29</v>
      </c>
      <c r="J77" s="49">
        <f>VLOOKUP($A77,'Data shares'!$C:$FB,58)</f>
        <v>3455530</v>
      </c>
      <c r="K77" s="49">
        <f>VLOOKUP($A77,'Data shares'!$C:$FB,59)</f>
        <v>5023590</v>
      </c>
      <c r="L77" s="50">
        <f>VLOOKUP($A77,'Data shares'!$C:$FB,61)*100</f>
        <v>-31.209999999999997</v>
      </c>
      <c r="M77" s="49">
        <f>VLOOKUP($A77,'Data shares'!$C:$FB,62)</f>
        <v>3123120</v>
      </c>
      <c r="N77" s="49">
        <f>VLOOKUP($A77,'Data shares'!$C:$FB,63)</f>
        <v>4423185</v>
      </c>
      <c r="O77" s="140">
        <f>VLOOKUP($A77,'Data shares'!$C:$FB,65)*100</f>
        <v>-29.39</v>
      </c>
    </row>
    <row r="78" spans="1:15" x14ac:dyDescent="0.25">
      <c r="A78" s="101" t="str">
        <f>'Data shares'!C73</f>
        <v>FORTIS</v>
      </c>
      <c r="B78" s="50">
        <f>VLOOKUP($A78,'Data shares'!$C:$FB,7)</f>
        <v>809.1</v>
      </c>
      <c r="C78" s="50">
        <f>VLOOKUP($A78,'Data shares'!$C:$FB,10)*100</f>
        <v>0.85000000000000009</v>
      </c>
      <c r="D78" s="49">
        <f>VLOOKUP($A78,'Data shares'!$C:$FB,66)</f>
        <v>9250400</v>
      </c>
      <c r="E78" s="49">
        <f>VLOOKUP($A78,'Data shares'!$C:$FB,67)</f>
        <v>7712800</v>
      </c>
      <c r="F78" s="50">
        <f>VLOOKUP($A78,'Data shares'!$C:$FB,69)*100</f>
        <v>19.939999999999998</v>
      </c>
      <c r="G78" s="49">
        <f>VLOOKUP($A78,'Data shares'!$C:$FB,42)</f>
        <v>2899275</v>
      </c>
      <c r="H78" s="49">
        <f>VLOOKUP($A78,'Data shares'!$C:$FB,43)</f>
        <v>2500925</v>
      </c>
      <c r="I78" s="50">
        <f>VLOOKUP($A78,'Data shares'!$C:$FB,45)*100</f>
        <v>15.93</v>
      </c>
      <c r="J78" s="49">
        <f>VLOOKUP($A78,'Data shares'!$C:$FB,58)</f>
        <v>4666275</v>
      </c>
      <c r="K78" s="49">
        <f>VLOOKUP($A78,'Data shares'!$C:$FB,59)</f>
        <v>2914775</v>
      </c>
      <c r="L78" s="50">
        <f>VLOOKUP($A78,'Data shares'!$C:$FB,61)*100</f>
        <v>60.089999999999996</v>
      </c>
      <c r="M78" s="49">
        <f>VLOOKUP($A78,'Data shares'!$C:$FB,62)</f>
        <v>1684850</v>
      </c>
      <c r="N78" s="49">
        <f>VLOOKUP($A78,'Data shares'!$C:$FB,63)</f>
        <v>2297100</v>
      </c>
      <c r="O78" s="140">
        <f>VLOOKUP($A78,'Data shares'!$C:$FB,65)*100</f>
        <v>-26.650000000000002</v>
      </c>
    </row>
    <row r="79" spans="1:15" x14ac:dyDescent="0.25">
      <c r="A79" s="101" t="str">
        <f>'Data shares'!C74</f>
        <v>GAIL</v>
      </c>
      <c r="B79" s="50">
        <f>VLOOKUP($A79,'Data shares'!$C:$FB,7)</f>
        <v>184.03</v>
      </c>
      <c r="C79" s="50">
        <f>VLOOKUP($A79,'Data shares'!$C:$FB,10)*100</f>
        <v>-0.05</v>
      </c>
      <c r="D79" s="49">
        <f>VLOOKUP($A79,'Data shares'!$C:$FB,66)</f>
        <v>50973300</v>
      </c>
      <c r="E79" s="49">
        <f>VLOOKUP($A79,'Data shares'!$C:$FB,67)</f>
        <v>32615100</v>
      </c>
      <c r="F79" s="50">
        <f>VLOOKUP($A79,'Data shares'!$C:$FB,69)*100</f>
        <v>56.289999999999992</v>
      </c>
      <c r="G79" s="49">
        <f>VLOOKUP($A79,'Data shares'!$C:$FB,42)</f>
        <v>13645800</v>
      </c>
      <c r="H79" s="49">
        <f>VLOOKUP($A79,'Data shares'!$C:$FB,43)</f>
        <v>10114650</v>
      </c>
      <c r="I79" s="50">
        <f>VLOOKUP($A79,'Data shares'!$C:$FB,45)*100</f>
        <v>34.910000000000004</v>
      </c>
      <c r="J79" s="49">
        <f>VLOOKUP($A79,'Data shares'!$C:$FB,58)</f>
        <v>23987250</v>
      </c>
      <c r="K79" s="49">
        <f>VLOOKUP($A79,'Data shares'!$C:$FB,59)</f>
        <v>16502850</v>
      </c>
      <c r="L79" s="50">
        <f>VLOOKUP($A79,'Data shares'!$C:$FB,61)*100</f>
        <v>45.35</v>
      </c>
      <c r="M79" s="49">
        <f>VLOOKUP($A79,'Data shares'!$C:$FB,62)</f>
        <v>13340250</v>
      </c>
      <c r="N79" s="49">
        <f>VLOOKUP($A79,'Data shares'!$C:$FB,63)</f>
        <v>5997600</v>
      </c>
      <c r="O79" s="140">
        <f>VLOOKUP($A79,'Data shares'!$C:$FB,65)*100</f>
        <v>122.42999999999999</v>
      </c>
    </row>
    <row r="80" spans="1:15" x14ac:dyDescent="0.25">
      <c r="A80" s="101" t="str">
        <f>'Data shares'!C75</f>
        <v>GLENMARK</v>
      </c>
      <c r="B80" s="50">
        <f>VLOOKUP($A80,'Data shares'!$C:$FB,7)</f>
        <v>2157.9</v>
      </c>
      <c r="C80" s="50">
        <f>VLOOKUP($A80,'Data shares'!$C:$FB,10)*100</f>
        <v>-1.23</v>
      </c>
      <c r="D80" s="49">
        <f>VLOOKUP($A80,'Data shares'!$C:$FB,66)</f>
        <v>10852125</v>
      </c>
      <c r="E80" s="49">
        <f>VLOOKUP($A80,'Data shares'!$C:$FB,67)</f>
        <v>9789375</v>
      </c>
      <c r="F80" s="50">
        <f>VLOOKUP($A80,'Data shares'!$C:$FB,69)*100</f>
        <v>10.86</v>
      </c>
      <c r="G80" s="49">
        <f>VLOOKUP($A80,'Data shares'!$C:$FB,42)</f>
        <v>1792875</v>
      </c>
      <c r="H80" s="49">
        <f>VLOOKUP($A80,'Data shares'!$C:$FB,43)</f>
        <v>1684125</v>
      </c>
      <c r="I80" s="50">
        <f>VLOOKUP($A80,'Data shares'!$C:$FB,45)*100</f>
        <v>6.4600000000000009</v>
      </c>
      <c r="J80" s="49">
        <f>VLOOKUP($A80,'Data shares'!$C:$FB,58)</f>
        <v>4688250</v>
      </c>
      <c r="K80" s="49">
        <f>VLOOKUP($A80,'Data shares'!$C:$FB,59)</f>
        <v>4023375</v>
      </c>
      <c r="L80" s="50">
        <f>VLOOKUP($A80,'Data shares'!$C:$FB,61)*100</f>
        <v>16.53</v>
      </c>
      <c r="M80" s="49">
        <f>VLOOKUP($A80,'Data shares'!$C:$FB,62)</f>
        <v>4371000</v>
      </c>
      <c r="N80" s="49">
        <f>VLOOKUP($A80,'Data shares'!$C:$FB,63)</f>
        <v>4081875</v>
      </c>
      <c r="O80" s="140">
        <f>VLOOKUP($A80,'Data shares'!$C:$FB,65)*100</f>
        <v>7.08</v>
      </c>
    </row>
    <row r="81" spans="1:15" x14ac:dyDescent="0.25">
      <c r="A81" s="101" t="str">
        <f>'Data shares'!C76</f>
        <v>GMRAIRPORT</v>
      </c>
      <c r="B81" s="50">
        <f>VLOOKUP($A81,'Data shares'!$C:$FB,7)</f>
        <v>91.92</v>
      </c>
      <c r="C81" s="50">
        <f>VLOOKUP($A81,'Data shares'!$C:$FB,10)*100</f>
        <v>-1.63</v>
      </c>
      <c r="D81" s="49">
        <f>VLOOKUP($A81,'Data shares'!$C:$FB,66)</f>
        <v>97629075</v>
      </c>
      <c r="E81" s="49">
        <f>VLOOKUP($A81,'Data shares'!$C:$FB,67)</f>
        <v>75364875</v>
      </c>
      <c r="F81" s="50">
        <f>VLOOKUP($A81,'Data shares'!$C:$FB,69)*100</f>
        <v>29.54</v>
      </c>
      <c r="G81" s="49">
        <f>VLOOKUP($A81,'Data shares'!$C:$FB,42)</f>
        <v>16914375</v>
      </c>
      <c r="H81" s="49">
        <f>VLOOKUP($A81,'Data shares'!$C:$FB,43)</f>
        <v>13664025</v>
      </c>
      <c r="I81" s="50">
        <f>VLOOKUP($A81,'Data shares'!$C:$FB,45)*100</f>
        <v>23.79</v>
      </c>
      <c r="J81" s="49">
        <f>VLOOKUP($A81,'Data shares'!$C:$FB,58)</f>
        <v>58952700</v>
      </c>
      <c r="K81" s="49">
        <f>VLOOKUP($A81,'Data shares'!$C:$FB,59)</f>
        <v>40329450</v>
      </c>
      <c r="L81" s="50">
        <f>VLOOKUP($A81,'Data shares'!$C:$FB,61)*100</f>
        <v>46.18</v>
      </c>
      <c r="M81" s="49">
        <f>VLOOKUP($A81,'Data shares'!$C:$FB,62)</f>
        <v>21762000</v>
      </c>
      <c r="N81" s="49">
        <f>VLOOKUP($A81,'Data shares'!$C:$FB,63)</f>
        <v>21371400</v>
      </c>
      <c r="O81" s="140">
        <f>VLOOKUP($A81,'Data shares'!$C:$FB,65)*100</f>
        <v>1.83</v>
      </c>
    </row>
    <row r="82" spans="1:15" x14ac:dyDescent="0.25">
      <c r="A82" s="101" t="str">
        <f>'Data shares'!C77</f>
        <v>GODREJCP</v>
      </c>
      <c r="B82" s="50">
        <f>VLOOKUP($A82,'Data shares'!$C:$FB,7)</f>
        <v>1242.4000000000001</v>
      </c>
      <c r="C82" s="50">
        <f>VLOOKUP($A82,'Data shares'!$C:$FB,10)*100</f>
        <v>0.3</v>
      </c>
      <c r="D82" s="49">
        <f>VLOOKUP($A82,'Data shares'!$C:$FB,66)</f>
        <v>3006000</v>
      </c>
      <c r="E82" s="49">
        <f>VLOOKUP($A82,'Data shares'!$C:$FB,67)</f>
        <v>3135500</v>
      </c>
      <c r="F82" s="50">
        <f>VLOOKUP($A82,'Data shares'!$C:$FB,69)*100</f>
        <v>-4.1300000000000008</v>
      </c>
      <c r="G82" s="49">
        <f>VLOOKUP($A82,'Data shares'!$C:$FB,42)</f>
        <v>756000</v>
      </c>
      <c r="H82" s="49">
        <f>VLOOKUP($A82,'Data shares'!$C:$FB,43)</f>
        <v>841000</v>
      </c>
      <c r="I82" s="50">
        <f>VLOOKUP($A82,'Data shares'!$C:$FB,45)*100</f>
        <v>-10.11</v>
      </c>
      <c r="J82" s="49">
        <f>VLOOKUP($A82,'Data shares'!$C:$FB,58)</f>
        <v>1569000</v>
      </c>
      <c r="K82" s="49">
        <f>VLOOKUP($A82,'Data shares'!$C:$FB,59)</f>
        <v>1536500</v>
      </c>
      <c r="L82" s="50">
        <f>VLOOKUP($A82,'Data shares'!$C:$FB,61)*100</f>
        <v>2.12</v>
      </c>
      <c r="M82" s="49">
        <f>VLOOKUP($A82,'Data shares'!$C:$FB,62)</f>
        <v>681000</v>
      </c>
      <c r="N82" s="49">
        <f>VLOOKUP($A82,'Data shares'!$C:$FB,63)</f>
        <v>758000</v>
      </c>
      <c r="O82" s="140">
        <f>VLOOKUP($A82,'Data shares'!$C:$FB,65)*100</f>
        <v>-10.16</v>
      </c>
    </row>
    <row r="83" spans="1:15" x14ac:dyDescent="0.25">
      <c r="A83" s="101" t="str">
        <f>'Data shares'!C78</f>
        <v>GODREJPROP</v>
      </c>
      <c r="B83" s="50">
        <f>VLOOKUP($A83,'Data shares'!$C:$FB,7)</f>
        <v>2363.5</v>
      </c>
      <c r="C83" s="50">
        <f>VLOOKUP($A83,'Data shares'!$C:$FB,10)*100</f>
        <v>-1.68</v>
      </c>
      <c r="D83" s="49">
        <f>VLOOKUP($A83,'Data shares'!$C:$FB,66)</f>
        <v>4393950</v>
      </c>
      <c r="E83" s="49">
        <f>VLOOKUP($A83,'Data shares'!$C:$FB,67)</f>
        <v>6329400</v>
      </c>
      <c r="F83" s="50">
        <f>VLOOKUP($A83,'Data shares'!$C:$FB,69)*100</f>
        <v>-30.580000000000002</v>
      </c>
      <c r="G83" s="49">
        <f>VLOOKUP($A83,'Data shares'!$C:$FB,42)</f>
        <v>881375</v>
      </c>
      <c r="H83" s="49">
        <f>VLOOKUP($A83,'Data shares'!$C:$FB,43)</f>
        <v>1020800</v>
      </c>
      <c r="I83" s="50">
        <f>VLOOKUP($A83,'Data shares'!$C:$FB,45)*100</f>
        <v>-13.66</v>
      </c>
      <c r="J83" s="49">
        <f>VLOOKUP($A83,'Data shares'!$C:$FB,58)</f>
        <v>2041875</v>
      </c>
      <c r="K83" s="49">
        <f>VLOOKUP($A83,'Data shares'!$C:$FB,59)</f>
        <v>3240875</v>
      </c>
      <c r="L83" s="50">
        <f>VLOOKUP($A83,'Data shares'!$C:$FB,61)*100</f>
        <v>-37</v>
      </c>
      <c r="M83" s="49">
        <f>VLOOKUP($A83,'Data shares'!$C:$FB,62)</f>
        <v>1470700</v>
      </c>
      <c r="N83" s="49">
        <f>VLOOKUP($A83,'Data shares'!$C:$FB,63)</f>
        <v>2067725</v>
      </c>
      <c r="O83" s="140">
        <f>VLOOKUP($A83,'Data shares'!$C:$FB,65)*100</f>
        <v>-28.87</v>
      </c>
    </row>
    <row r="84" spans="1:15" x14ac:dyDescent="0.25">
      <c r="A84" s="101" t="str">
        <f>'Data shares'!C79</f>
        <v>GRANULES</v>
      </c>
      <c r="B84" s="50">
        <f>VLOOKUP($A84,'Data shares'!$C:$FB,7)</f>
        <v>477.1</v>
      </c>
      <c r="C84" s="50">
        <f>VLOOKUP($A84,'Data shares'!$C:$FB,10)*100</f>
        <v>-3.52</v>
      </c>
      <c r="D84" s="49">
        <f>VLOOKUP($A84,'Data shares'!$C:$FB,66)</f>
        <v>8131300</v>
      </c>
      <c r="E84" s="49">
        <f>VLOOKUP($A84,'Data shares'!$C:$FB,67)</f>
        <v>3502350</v>
      </c>
      <c r="F84" s="50">
        <f>VLOOKUP($A84,'Data shares'!$C:$FB,69)*100</f>
        <v>132.17000000000002</v>
      </c>
      <c r="G84" s="49">
        <f>VLOOKUP($A84,'Data shares'!$C:$FB,42)</f>
        <v>2094100</v>
      </c>
      <c r="H84" s="49">
        <f>VLOOKUP($A84,'Data shares'!$C:$FB,43)</f>
        <v>977175</v>
      </c>
      <c r="I84" s="50">
        <f>VLOOKUP($A84,'Data shares'!$C:$FB,45)*100</f>
        <v>114.3</v>
      </c>
      <c r="J84" s="49">
        <f>VLOOKUP($A84,'Data shares'!$C:$FB,58)</f>
        <v>3782925</v>
      </c>
      <c r="K84" s="49">
        <f>VLOOKUP($A84,'Data shares'!$C:$FB,59)</f>
        <v>1856525</v>
      </c>
      <c r="L84" s="50">
        <f>VLOOKUP($A84,'Data shares'!$C:$FB,61)*100</f>
        <v>103.76</v>
      </c>
      <c r="M84" s="49">
        <f>VLOOKUP($A84,'Data shares'!$C:$FB,62)</f>
        <v>2254275</v>
      </c>
      <c r="N84" s="49">
        <f>VLOOKUP($A84,'Data shares'!$C:$FB,63)</f>
        <v>668650</v>
      </c>
      <c r="O84" s="140">
        <f>VLOOKUP($A84,'Data shares'!$C:$FB,65)*100</f>
        <v>237.14</v>
      </c>
    </row>
    <row r="85" spans="1:15" x14ac:dyDescent="0.25">
      <c r="A85" s="101" t="str">
        <f>'Data shares'!C80</f>
        <v>GRASIM</v>
      </c>
      <c r="B85" s="50">
        <f>VLOOKUP($A85,'Data shares'!$C:$FB,7)</f>
        <v>2722.7</v>
      </c>
      <c r="C85" s="50">
        <f>VLOOKUP($A85,'Data shares'!$C:$FB,10)*100</f>
        <v>-0.70000000000000007</v>
      </c>
      <c r="D85" s="49">
        <f>VLOOKUP($A85,'Data shares'!$C:$FB,66)</f>
        <v>3134500</v>
      </c>
      <c r="E85" s="49">
        <f>VLOOKUP($A85,'Data shares'!$C:$FB,67)</f>
        <v>3371500</v>
      </c>
      <c r="F85" s="50">
        <f>VLOOKUP($A85,'Data shares'!$C:$FB,69)*100</f>
        <v>-7.03</v>
      </c>
      <c r="G85" s="49">
        <f>VLOOKUP($A85,'Data shares'!$C:$FB,42)</f>
        <v>840500</v>
      </c>
      <c r="H85" s="49">
        <f>VLOOKUP($A85,'Data shares'!$C:$FB,43)</f>
        <v>600750</v>
      </c>
      <c r="I85" s="50">
        <f>VLOOKUP($A85,'Data shares'!$C:$FB,45)*100</f>
        <v>39.910000000000004</v>
      </c>
      <c r="J85" s="49">
        <f>VLOOKUP($A85,'Data shares'!$C:$FB,58)</f>
        <v>1662000</v>
      </c>
      <c r="K85" s="49">
        <f>VLOOKUP($A85,'Data shares'!$C:$FB,59)</f>
        <v>2166000</v>
      </c>
      <c r="L85" s="50">
        <f>VLOOKUP($A85,'Data shares'!$C:$FB,61)*100</f>
        <v>-23.27</v>
      </c>
      <c r="M85" s="49">
        <f>VLOOKUP($A85,'Data shares'!$C:$FB,62)</f>
        <v>632000</v>
      </c>
      <c r="N85" s="49">
        <f>VLOOKUP($A85,'Data shares'!$C:$FB,63)</f>
        <v>604750</v>
      </c>
      <c r="O85" s="140">
        <f>VLOOKUP($A85,'Data shares'!$C:$FB,65)*100</f>
        <v>4.51</v>
      </c>
    </row>
    <row r="86" spans="1:15" x14ac:dyDescent="0.25">
      <c r="A86" s="101" t="str">
        <f>'Data shares'!C81</f>
        <v>HAL</v>
      </c>
      <c r="B86" s="50">
        <f>VLOOKUP($A86,'Data shares'!$C:$FB,7)</f>
        <v>4758.2</v>
      </c>
      <c r="C86" s="50">
        <f>VLOOKUP($A86,'Data shares'!$C:$FB,10)*100</f>
        <v>0.15</v>
      </c>
      <c r="D86" s="49">
        <f>VLOOKUP($A86,'Data shares'!$C:$FB,66)</f>
        <v>13200000</v>
      </c>
      <c r="E86" s="49">
        <f>VLOOKUP($A86,'Data shares'!$C:$FB,67)</f>
        <v>18745050</v>
      </c>
      <c r="F86" s="50">
        <f>VLOOKUP($A86,'Data shares'!$C:$FB,69)*100</f>
        <v>-29.580000000000002</v>
      </c>
      <c r="G86" s="49">
        <f>VLOOKUP($A86,'Data shares'!$C:$FB,42)</f>
        <v>1538850</v>
      </c>
      <c r="H86" s="49">
        <f>VLOOKUP($A86,'Data shares'!$C:$FB,43)</f>
        <v>2086050</v>
      </c>
      <c r="I86" s="50">
        <f>VLOOKUP($A86,'Data shares'!$C:$FB,45)*100</f>
        <v>-26.229999999999997</v>
      </c>
      <c r="J86" s="49">
        <f>VLOOKUP($A86,'Data shares'!$C:$FB,58)</f>
        <v>8581800</v>
      </c>
      <c r="K86" s="49">
        <f>VLOOKUP($A86,'Data shares'!$C:$FB,59)</f>
        <v>11910000</v>
      </c>
      <c r="L86" s="50">
        <f>VLOOKUP($A86,'Data shares'!$C:$FB,61)*100</f>
        <v>-27.939999999999998</v>
      </c>
      <c r="M86" s="49">
        <f>VLOOKUP($A86,'Data shares'!$C:$FB,62)</f>
        <v>3079350</v>
      </c>
      <c r="N86" s="49">
        <f>VLOOKUP($A86,'Data shares'!$C:$FB,63)</f>
        <v>4749000</v>
      </c>
      <c r="O86" s="140">
        <f>VLOOKUP($A86,'Data shares'!$C:$FB,65)*100</f>
        <v>-35.160000000000004</v>
      </c>
    </row>
    <row r="87" spans="1:15" x14ac:dyDescent="0.25">
      <c r="A87" s="101" t="str">
        <f>'Data shares'!C82</f>
        <v>HAVELLS</v>
      </c>
      <c r="B87" s="50">
        <f>VLOOKUP($A87,'Data shares'!$C:$FB,7)</f>
        <v>1578.6</v>
      </c>
      <c r="C87" s="50">
        <f>VLOOKUP($A87,'Data shares'!$C:$FB,10)*100</f>
        <v>3.0700000000000003</v>
      </c>
      <c r="D87" s="49">
        <f>VLOOKUP($A87,'Data shares'!$C:$FB,66)</f>
        <v>71440000</v>
      </c>
      <c r="E87" s="49">
        <f>VLOOKUP($A87,'Data shares'!$C:$FB,67)</f>
        <v>18631000</v>
      </c>
      <c r="F87" s="50">
        <f>VLOOKUP($A87,'Data shares'!$C:$FB,69)*100</f>
        <v>283.45</v>
      </c>
      <c r="G87" s="49">
        <f>VLOOKUP($A87,'Data shares'!$C:$FB,42)</f>
        <v>12096500</v>
      </c>
      <c r="H87" s="49">
        <f>VLOOKUP($A87,'Data shares'!$C:$FB,43)</f>
        <v>3828000</v>
      </c>
      <c r="I87" s="50">
        <f>VLOOKUP($A87,'Data shares'!$C:$FB,45)*100</f>
        <v>216</v>
      </c>
      <c r="J87" s="49">
        <f>VLOOKUP($A87,'Data shares'!$C:$FB,58)</f>
        <v>37501000</v>
      </c>
      <c r="K87" s="49">
        <f>VLOOKUP($A87,'Data shares'!$C:$FB,59)</f>
        <v>8582500</v>
      </c>
      <c r="L87" s="50">
        <f>VLOOKUP($A87,'Data shares'!$C:$FB,61)*100</f>
        <v>336.95</v>
      </c>
      <c r="M87" s="49">
        <f>VLOOKUP($A87,'Data shares'!$C:$FB,62)</f>
        <v>21842500</v>
      </c>
      <c r="N87" s="49">
        <f>VLOOKUP($A87,'Data shares'!$C:$FB,63)</f>
        <v>6220500</v>
      </c>
      <c r="O87" s="140">
        <f>VLOOKUP($A87,'Data shares'!$C:$FB,65)*100</f>
        <v>251.14000000000001</v>
      </c>
    </row>
    <row r="88" spans="1:15" x14ac:dyDescent="0.25">
      <c r="A88" s="101" t="str">
        <f>'Data shares'!C83</f>
        <v>HCLTECH</v>
      </c>
      <c r="B88" s="50">
        <f>VLOOKUP($A88,'Data shares'!$C:$FB,7)</f>
        <v>1520.1</v>
      </c>
      <c r="C88" s="50">
        <f>VLOOKUP($A88,'Data shares'!$C:$FB,10)*100</f>
        <v>-0.67</v>
      </c>
      <c r="D88" s="49">
        <f>VLOOKUP($A88,'Data shares'!$C:$FB,66)</f>
        <v>17588550</v>
      </c>
      <c r="E88" s="49">
        <f>VLOOKUP($A88,'Data shares'!$C:$FB,67)</f>
        <v>23830450</v>
      </c>
      <c r="F88" s="50">
        <f>VLOOKUP($A88,'Data shares'!$C:$FB,69)*100</f>
        <v>-26.19</v>
      </c>
      <c r="G88" s="49">
        <f>VLOOKUP($A88,'Data shares'!$C:$FB,42)</f>
        <v>2241050</v>
      </c>
      <c r="H88" s="49">
        <f>VLOOKUP($A88,'Data shares'!$C:$FB,43)</f>
        <v>3286850</v>
      </c>
      <c r="I88" s="50">
        <f>VLOOKUP($A88,'Data shares'!$C:$FB,45)*100</f>
        <v>-31.819999999999997</v>
      </c>
      <c r="J88" s="49">
        <f>VLOOKUP($A88,'Data shares'!$C:$FB,58)</f>
        <v>11421550</v>
      </c>
      <c r="K88" s="49">
        <f>VLOOKUP($A88,'Data shares'!$C:$FB,59)</f>
        <v>15228150</v>
      </c>
      <c r="L88" s="50">
        <f>VLOOKUP($A88,'Data shares'!$C:$FB,61)*100</f>
        <v>-25</v>
      </c>
      <c r="M88" s="49">
        <f>VLOOKUP($A88,'Data shares'!$C:$FB,62)</f>
        <v>3925950</v>
      </c>
      <c r="N88" s="49">
        <f>VLOOKUP($A88,'Data shares'!$C:$FB,63)</f>
        <v>5315450</v>
      </c>
      <c r="O88" s="140">
        <f>VLOOKUP($A88,'Data shares'!$C:$FB,65)*100</f>
        <v>-26.14</v>
      </c>
    </row>
    <row r="89" spans="1:15" x14ac:dyDescent="0.25">
      <c r="A89" s="101" t="str">
        <f>'Data shares'!C84</f>
        <v>HDFCAMC</v>
      </c>
      <c r="B89" s="50">
        <f>VLOOKUP($A89,'Data shares'!$C:$FB,7)</f>
        <v>5592.5</v>
      </c>
      <c r="C89" s="50">
        <f>VLOOKUP($A89,'Data shares'!$C:$FB,10)*100</f>
        <v>-0.52</v>
      </c>
      <c r="D89" s="49">
        <f>VLOOKUP($A89,'Data shares'!$C:$FB,66)</f>
        <v>3433350</v>
      </c>
      <c r="E89" s="49">
        <f>VLOOKUP($A89,'Data shares'!$C:$FB,67)</f>
        <v>6442800</v>
      </c>
      <c r="F89" s="50">
        <f>VLOOKUP($A89,'Data shares'!$C:$FB,69)*100</f>
        <v>-46.71</v>
      </c>
      <c r="G89" s="49">
        <f>VLOOKUP($A89,'Data shares'!$C:$FB,42)</f>
        <v>450900</v>
      </c>
      <c r="H89" s="49">
        <f>VLOOKUP($A89,'Data shares'!$C:$FB,43)</f>
        <v>812700</v>
      </c>
      <c r="I89" s="50">
        <f>VLOOKUP($A89,'Data shares'!$C:$FB,45)*100</f>
        <v>-44.519999999999996</v>
      </c>
      <c r="J89" s="49">
        <f>VLOOKUP($A89,'Data shares'!$C:$FB,58)</f>
        <v>1686600</v>
      </c>
      <c r="K89" s="49">
        <f>VLOOKUP($A89,'Data shares'!$C:$FB,59)</f>
        <v>3589050</v>
      </c>
      <c r="L89" s="50">
        <f>VLOOKUP($A89,'Data shares'!$C:$FB,61)*100</f>
        <v>-53.010000000000005</v>
      </c>
      <c r="M89" s="49">
        <f>VLOOKUP($A89,'Data shares'!$C:$FB,62)</f>
        <v>1295850</v>
      </c>
      <c r="N89" s="49">
        <f>VLOOKUP($A89,'Data shares'!$C:$FB,63)</f>
        <v>2041050</v>
      </c>
      <c r="O89" s="140">
        <f>VLOOKUP($A89,'Data shares'!$C:$FB,65)*100</f>
        <v>-36.51</v>
      </c>
    </row>
    <row r="90" spans="1:15" x14ac:dyDescent="0.25">
      <c r="A90" s="101" t="str">
        <f>'Data shares'!C85</f>
        <v>HDFCBANK</v>
      </c>
      <c r="B90" s="50">
        <f>VLOOKUP($A90,'Data shares'!$C:$FB,7)</f>
        <v>2007.1</v>
      </c>
      <c r="C90" s="50">
        <f>VLOOKUP($A90,'Data shares'!$C:$FB,10)*100</f>
        <v>0.33</v>
      </c>
      <c r="D90" s="49">
        <f>VLOOKUP($A90,'Data shares'!$C:$FB,66)</f>
        <v>106014150</v>
      </c>
      <c r="E90" s="49">
        <f>VLOOKUP($A90,'Data shares'!$C:$FB,67)</f>
        <v>253475200</v>
      </c>
      <c r="F90" s="50">
        <f>VLOOKUP($A90,'Data shares'!$C:$FB,69)*100</f>
        <v>-58.18</v>
      </c>
      <c r="G90" s="49">
        <f>VLOOKUP($A90,'Data shares'!$C:$FB,42)</f>
        <v>11520300</v>
      </c>
      <c r="H90" s="49">
        <f>VLOOKUP($A90,'Data shares'!$C:$FB,43)</f>
        <v>26155250</v>
      </c>
      <c r="I90" s="50">
        <f>VLOOKUP($A90,'Data shares'!$C:$FB,45)*100</f>
        <v>-55.95</v>
      </c>
      <c r="J90" s="49">
        <f>VLOOKUP($A90,'Data shares'!$C:$FB,58)</f>
        <v>56040050</v>
      </c>
      <c r="K90" s="49">
        <f>VLOOKUP($A90,'Data shares'!$C:$FB,59)</f>
        <v>129204900</v>
      </c>
      <c r="L90" s="50">
        <f>VLOOKUP($A90,'Data shares'!$C:$FB,61)*100</f>
        <v>-56.63</v>
      </c>
      <c r="M90" s="49">
        <f>VLOOKUP($A90,'Data shares'!$C:$FB,62)</f>
        <v>38453800</v>
      </c>
      <c r="N90" s="49">
        <f>VLOOKUP($A90,'Data shares'!$C:$FB,63)</f>
        <v>98115050</v>
      </c>
      <c r="O90" s="140">
        <f>VLOOKUP($A90,'Data shares'!$C:$FB,65)*100</f>
        <v>-60.809999999999995</v>
      </c>
    </row>
    <row r="91" spans="1:15" x14ac:dyDescent="0.25">
      <c r="A91" s="101" t="str">
        <f>'Data shares'!C86</f>
        <v>HDFCLIFE</v>
      </c>
      <c r="B91" s="50">
        <f>VLOOKUP($A91,'Data shares'!$C:$FB,7)</f>
        <v>763.3</v>
      </c>
      <c r="C91" s="50">
        <f>VLOOKUP($A91,'Data shares'!$C:$FB,10)*100</f>
        <v>1.46</v>
      </c>
      <c r="D91" s="49">
        <f>VLOOKUP($A91,'Data shares'!$C:$FB,66)</f>
        <v>63276400</v>
      </c>
      <c r="E91" s="49">
        <f>VLOOKUP($A91,'Data shares'!$C:$FB,67)</f>
        <v>30145500</v>
      </c>
      <c r="F91" s="50">
        <f>VLOOKUP($A91,'Data shares'!$C:$FB,69)*100</f>
        <v>109.89999999999999</v>
      </c>
      <c r="G91" s="49">
        <f>VLOOKUP($A91,'Data shares'!$C:$FB,42)</f>
        <v>7962900</v>
      </c>
      <c r="H91" s="49">
        <f>VLOOKUP($A91,'Data shares'!$C:$FB,43)</f>
        <v>4299900</v>
      </c>
      <c r="I91" s="50">
        <f>VLOOKUP($A91,'Data shares'!$C:$FB,45)*100</f>
        <v>85.19</v>
      </c>
      <c r="J91" s="49">
        <f>VLOOKUP($A91,'Data shares'!$C:$FB,58)</f>
        <v>39998200</v>
      </c>
      <c r="K91" s="49">
        <f>VLOOKUP($A91,'Data shares'!$C:$FB,59)</f>
        <v>18133500</v>
      </c>
      <c r="L91" s="50">
        <f>VLOOKUP($A91,'Data shares'!$C:$FB,61)*100</f>
        <v>120.58</v>
      </c>
      <c r="M91" s="49">
        <f>VLOOKUP($A91,'Data shares'!$C:$FB,62)</f>
        <v>15315300</v>
      </c>
      <c r="N91" s="49">
        <f>VLOOKUP($A91,'Data shares'!$C:$FB,63)</f>
        <v>7712100</v>
      </c>
      <c r="O91" s="140">
        <f>VLOOKUP($A91,'Data shares'!$C:$FB,65)*100</f>
        <v>98.59</v>
      </c>
    </row>
    <row r="92" spans="1:15" x14ac:dyDescent="0.25">
      <c r="A92" s="101" t="str">
        <f>'Data shares'!C87</f>
        <v>HEROMOTOCO</v>
      </c>
      <c r="B92" s="50">
        <f>VLOOKUP($A92,'Data shares'!$C:$FB,7)</f>
        <v>4342.3999999999996</v>
      </c>
      <c r="C92" s="50">
        <f>VLOOKUP($A92,'Data shares'!$C:$FB,10)*100</f>
        <v>-1.49</v>
      </c>
      <c r="D92" s="49">
        <f>VLOOKUP($A92,'Data shares'!$C:$FB,66)</f>
        <v>9512850</v>
      </c>
      <c r="E92" s="49">
        <f>VLOOKUP($A92,'Data shares'!$C:$FB,67)</f>
        <v>7107750</v>
      </c>
      <c r="F92" s="50">
        <f>VLOOKUP($A92,'Data shares'!$C:$FB,69)*100</f>
        <v>33.839999999999996</v>
      </c>
      <c r="G92" s="49">
        <f>VLOOKUP($A92,'Data shares'!$C:$FB,42)</f>
        <v>1118850</v>
      </c>
      <c r="H92" s="49">
        <f>VLOOKUP($A92,'Data shares'!$C:$FB,43)</f>
        <v>664050</v>
      </c>
      <c r="I92" s="50">
        <f>VLOOKUP($A92,'Data shares'!$C:$FB,45)*100</f>
        <v>68.489999999999995</v>
      </c>
      <c r="J92" s="49">
        <f>VLOOKUP($A92,'Data shares'!$C:$FB,58)</f>
        <v>6141000</v>
      </c>
      <c r="K92" s="49">
        <f>VLOOKUP($A92,'Data shares'!$C:$FB,59)</f>
        <v>4745400</v>
      </c>
      <c r="L92" s="50">
        <f>VLOOKUP($A92,'Data shares'!$C:$FB,61)*100</f>
        <v>29.409999999999997</v>
      </c>
      <c r="M92" s="49">
        <f>VLOOKUP($A92,'Data shares'!$C:$FB,62)</f>
        <v>2253000</v>
      </c>
      <c r="N92" s="49">
        <f>VLOOKUP($A92,'Data shares'!$C:$FB,63)</f>
        <v>1698300</v>
      </c>
      <c r="O92" s="140">
        <f>VLOOKUP($A92,'Data shares'!$C:$FB,65)*100</f>
        <v>32.659999999999997</v>
      </c>
    </row>
    <row r="93" spans="1:15" x14ac:dyDescent="0.25">
      <c r="A93" s="101" t="str">
        <f>'Data shares'!C88</f>
        <v>HFCL</v>
      </c>
      <c r="B93" s="50">
        <f>VLOOKUP($A93,'Data shares'!$C:$FB,7)</f>
        <v>80.319999999999993</v>
      </c>
      <c r="C93" s="50">
        <f>VLOOKUP($A93,'Data shares'!$C:$FB,10)*100</f>
        <v>-1.73</v>
      </c>
      <c r="D93" s="49">
        <f>VLOOKUP($A93,'Data shares'!$C:$FB,66)</f>
        <v>44169600</v>
      </c>
      <c r="E93" s="49">
        <f>VLOOKUP($A93,'Data shares'!$C:$FB,67)</f>
        <v>20369100</v>
      </c>
      <c r="F93" s="50">
        <f>VLOOKUP($A93,'Data shares'!$C:$FB,69)*100</f>
        <v>116.85000000000001</v>
      </c>
      <c r="G93" s="49">
        <f>VLOOKUP($A93,'Data shares'!$C:$FB,42)</f>
        <v>18143850</v>
      </c>
      <c r="H93" s="49">
        <f>VLOOKUP($A93,'Data shares'!$C:$FB,43)</f>
        <v>7043400</v>
      </c>
      <c r="I93" s="50">
        <f>VLOOKUP($A93,'Data shares'!$C:$FB,45)*100</f>
        <v>157.6</v>
      </c>
      <c r="J93" s="49">
        <f>VLOOKUP($A93,'Data shares'!$C:$FB,58)</f>
        <v>18492150</v>
      </c>
      <c r="K93" s="49">
        <f>VLOOKUP($A93,'Data shares'!$C:$FB,59)</f>
        <v>9094500</v>
      </c>
      <c r="L93" s="50">
        <f>VLOOKUP($A93,'Data shares'!$C:$FB,61)*100</f>
        <v>103.33000000000001</v>
      </c>
      <c r="M93" s="49">
        <f>VLOOKUP($A93,'Data shares'!$C:$FB,62)</f>
        <v>7533600</v>
      </c>
      <c r="N93" s="49">
        <f>VLOOKUP($A93,'Data shares'!$C:$FB,63)</f>
        <v>4231200</v>
      </c>
      <c r="O93" s="140">
        <f>VLOOKUP($A93,'Data shares'!$C:$FB,65)*100</f>
        <v>78.05</v>
      </c>
    </row>
    <row r="94" spans="1:15" x14ac:dyDescent="0.25">
      <c r="A94" s="101" t="str">
        <f>'Data shares'!C89</f>
        <v>HINDALCO</v>
      </c>
      <c r="B94" s="50">
        <f>VLOOKUP($A94,'Data shares'!$C:$FB,7)</f>
        <v>690.05</v>
      </c>
      <c r="C94" s="50">
        <f>VLOOKUP($A94,'Data shares'!$C:$FB,10)*100</f>
        <v>1.08</v>
      </c>
      <c r="D94" s="49">
        <f>VLOOKUP($A94,'Data shares'!$C:$FB,66)</f>
        <v>46520600</v>
      </c>
      <c r="E94" s="49">
        <f>VLOOKUP($A94,'Data shares'!$C:$FB,67)</f>
        <v>49245000</v>
      </c>
      <c r="F94" s="50">
        <f>VLOOKUP($A94,'Data shares'!$C:$FB,69)*100</f>
        <v>-5.53</v>
      </c>
      <c r="G94" s="49">
        <f>VLOOKUP($A94,'Data shares'!$C:$FB,42)</f>
        <v>7278600</v>
      </c>
      <c r="H94" s="49">
        <f>VLOOKUP($A94,'Data shares'!$C:$FB,43)</f>
        <v>9647400</v>
      </c>
      <c r="I94" s="50">
        <f>VLOOKUP($A94,'Data shares'!$C:$FB,45)*100</f>
        <v>-24.55</v>
      </c>
      <c r="J94" s="49">
        <f>VLOOKUP($A94,'Data shares'!$C:$FB,58)</f>
        <v>27169800</v>
      </c>
      <c r="K94" s="49">
        <f>VLOOKUP($A94,'Data shares'!$C:$FB,59)</f>
        <v>26320000</v>
      </c>
      <c r="L94" s="50">
        <f>VLOOKUP($A94,'Data shares'!$C:$FB,61)*100</f>
        <v>3.2300000000000004</v>
      </c>
      <c r="M94" s="49">
        <f>VLOOKUP($A94,'Data shares'!$C:$FB,62)</f>
        <v>12072200</v>
      </c>
      <c r="N94" s="49">
        <f>VLOOKUP($A94,'Data shares'!$C:$FB,63)</f>
        <v>13277600</v>
      </c>
      <c r="O94" s="140">
        <f>VLOOKUP($A94,'Data shares'!$C:$FB,65)*100</f>
        <v>-9.08</v>
      </c>
    </row>
    <row r="95" spans="1:15" x14ac:dyDescent="0.25">
      <c r="A95" s="101" t="str">
        <f>'Data shares'!C90</f>
        <v>HINDCOPPER</v>
      </c>
      <c r="B95" s="50">
        <f>VLOOKUP($A95,'Data shares'!$C:$FB,7)</f>
        <v>271.95</v>
      </c>
      <c r="C95" s="50">
        <f>VLOOKUP($A95,'Data shares'!$C:$FB,10)*100</f>
        <v>-0.67999999999999994</v>
      </c>
      <c r="D95" s="49">
        <f>VLOOKUP($A95,'Data shares'!$C:$FB,66)</f>
        <v>33845800</v>
      </c>
      <c r="E95" s="49">
        <f>VLOOKUP($A95,'Data shares'!$C:$FB,67)</f>
        <v>2840800</v>
      </c>
      <c r="F95" s="50">
        <f>VLOOKUP($A95,'Data shares'!$C:$FB,69)*100</f>
        <v>1091.4199999999998</v>
      </c>
      <c r="G95" s="49">
        <f>VLOOKUP($A95,'Data shares'!$C:$FB,42)</f>
        <v>8185850</v>
      </c>
      <c r="H95" s="49">
        <f>VLOOKUP($A95,'Data shares'!$C:$FB,43)</f>
        <v>1412450</v>
      </c>
      <c r="I95" s="50">
        <f>VLOOKUP($A95,'Data shares'!$C:$FB,45)*100</f>
        <v>479.54999999999995</v>
      </c>
      <c r="J95" s="49">
        <f>VLOOKUP($A95,'Data shares'!$C:$FB,58)</f>
        <v>18595050</v>
      </c>
      <c r="K95" s="49">
        <f>VLOOKUP($A95,'Data shares'!$C:$FB,59)</f>
        <v>1007000</v>
      </c>
      <c r="L95" s="50">
        <f>VLOOKUP($A95,'Data shares'!$C:$FB,61)*100</f>
        <v>1746.5800000000002</v>
      </c>
      <c r="M95" s="49">
        <f>VLOOKUP($A95,'Data shares'!$C:$FB,62)</f>
        <v>7064900</v>
      </c>
      <c r="N95" s="49">
        <f>VLOOKUP($A95,'Data shares'!$C:$FB,63)</f>
        <v>421350</v>
      </c>
      <c r="O95" s="140">
        <f>VLOOKUP($A95,'Data shares'!$C:$FB,65)*100</f>
        <v>1576.73</v>
      </c>
    </row>
    <row r="96" spans="1:15" x14ac:dyDescent="0.25">
      <c r="A96" s="101" t="str">
        <f>'Data shares'!C91</f>
        <v>HINDPETRO</v>
      </c>
      <c r="B96" s="50">
        <f>VLOOKUP($A96,'Data shares'!$C:$FB,7)</f>
        <v>429.25</v>
      </c>
      <c r="C96" s="50">
        <f>VLOOKUP($A96,'Data shares'!$C:$FB,10)*100</f>
        <v>-0.57000000000000006</v>
      </c>
      <c r="D96" s="49">
        <f>VLOOKUP($A96,'Data shares'!$C:$FB,66)</f>
        <v>18056925</v>
      </c>
      <c r="E96" s="49">
        <f>VLOOKUP($A96,'Data shares'!$C:$FB,67)</f>
        <v>18405225</v>
      </c>
      <c r="F96" s="50">
        <f>VLOOKUP($A96,'Data shares'!$C:$FB,69)*100</f>
        <v>-1.8900000000000001</v>
      </c>
      <c r="G96" s="49">
        <f>VLOOKUP($A96,'Data shares'!$C:$FB,42)</f>
        <v>5100975</v>
      </c>
      <c r="H96" s="49">
        <f>VLOOKUP($A96,'Data shares'!$C:$FB,43)</f>
        <v>4450950</v>
      </c>
      <c r="I96" s="50">
        <f>VLOOKUP($A96,'Data shares'!$C:$FB,45)*100</f>
        <v>14.6</v>
      </c>
      <c r="J96" s="49">
        <f>VLOOKUP($A96,'Data shares'!$C:$FB,58)</f>
        <v>8221500</v>
      </c>
      <c r="K96" s="49">
        <f>VLOOKUP($A96,'Data shares'!$C:$FB,59)</f>
        <v>8134425</v>
      </c>
      <c r="L96" s="50">
        <f>VLOOKUP($A96,'Data shares'!$C:$FB,61)*100</f>
        <v>1.0699999999999998</v>
      </c>
      <c r="M96" s="49">
        <f>VLOOKUP($A96,'Data shares'!$C:$FB,62)</f>
        <v>4734450</v>
      </c>
      <c r="N96" s="49">
        <f>VLOOKUP($A96,'Data shares'!$C:$FB,63)</f>
        <v>5819850</v>
      </c>
      <c r="O96" s="140">
        <f>VLOOKUP($A96,'Data shares'!$C:$FB,65)*100</f>
        <v>-18.649999999999999</v>
      </c>
    </row>
    <row r="97" spans="1:15" x14ac:dyDescent="0.25">
      <c r="A97" s="101" t="str">
        <f>'Data shares'!C92</f>
        <v>HINDUNILVR</v>
      </c>
      <c r="B97" s="50">
        <f>VLOOKUP($A97,'Data shares'!$C:$FB,7)</f>
        <v>2479.6999999999998</v>
      </c>
      <c r="C97" s="50">
        <f>VLOOKUP($A97,'Data shares'!$C:$FB,10)*100</f>
        <v>0.6</v>
      </c>
      <c r="D97" s="49">
        <f>VLOOKUP($A97,'Data shares'!$C:$FB,66)</f>
        <v>10554900</v>
      </c>
      <c r="E97" s="49">
        <f>VLOOKUP($A97,'Data shares'!$C:$FB,67)</f>
        <v>17748000</v>
      </c>
      <c r="F97" s="50">
        <f>VLOOKUP($A97,'Data shares'!$C:$FB,69)*100</f>
        <v>-40.53</v>
      </c>
      <c r="G97" s="49">
        <f>VLOOKUP($A97,'Data shares'!$C:$FB,42)</f>
        <v>1398600</v>
      </c>
      <c r="H97" s="49">
        <f>VLOOKUP($A97,'Data shares'!$C:$FB,43)</f>
        <v>2169000</v>
      </c>
      <c r="I97" s="50">
        <f>VLOOKUP($A97,'Data shares'!$C:$FB,45)*100</f>
        <v>-35.520000000000003</v>
      </c>
      <c r="J97" s="49">
        <f>VLOOKUP($A97,'Data shares'!$C:$FB,58)</f>
        <v>6234900</v>
      </c>
      <c r="K97" s="49">
        <f>VLOOKUP($A97,'Data shares'!$C:$FB,59)</f>
        <v>8439600</v>
      </c>
      <c r="L97" s="50">
        <f>VLOOKUP($A97,'Data shares'!$C:$FB,61)*100</f>
        <v>-26.119999999999997</v>
      </c>
      <c r="M97" s="49">
        <f>VLOOKUP($A97,'Data shares'!$C:$FB,62)</f>
        <v>2921400</v>
      </c>
      <c r="N97" s="49">
        <f>VLOOKUP($A97,'Data shares'!$C:$FB,63)</f>
        <v>7139400</v>
      </c>
      <c r="O97" s="140">
        <f>VLOOKUP($A97,'Data shares'!$C:$FB,65)*100</f>
        <v>-59.08</v>
      </c>
    </row>
    <row r="98" spans="1:15" x14ac:dyDescent="0.25">
      <c r="A98" s="101" t="str">
        <f>'Data shares'!C93</f>
        <v>HINDZINC</v>
      </c>
      <c r="B98" s="50">
        <f>VLOOKUP($A98,'Data shares'!$C:$FB,7)</f>
        <v>443.2</v>
      </c>
      <c r="C98" s="50">
        <f>VLOOKUP($A98,'Data shares'!$C:$FB,10)*100</f>
        <v>-0.33</v>
      </c>
      <c r="D98" s="49">
        <f>VLOOKUP($A98,'Data shares'!$C:$FB,66)</f>
        <v>13143025</v>
      </c>
      <c r="E98" s="49">
        <f>VLOOKUP($A98,'Data shares'!$C:$FB,67)</f>
        <v>36061550</v>
      </c>
      <c r="F98" s="50">
        <f>VLOOKUP($A98,'Data shares'!$C:$FB,69)*100</f>
        <v>-63.55</v>
      </c>
      <c r="G98" s="49">
        <f>VLOOKUP($A98,'Data shares'!$C:$FB,42)</f>
        <v>3162950</v>
      </c>
      <c r="H98" s="49">
        <f>VLOOKUP($A98,'Data shares'!$C:$FB,43)</f>
        <v>7133175</v>
      </c>
      <c r="I98" s="50">
        <f>VLOOKUP($A98,'Data shares'!$C:$FB,45)*100</f>
        <v>-55.66</v>
      </c>
      <c r="J98" s="49">
        <f>VLOOKUP($A98,'Data shares'!$C:$FB,58)</f>
        <v>6611325</v>
      </c>
      <c r="K98" s="49">
        <f>VLOOKUP($A98,'Data shares'!$C:$FB,59)</f>
        <v>17559150</v>
      </c>
      <c r="L98" s="50">
        <f>VLOOKUP($A98,'Data shares'!$C:$FB,61)*100</f>
        <v>-62.350000000000009</v>
      </c>
      <c r="M98" s="49">
        <f>VLOOKUP($A98,'Data shares'!$C:$FB,62)</f>
        <v>3368750</v>
      </c>
      <c r="N98" s="49">
        <f>VLOOKUP($A98,'Data shares'!$C:$FB,63)</f>
        <v>11369225</v>
      </c>
      <c r="O98" s="140">
        <f>VLOOKUP($A98,'Data shares'!$C:$FB,65)*100</f>
        <v>-70.37</v>
      </c>
    </row>
    <row r="99" spans="1:15" x14ac:dyDescent="0.25">
      <c r="A99" s="101" t="str">
        <f>'Data shares'!C94</f>
        <v>HUDCO</v>
      </c>
      <c r="B99" s="50">
        <f>VLOOKUP($A99,'Data shares'!$C:$FB,7)</f>
        <v>225.46</v>
      </c>
      <c r="C99" s="50">
        <f>VLOOKUP($A99,'Data shares'!$C:$FB,10)*100</f>
        <v>-0.94000000000000006</v>
      </c>
      <c r="D99" s="49">
        <f>VLOOKUP($A99,'Data shares'!$C:$FB,66)</f>
        <v>17080125</v>
      </c>
      <c r="E99" s="49">
        <f>VLOOKUP($A99,'Data shares'!$C:$FB,67)</f>
        <v>21189900</v>
      </c>
      <c r="F99" s="50">
        <f>VLOOKUP($A99,'Data shares'!$C:$FB,69)*100</f>
        <v>-19.39</v>
      </c>
      <c r="G99" s="49">
        <f>VLOOKUP($A99,'Data shares'!$C:$FB,42)</f>
        <v>4048725</v>
      </c>
      <c r="H99" s="49">
        <f>VLOOKUP($A99,'Data shares'!$C:$FB,43)</f>
        <v>5361300</v>
      </c>
      <c r="I99" s="50">
        <f>VLOOKUP($A99,'Data shares'!$C:$FB,45)*100</f>
        <v>-24.48</v>
      </c>
      <c r="J99" s="49">
        <f>VLOOKUP($A99,'Data shares'!$C:$FB,58)</f>
        <v>8977125</v>
      </c>
      <c r="K99" s="49">
        <f>VLOOKUP($A99,'Data shares'!$C:$FB,59)</f>
        <v>10811400</v>
      </c>
      <c r="L99" s="50">
        <f>VLOOKUP($A99,'Data shares'!$C:$FB,61)*100</f>
        <v>-16.97</v>
      </c>
      <c r="M99" s="49">
        <f>VLOOKUP($A99,'Data shares'!$C:$FB,62)</f>
        <v>4054275</v>
      </c>
      <c r="N99" s="49">
        <f>VLOOKUP($A99,'Data shares'!$C:$FB,63)</f>
        <v>5017200</v>
      </c>
      <c r="O99" s="140">
        <f>VLOOKUP($A99,'Data shares'!$C:$FB,65)*100</f>
        <v>-19.189999999999998</v>
      </c>
    </row>
    <row r="100" spans="1:15" x14ac:dyDescent="0.25">
      <c r="A100" s="101" t="str">
        <f>'Data shares'!C95</f>
        <v>ICICIBANK</v>
      </c>
      <c r="B100" s="50">
        <f>VLOOKUP($A100,'Data shares'!$C:$FB,7)</f>
        <v>1473.6</v>
      </c>
      <c r="C100" s="50">
        <f>VLOOKUP($A100,'Data shares'!$C:$FB,10)*100</f>
        <v>0.53</v>
      </c>
      <c r="D100" s="49">
        <f>VLOOKUP($A100,'Data shares'!$C:$FB,66)</f>
        <v>122846500</v>
      </c>
      <c r="E100" s="49">
        <f>VLOOKUP($A100,'Data shares'!$C:$FB,67)</f>
        <v>261034200</v>
      </c>
      <c r="F100" s="50">
        <f>VLOOKUP($A100,'Data shares'!$C:$FB,69)*100</f>
        <v>-52.94</v>
      </c>
      <c r="G100" s="49">
        <f>VLOOKUP($A100,'Data shares'!$C:$FB,42)</f>
        <v>13344800</v>
      </c>
      <c r="H100" s="49">
        <f>VLOOKUP($A100,'Data shares'!$C:$FB,43)</f>
        <v>26593000</v>
      </c>
      <c r="I100" s="50">
        <f>VLOOKUP($A100,'Data shares'!$C:$FB,45)*100</f>
        <v>-49.82</v>
      </c>
      <c r="J100" s="49">
        <f>VLOOKUP($A100,'Data shares'!$C:$FB,58)</f>
        <v>66822700</v>
      </c>
      <c r="K100" s="49">
        <f>VLOOKUP($A100,'Data shares'!$C:$FB,59)</f>
        <v>149926000</v>
      </c>
      <c r="L100" s="50">
        <f>VLOOKUP($A100,'Data shares'!$C:$FB,61)*100</f>
        <v>-55.43</v>
      </c>
      <c r="M100" s="49">
        <f>VLOOKUP($A100,'Data shares'!$C:$FB,62)</f>
        <v>42679000</v>
      </c>
      <c r="N100" s="49">
        <f>VLOOKUP($A100,'Data shares'!$C:$FB,63)</f>
        <v>84515200</v>
      </c>
      <c r="O100" s="140">
        <f>VLOOKUP($A100,'Data shares'!$C:$FB,65)*100</f>
        <v>-49.5</v>
      </c>
    </row>
    <row r="101" spans="1:15" x14ac:dyDescent="0.25">
      <c r="A101" s="101" t="str">
        <f>'Data shares'!C96</f>
        <v>ICICIGI</v>
      </c>
      <c r="B101" s="50">
        <f>VLOOKUP($A101,'Data shares'!$C:$FB,7)</f>
        <v>1962.3</v>
      </c>
      <c r="C101" s="50">
        <f>VLOOKUP($A101,'Data shares'!$C:$FB,10)*100</f>
        <v>0.52</v>
      </c>
      <c r="D101" s="49">
        <f>VLOOKUP($A101,'Data shares'!$C:$FB,66)</f>
        <v>3296150</v>
      </c>
      <c r="E101" s="49">
        <f>VLOOKUP($A101,'Data shares'!$C:$FB,67)</f>
        <v>4005950</v>
      </c>
      <c r="F101" s="50">
        <f>VLOOKUP($A101,'Data shares'!$C:$FB,69)*100</f>
        <v>-17.72</v>
      </c>
      <c r="G101" s="49">
        <f>VLOOKUP($A101,'Data shares'!$C:$FB,42)</f>
        <v>680550</v>
      </c>
      <c r="H101" s="49">
        <f>VLOOKUP($A101,'Data shares'!$C:$FB,43)</f>
        <v>608075</v>
      </c>
      <c r="I101" s="50">
        <f>VLOOKUP($A101,'Data shares'!$C:$FB,45)*100</f>
        <v>11.92</v>
      </c>
      <c r="J101" s="49">
        <f>VLOOKUP($A101,'Data shares'!$C:$FB,58)</f>
        <v>1889875</v>
      </c>
      <c r="K101" s="49">
        <f>VLOOKUP($A101,'Data shares'!$C:$FB,59)</f>
        <v>2691325</v>
      </c>
      <c r="L101" s="50">
        <f>VLOOKUP($A101,'Data shares'!$C:$FB,61)*100</f>
        <v>-29.78</v>
      </c>
      <c r="M101" s="49">
        <f>VLOOKUP($A101,'Data shares'!$C:$FB,62)</f>
        <v>725725</v>
      </c>
      <c r="N101" s="49">
        <f>VLOOKUP($A101,'Data shares'!$C:$FB,63)</f>
        <v>706550</v>
      </c>
      <c r="O101" s="140">
        <f>VLOOKUP($A101,'Data shares'!$C:$FB,65)*100</f>
        <v>2.71</v>
      </c>
    </row>
    <row r="102" spans="1:15" x14ac:dyDescent="0.25">
      <c r="A102" s="101" t="str">
        <f>'Data shares'!C97</f>
        <v>ICICIPRULI</v>
      </c>
      <c r="B102" s="50">
        <f>VLOOKUP($A102,'Data shares'!$C:$FB,7)</f>
        <v>625.1</v>
      </c>
      <c r="C102" s="50">
        <f>VLOOKUP($A102,'Data shares'!$C:$FB,10)*100</f>
        <v>-1.54</v>
      </c>
      <c r="D102" s="49">
        <f>VLOOKUP($A102,'Data shares'!$C:$FB,66)</f>
        <v>17146725</v>
      </c>
      <c r="E102" s="49">
        <f>VLOOKUP($A102,'Data shares'!$C:$FB,67)</f>
        <v>11217475</v>
      </c>
      <c r="F102" s="50">
        <f>VLOOKUP($A102,'Data shares'!$C:$FB,69)*100</f>
        <v>52.86</v>
      </c>
      <c r="G102" s="49">
        <f>VLOOKUP($A102,'Data shares'!$C:$FB,42)</f>
        <v>3232875</v>
      </c>
      <c r="H102" s="49">
        <f>VLOOKUP($A102,'Data shares'!$C:$FB,43)</f>
        <v>2599250</v>
      </c>
      <c r="I102" s="50">
        <f>VLOOKUP($A102,'Data shares'!$C:$FB,45)*100</f>
        <v>24.38</v>
      </c>
      <c r="J102" s="49">
        <f>VLOOKUP($A102,'Data shares'!$C:$FB,58)</f>
        <v>11033400</v>
      </c>
      <c r="K102" s="49">
        <f>VLOOKUP($A102,'Data shares'!$C:$FB,59)</f>
        <v>6625775</v>
      </c>
      <c r="L102" s="50">
        <f>VLOOKUP($A102,'Data shares'!$C:$FB,61)*100</f>
        <v>66.52</v>
      </c>
      <c r="M102" s="49">
        <f>VLOOKUP($A102,'Data shares'!$C:$FB,62)</f>
        <v>2880450</v>
      </c>
      <c r="N102" s="49">
        <f>VLOOKUP($A102,'Data shares'!$C:$FB,63)</f>
        <v>1992450</v>
      </c>
      <c r="O102" s="140">
        <f>VLOOKUP($A102,'Data shares'!$C:$FB,65)*100</f>
        <v>44.57</v>
      </c>
    </row>
    <row r="103" spans="1:15" x14ac:dyDescent="0.25">
      <c r="A103" s="101" t="str">
        <f>'Data shares'!C98</f>
        <v>IDEA</v>
      </c>
      <c r="B103" s="50">
        <f>VLOOKUP($A103,'Data shares'!$C:$FB,7)</f>
        <v>7.37</v>
      </c>
      <c r="C103" s="50">
        <f>VLOOKUP($A103,'Data shares'!$C:$FB,10)*100</f>
        <v>-3.4099999999999997</v>
      </c>
      <c r="D103" s="49">
        <f>VLOOKUP($A103,'Data shares'!$C:$FB,66)</f>
        <v>1205640300</v>
      </c>
      <c r="E103" s="49">
        <f>VLOOKUP($A103,'Data shares'!$C:$FB,67)</f>
        <v>921098325</v>
      </c>
      <c r="F103" s="50">
        <f>VLOOKUP($A103,'Data shares'!$C:$FB,69)*100</f>
        <v>30.89</v>
      </c>
      <c r="G103" s="49">
        <f>VLOOKUP($A103,'Data shares'!$C:$FB,42)</f>
        <v>543067050</v>
      </c>
      <c r="H103" s="49">
        <f>VLOOKUP($A103,'Data shares'!$C:$FB,43)</f>
        <v>618544650</v>
      </c>
      <c r="I103" s="50">
        <f>VLOOKUP($A103,'Data shares'!$C:$FB,45)*100</f>
        <v>-12.2</v>
      </c>
      <c r="J103" s="49">
        <f>VLOOKUP($A103,'Data shares'!$C:$FB,58)</f>
        <v>571442625</v>
      </c>
      <c r="K103" s="49">
        <f>VLOOKUP($A103,'Data shares'!$C:$FB,59)</f>
        <v>242943525</v>
      </c>
      <c r="L103" s="50">
        <f>VLOOKUP($A103,'Data shares'!$C:$FB,61)*100</f>
        <v>135.22</v>
      </c>
      <c r="M103" s="49">
        <f>VLOOKUP($A103,'Data shares'!$C:$FB,62)</f>
        <v>91130625</v>
      </c>
      <c r="N103" s="49">
        <f>VLOOKUP($A103,'Data shares'!$C:$FB,63)</f>
        <v>59610150</v>
      </c>
      <c r="O103" s="140">
        <f>VLOOKUP($A103,'Data shares'!$C:$FB,65)*100</f>
        <v>52.88</v>
      </c>
    </row>
    <row r="104" spans="1:15" x14ac:dyDescent="0.25">
      <c r="A104" s="101" t="str">
        <f>'Data shares'!C99</f>
        <v>IDFCFIRSTB</v>
      </c>
      <c r="B104" s="50">
        <f>VLOOKUP($A104,'Data shares'!$C:$FB,7)</f>
        <v>72.44</v>
      </c>
      <c r="C104" s="50">
        <f>VLOOKUP($A104,'Data shares'!$C:$FB,10)*100</f>
        <v>-2.09</v>
      </c>
      <c r="D104" s="49">
        <f>VLOOKUP($A104,'Data shares'!$C:$FB,66)</f>
        <v>176178625</v>
      </c>
      <c r="E104" s="49">
        <f>VLOOKUP($A104,'Data shares'!$C:$FB,67)</f>
        <v>361919775</v>
      </c>
      <c r="F104" s="50">
        <f>VLOOKUP($A104,'Data shares'!$C:$FB,69)*100</f>
        <v>-51.32</v>
      </c>
      <c r="G104" s="49">
        <f>VLOOKUP($A104,'Data shares'!$C:$FB,42)</f>
        <v>49973700</v>
      </c>
      <c r="H104" s="49">
        <f>VLOOKUP($A104,'Data shares'!$C:$FB,43)</f>
        <v>115139850</v>
      </c>
      <c r="I104" s="50">
        <f>VLOOKUP($A104,'Data shares'!$C:$FB,45)*100</f>
        <v>-56.599999999999994</v>
      </c>
      <c r="J104" s="49">
        <f>VLOOKUP($A104,'Data shares'!$C:$FB,58)</f>
        <v>88678275</v>
      </c>
      <c r="K104" s="49">
        <f>VLOOKUP($A104,'Data shares'!$C:$FB,59)</f>
        <v>172190375</v>
      </c>
      <c r="L104" s="50">
        <f>VLOOKUP($A104,'Data shares'!$C:$FB,61)*100</f>
        <v>-48.5</v>
      </c>
      <c r="M104" s="49">
        <f>VLOOKUP($A104,'Data shares'!$C:$FB,62)</f>
        <v>37526650</v>
      </c>
      <c r="N104" s="49">
        <f>VLOOKUP($A104,'Data shares'!$C:$FB,63)</f>
        <v>74589550</v>
      </c>
      <c r="O104" s="140">
        <f>VLOOKUP($A104,'Data shares'!$C:$FB,65)*100</f>
        <v>-49.69</v>
      </c>
    </row>
    <row r="105" spans="1:15" x14ac:dyDescent="0.25">
      <c r="A105" s="101" t="str">
        <f>'Data shares'!C100</f>
        <v>IEX</v>
      </c>
      <c r="B105" s="50">
        <f>VLOOKUP($A105,'Data shares'!$C:$FB,7)</f>
        <v>192.56</v>
      </c>
      <c r="C105" s="50">
        <f>VLOOKUP($A105,'Data shares'!$C:$FB,10)*100</f>
        <v>-1.7500000000000002</v>
      </c>
      <c r="D105" s="49">
        <f>VLOOKUP($A105,'Data shares'!$C:$FB,66)</f>
        <v>418826250</v>
      </c>
      <c r="E105" s="49">
        <f>VLOOKUP($A105,'Data shares'!$C:$FB,67)</f>
        <v>241057500</v>
      </c>
      <c r="F105" s="50">
        <f>VLOOKUP($A105,'Data shares'!$C:$FB,69)*100</f>
        <v>73.75</v>
      </c>
      <c r="G105" s="49">
        <f>VLOOKUP($A105,'Data shares'!$C:$FB,42)</f>
        <v>40875000</v>
      </c>
      <c r="H105" s="49">
        <f>VLOOKUP($A105,'Data shares'!$C:$FB,43)</f>
        <v>26812500</v>
      </c>
      <c r="I105" s="50">
        <f>VLOOKUP($A105,'Data shares'!$C:$FB,45)*100</f>
        <v>52.449999999999996</v>
      </c>
      <c r="J105" s="49">
        <f>VLOOKUP($A105,'Data shares'!$C:$FB,58)</f>
        <v>119662500</v>
      </c>
      <c r="K105" s="49">
        <f>VLOOKUP($A105,'Data shares'!$C:$FB,59)</f>
        <v>59283750</v>
      </c>
      <c r="L105" s="50">
        <f>VLOOKUP($A105,'Data shares'!$C:$FB,61)*100</f>
        <v>101.85</v>
      </c>
      <c r="M105" s="49">
        <f>VLOOKUP($A105,'Data shares'!$C:$FB,62)</f>
        <v>258288750</v>
      </c>
      <c r="N105" s="49">
        <f>VLOOKUP($A105,'Data shares'!$C:$FB,63)</f>
        <v>154961250</v>
      </c>
      <c r="O105" s="140">
        <f>VLOOKUP($A105,'Data shares'!$C:$FB,65)*100</f>
        <v>66.679999999999993</v>
      </c>
    </row>
    <row r="106" spans="1:15" x14ac:dyDescent="0.25">
      <c r="A106" s="101" t="str">
        <f>'Data shares'!C101</f>
        <v>IGL</v>
      </c>
      <c r="B106" s="50">
        <f>VLOOKUP($A106,'Data shares'!$C:$FB,7)</f>
        <v>212.88</v>
      </c>
      <c r="C106" s="50">
        <f>VLOOKUP($A106,'Data shares'!$C:$FB,10)*100</f>
        <v>-0.08</v>
      </c>
      <c r="D106" s="49">
        <f>VLOOKUP($A106,'Data shares'!$C:$FB,66)</f>
        <v>61998750</v>
      </c>
      <c r="E106" s="49">
        <f>VLOOKUP($A106,'Data shares'!$C:$FB,67)</f>
        <v>38777750</v>
      </c>
      <c r="F106" s="50">
        <f>VLOOKUP($A106,'Data shares'!$C:$FB,69)*100</f>
        <v>59.88</v>
      </c>
      <c r="G106" s="49">
        <f>VLOOKUP($A106,'Data shares'!$C:$FB,42)</f>
        <v>10774500</v>
      </c>
      <c r="H106" s="49">
        <f>VLOOKUP($A106,'Data shares'!$C:$FB,43)</f>
        <v>4699750</v>
      </c>
      <c r="I106" s="50">
        <f>VLOOKUP($A106,'Data shares'!$C:$FB,45)*100</f>
        <v>129.26</v>
      </c>
      <c r="J106" s="49">
        <f>VLOOKUP($A106,'Data shares'!$C:$FB,58)</f>
        <v>24805000</v>
      </c>
      <c r="K106" s="49">
        <f>VLOOKUP($A106,'Data shares'!$C:$FB,59)</f>
        <v>13051500</v>
      </c>
      <c r="L106" s="50">
        <f>VLOOKUP($A106,'Data shares'!$C:$FB,61)*100</f>
        <v>90.05</v>
      </c>
      <c r="M106" s="49">
        <f>VLOOKUP($A106,'Data shares'!$C:$FB,62)</f>
        <v>26419250</v>
      </c>
      <c r="N106" s="49">
        <f>VLOOKUP($A106,'Data shares'!$C:$FB,63)</f>
        <v>21026500</v>
      </c>
      <c r="O106" s="140">
        <f>VLOOKUP($A106,'Data shares'!$C:$FB,65)*100</f>
        <v>25.650000000000002</v>
      </c>
    </row>
    <row r="107" spans="1:15" x14ac:dyDescent="0.25">
      <c r="A107" s="101" t="str">
        <f>'Data shares'!C102</f>
        <v>IIFL</v>
      </c>
      <c r="B107" s="50">
        <f>VLOOKUP($A107,'Data shares'!$C:$FB,7)</f>
        <v>529.79999999999995</v>
      </c>
      <c r="C107" s="50">
        <f>VLOOKUP($A107,'Data shares'!$C:$FB,10)*100</f>
        <v>-1.24</v>
      </c>
      <c r="D107" s="49">
        <f>VLOOKUP($A107,'Data shares'!$C:$FB,66)</f>
        <v>7854000</v>
      </c>
      <c r="E107" s="49">
        <f>VLOOKUP($A107,'Data shares'!$C:$FB,67)</f>
        <v>6098400</v>
      </c>
      <c r="F107" s="50">
        <f>VLOOKUP($A107,'Data shares'!$C:$FB,69)*100</f>
        <v>28.79</v>
      </c>
      <c r="G107" s="49">
        <f>VLOOKUP($A107,'Data shares'!$C:$FB,42)</f>
        <v>1720950</v>
      </c>
      <c r="H107" s="49">
        <f>VLOOKUP($A107,'Data shares'!$C:$FB,43)</f>
        <v>1448700</v>
      </c>
      <c r="I107" s="50">
        <f>VLOOKUP($A107,'Data shares'!$C:$FB,45)*100</f>
        <v>18.790000000000003</v>
      </c>
      <c r="J107" s="49">
        <f>VLOOKUP($A107,'Data shares'!$C:$FB,58)</f>
        <v>3564000</v>
      </c>
      <c r="K107" s="49">
        <f>VLOOKUP($A107,'Data shares'!$C:$FB,59)</f>
        <v>2803350</v>
      </c>
      <c r="L107" s="50">
        <f>VLOOKUP($A107,'Data shares'!$C:$FB,61)*100</f>
        <v>27.13</v>
      </c>
      <c r="M107" s="49">
        <f>VLOOKUP($A107,'Data shares'!$C:$FB,62)</f>
        <v>2569050</v>
      </c>
      <c r="N107" s="49">
        <f>VLOOKUP($A107,'Data shares'!$C:$FB,63)</f>
        <v>1846350</v>
      </c>
      <c r="O107" s="140">
        <f>VLOOKUP($A107,'Data shares'!$C:$FB,65)*100</f>
        <v>39.14</v>
      </c>
    </row>
    <row r="108" spans="1:15" x14ac:dyDescent="0.25">
      <c r="A108" s="101" t="str">
        <f>'Data shares'!C103</f>
        <v>INDHOTEL</v>
      </c>
      <c r="B108" s="50">
        <f>VLOOKUP($A108,'Data shares'!$C:$FB,7)</f>
        <v>756.3</v>
      </c>
      <c r="C108" s="50">
        <f>VLOOKUP($A108,'Data shares'!$C:$FB,10)*100</f>
        <v>-2</v>
      </c>
      <c r="D108" s="49">
        <f>VLOOKUP($A108,'Data shares'!$C:$FB,66)</f>
        <v>25180000</v>
      </c>
      <c r="E108" s="49">
        <f>VLOOKUP($A108,'Data shares'!$C:$FB,67)</f>
        <v>35432000</v>
      </c>
      <c r="F108" s="50">
        <f>VLOOKUP($A108,'Data shares'!$C:$FB,69)*100</f>
        <v>-28.93</v>
      </c>
      <c r="G108" s="49">
        <f>VLOOKUP($A108,'Data shares'!$C:$FB,42)</f>
        <v>4505000</v>
      </c>
      <c r="H108" s="49">
        <f>VLOOKUP($A108,'Data shares'!$C:$FB,43)</f>
        <v>4449000</v>
      </c>
      <c r="I108" s="50">
        <f>VLOOKUP($A108,'Data shares'!$C:$FB,45)*100</f>
        <v>1.26</v>
      </c>
      <c r="J108" s="49">
        <f>VLOOKUP($A108,'Data shares'!$C:$FB,58)</f>
        <v>13913000</v>
      </c>
      <c r="K108" s="49">
        <f>VLOOKUP($A108,'Data shares'!$C:$FB,59)</f>
        <v>21154000</v>
      </c>
      <c r="L108" s="50">
        <f>VLOOKUP($A108,'Data shares'!$C:$FB,61)*100</f>
        <v>-34.229999999999997</v>
      </c>
      <c r="M108" s="49">
        <f>VLOOKUP($A108,'Data shares'!$C:$FB,62)</f>
        <v>6762000</v>
      </c>
      <c r="N108" s="49">
        <f>VLOOKUP($A108,'Data shares'!$C:$FB,63)</f>
        <v>9829000</v>
      </c>
      <c r="O108" s="140">
        <f>VLOOKUP($A108,'Data shares'!$C:$FB,65)*100</f>
        <v>-31.2</v>
      </c>
    </row>
    <row r="109" spans="1:15" x14ac:dyDescent="0.25">
      <c r="A109" s="101" t="str">
        <f>'Data shares'!C104</f>
        <v>INDIANB</v>
      </c>
      <c r="B109" s="50">
        <f>VLOOKUP($A109,'Data shares'!$C:$FB,7)</f>
        <v>627.9</v>
      </c>
      <c r="C109" s="50">
        <f>VLOOKUP($A109,'Data shares'!$C:$FB,10)*100</f>
        <v>-1.08</v>
      </c>
      <c r="D109" s="49">
        <f>VLOOKUP($A109,'Data shares'!$C:$FB,66)</f>
        <v>2174000</v>
      </c>
      <c r="E109" s="49">
        <f>VLOOKUP($A109,'Data shares'!$C:$FB,67)</f>
        <v>2917000</v>
      </c>
      <c r="F109" s="50">
        <f>VLOOKUP($A109,'Data shares'!$C:$FB,69)*100</f>
        <v>-25.47</v>
      </c>
      <c r="G109" s="49">
        <f>VLOOKUP($A109,'Data shares'!$C:$FB,42)</f>
        <v>1191000</v>
      </c>
      <c r="H109" s="49">
        <f>VLOOKUP($A109,'Data shares'!$C:$FB,43)</f>
        <v>1180000</v>
      </c>
      <c r="I109" s="50">
        <f>VLOOKUP($A109,'Data shares'!$C:$FB,45)*100</f>
        <v>0.92999999999999994</v>
      </c>
      <c r="J109" s="49">
        <f>VLOOKUP($A109,'Data shares'!$C:$FB,58)</f>
        <v>640000</v>
      </c>
      <c r="K109" s="49">
        <f>VLOOKUP($A109,'Data shares'!$C:$FB,59)</f>
        <v>1153000</v>
      </c>
      <c r="L109" s="50">
        <f>VLOOKUP($A109,'Data shares'!$C:$FB,61)*100</f>
        <v>-44.49</v>
      </c>
      <c r="M109" s="49">
        <f>VLOOKUP($A109,'Data shares'!$C:$FB,62)</f>
        <v>343000</v>
      </c>
      <c r="N109" s="49">
        <f>VLOOKUP($A109,'Data shares'!$C:$FB,63)</f>
        <v>584000</v>
      </c>
      <c r="O109" s="140">
        <f>VLOOKUP($A109,'Data shares'!$C:$FB,65)*100</f>
        <v>-41.27</v>
      </c>
    </row>
    <row r="110" spans="1:15" x14ac:dyDescent="0.25">
      <c r="A110" s="101" t="str">
        <f>'Data shares'!C105</f>
        <v>INDIAVIX</v>
      </c>
      <c r="B110" s="50">
        <f>VLOOKUP($A110,'Data shares'!$C:$FB,7)</f>
        <v>10.75</v>
      </c>
      <c r="C110" s="50">
        <f>VLOOKUP($A110,'Data shares'!$C:$FB,10)*100</f>
        <v>-4</v>
      </c>
      <c r="D110" s="49">
        <f>VLOOKUP($A110,'Data shares'!$C:$FB,66)</f>
        <v>0</v>
      </c>
      <c r="E110" s="49">
        <f>VLOOKUP($A110,'Data shares'!$C:$FB,67)</f>
        <v>0</v>
      </c>
      <c r="F110" s="50">
        <f>VLOOKUP($A110,'Data shares'!$C:$FB,69)*100</f>
        <v>0</v>
      </c>
      <c r="G110" s="49">
        <f>VLOOKUP($A110,'Data shares'!$C:$FB,42)</f>
        <v>0</v>
      </c>
      <c r="H110" s="49">
        <f>VLOOKUP($A110,'Data shares'!$C:$FB,43)</f>
        <v>0</v>
      </c>
      <c r="I110" s="50">
        <f>VLOOKUP($A110,'Data shares'!$C:$FB,45)*100</f>
        <v>0</v>
      </c>
      <c r="J110" s="49">
        <f>VLOOKUP($A110,'Data shares'!$C:$FB,58)</f>
        <v>0</v>
      </c>
      <c r="K110" s="49">
        <f>VLOOKUP($A110,'Data shares'!$C:$FB,59)</f>
        <v>0</v>
      </c>
      <c r="L110" s="50">
        <f>VLOOKUP($A110,'Data shares'!$C:$FB,61)*100</f>
        <v>0</v>
      </c>
      <c r="M110" s="49">
        <f>VLOOKUP($A110,'Data shares'!$C:$FB,62)</f>
        <v>0</v>
      </c>
      <c r="N110" s="49">
        <f>VLOOKUP($A110,'Data shares'!$C:$FB,63)</f>
        <v>0</v>
      </c>
      <c r="O110" s="140">
        <f>VLOOKUP($A110,'Data shares'!$C:$FB,65)*100</f>
        <v>0</v>
      </c>
    </row>
    <row r="111" spans="1:15" x14ac:dyDescent="0.25">
      <c r="A111" s="101" t="str">
        <f>'Data shares'!C106</f>
        <v>INDIGO</v>
      </c>
      <c r="B111" s="50">
        <f>VLOOKUP($A111,'Data shares'!$C:$FB,7)</f>
        <v>5948</v>
      </c>
      <c r="C111" s="50">
        <f>VLOOKUP($A111,'Data shares'!$C:$FB,10)*100</f>
        <v>1.1900000000000002</v>
      </c>
      <c r="D111" s="49">
        <f>VLOOKUP($A111,'Data shares'!$C:$FB,66)</f>
        <v>5527950</v>
      </c>
      <c r="E111" s="49">
        <f>VLOOKUP($A111,'Data shares'!$C:$FB,67)</f>
        <v>3783600</v>
      </c>
      <c r="F111" s="50">
        <f>VLOOKUP($A111,'Data shares'!$C:$FB,69)*100</f>
        <v>46.1</v>
      </c>
      <c r="G111" s="49">
        <f>VLOOKUP($A111,'Data shares'!$C:$FB,42)</f>
        <v>971250</v>
      </c>
      <c r="H111" s="49">
        <f>VLOOKUP($A111,'Data shares'!$C:$FB,43)</f>
        <v>665250</v>
      </c>
      <c r="I111" s="50">
        <f>VLOOKUP($A111,'Data shares'!$C:$FB,45)*100</f>
        <v>46</v>
      </c>
      <c r="J111" s="49">
        <f>VLOOKUP($A111,'Data shares'!$C:$FB,58)</f>
        <v>3222600</v>
      </c>
      <c r="K111" s="49">
        <f>VLOOKUP($A111,'Data shares'!$C:$FB,59)</f>
        <v>2098500</v>
      </c>
      <c r="L111" s="50">
        <f>VLOOKUP($A111,'Data shares'!$C:$FB,61)*100</f>
        <v>53.569999999999993</v>
      </c>
      <c r="M111" s="49">
        <f>VLOOKUP($A111,'Data shares'!$C:$FB,62)</f>
        <v>1334100</v>
      </c>
      <c r="N111" s="49">
        <f>VLOOKUP($A111,'Data shares'!$C:$FB,63)</f>
        <v>1019850</v>
      </c>
      <c r="O111" s="140">
        <f>VLOOKUP($A111,'Data shares'!$C:$FB,65)*100</f>
        <v>30.81</v>
      </c>
    </row>
    <row r="112" spans="1:15" x14ac:dyDescent="0.25">
      <c r="A112" s="101" t="str">
        <f>'Data shares'!C107</f>
        <v>INDUSINDBK</v>
      </c>
      <c r="B112" s="50">
        <f>VLOOKUP($A112,'Data shares'!$C:$FB,7)</f>
        <v>843.2</v>
      </c>
      <c r="C112" s="50">
        <f>VLOOKUP($A112,'Data shares'!$C:$FB,10)*100</f>
        <v>-1.82</v>
      </c>
      <c r="D112" s="49">
        <f>VLOOKUP($A112,'Data shares'!$C:$FB,66)</f>
        <v>75797400</v>
      </c>
      <c r="E112" s="49">
        <f>VLOOKUP($A112,'Data shares'!$C:$FB,67)</f>
        <v>106350300</v>
      </c>
      <c r="F112" s="50">
        <f>VLOOKUP($A112,'Data shares'!$C:$FB,69)*100</f>
        <v>-28.73</v>
      </c>
      <c r="G112" s="49">
        <f>VLOOKUP($A112,'Data shares'!$C:$FB,42)</f>
        <v>18471600</v>
      </c>
      <c r="H112" s="49">
        <f>VLOOKUP($A112,'Data shares'!$C:$FB,43)</f>
        <v>17206000</v>
      </c>
      <c r="I112" s="50">
        <f>VLOOKUP($A112,'Data shares'!$C:$FB,45)*100</f>
        <v>7.3599999999999994</v>
      </c>
      <c r="J112" s="49">
        <f>VLOOKUP($A112,'Data shares'!$C:$FB,58)</f>
        <v>34292300</v>
      </c>
      <c r="K112" s="49">
        <f>VLOOKUP($A112,'Data shares'!$C:$FB,59)</f>
        <v>50890000</v>
      </c>
      <c r="L112" s="50">
        <f>VLOOKUP($A112,'Data shares'!$C:$FB,61)*100</f>
        <v>-32.61</v>
      </c>
      <c r="M112" s="49">
        <f>VLOOKUP($A112,'Data shares'!$C:$FB,62)</f>
        <v>23033500</v>
      </c>
      <c r="N112" s="49">
        <f>VLOOKUP($A112,'Data shares'!$C:$FB,63)</f>
        <v>38254300</v>
      </c>
      <c r="O112" s="140">
        <f>VLOOKUP($A112,'Data shares'!$C:$FB,65)*100</f>
        <v>-39.79</v>
      </c>
    </row>
    <row r="113" spans="1:15" x14ac:dyDescent="0.25">
      <c r="A113" s="101" t="str">
        <f>'Data shares'!C108</f>
        <v>INDUSTOWER</v>
      </c>
      <c r="B113" s="50">
        <f>VLOOKUP($A113,'Data shares'!$C:$FB,7)</f>
        <v>396.3</v>
      </c>
      <c r="C113" s="50">
        <f>VLOOKUP($A113,'Data shares'!$C:$FB,10)*100</f>
        <v>-1.94</v>
      </c>
      <c r="D113" s="49">
        <f>VLOOKUP($A113,'Data shares'!$C:$FB,66)</f>
        <v>21175200</v>
      </c>
      <c r="E113" s="49">
        <f>VLOOKUP($A113,'Data shares'!$C:$FB,67)</f>
        <v>19725100</v>
      </c>
      <c r="F113" s="50">
        <f>VLOOKUP($A113,'Data shares'!$C:$FB,69)*100</f>
        <v>7.35</v>
      </c>
      <c r="G113" s="49">
        <f>VLOOKUP($A113,'Data shares'!$C:$FB,42)</f>
        <v>5664400</v>
      </c>
      <c r="H113" s="49">
        <f>VLOOKUP($A113,'Data shares'!$C:$FB,43)</f>
        <v>5174800</v>
      </c>
      <c r="I113" s="50">
        <f>VLOOKUP($A113,'Data shares'!$C:$FB,45)*100</f>
        <v>9.4600000000000009</v>
      </c>
      <c r="J113" s="49">
        <f>VLOOKUP($A113,'Data shares'!$C:$FB,58)</f>
        <v>10840900</v>
      </c>
      <c r="K113" s="49">
        <f>VLOOKUP($A113,'Data shares'!$C:$FB,59)</f>
        <v>10281600</v>
      </c>
      <c r="L113" s="50">
        <f>VLOOKUP($A113,'Data shares'!$C:$FB,61)*100</f>
        <v>5.4399999999999995</v>
      </c>
      <c r="M113" s="49">
        <f>VLOOKUP($A113,'Data shares'!$C:$FB,62)</f>
        <v>4669900</v>
      </c>
      <c r="N113" s="49">
        <f>VLOOKUP($A113,'Data shares'!$C:$FB,63)</f>
        <v>4268700</v>
      </c>
      <c r="O113" s="140">
        <f>VLOOKUP($A113,'Data shares'!$C:$FB,65)*100</f>
        <v>9.4</v>
      </c>
    </row>
    <row r="114" spans="1:15" x14ac:dyDescent="0.25">
      <c r="A114" s="101" t="str">
        <f>'Data shares'!C109</f>
        <v>INFY</v>
      </c>
      <c r="B114" s="50">
        <f>VLOOKUP($A114,'Data shares'!$C:$FB,7)</f>
        <v>1570.9</v>
      </c>
      <c r="C114" s="50">
        <f>VLOOKUP($A114,'Data shares'!$C:$FB,10)*100</f>
        <v>-0.85000000000000009</v>
      </c>
      <c r="D114" s="49">
        <f>VLOOKUP($A114,'Data shares'!$C:$FB,66)</f>
        <v>50698800</v>
      </c>
      <c r="E114" s="49">
        <f>VLOOKUP($A114,'Data shares'!$C:$FB,67)</f>
        <v>31849600</v>
      </c>
      <c r="F114" s="50">
        <f>VLOOKUP($A114,'Data shares'!$C:$FB,69)*100</f>
        <v>59.18</v>
      </c>
      <c r="G114" s="49">
        <f>VLOOKUP($A114,'Data shares'!$C:$FB,42)</f>
        <v>10107200</v>
      </c>
      <c r="H114" s="49">
        <f>VLOOKUP($A114,'Data shares'!$C:$FB,43)</f>
        <v>6476800</v>
      </c>
      <c r="I114" s="50">
        <f>VLOOKUP($A114,'Data shares'!$C:$FB,45)*100</f>
        <v>56.05</v>
      </c>
      <c r="J114" s="49">
        <f>VLOOKUP($A114,'Data shares'!$C:$FB,58)</f>
        <v>26110000</v>
      </c>
      <c r="K114" s="49">
        <f>VLOOKUP($A114,'Data shares'!$C:$FB,59)</f>
        <v>16598400</v>
      </c>
      <c r="L114" s="50">
        <f>VLOOKUP($A114,'Data shares'!$C:$FB,61)*100</f>
        <v>57.3</v>
      </c>
      <c r="M114" s="49">
        <f>VLOOKUP($A114,'Data shares'!$C:$FB,62)</f>
        <v>14481600</v>
      </c>
      <c r="N114" s="49">
        <f>VLOOKUP($A114,'Data shares'!$C:$FB,63)</f>
        <v>8774400</v>
      </c>
      <c r="O114" s="140">
        <f>VLOOKUP($A114,'Data shares'!$C:$FB,65)*100</f>
        <v>65.039999999999992</v>
      </c>
    </row>
    <row r="115" spans="1:15" x14ac:dyDescent="0.25">
      <c r="A115" s="101" t="str">
        <f>'Data shares'!C110</f>
        <v>INOXWIND</v>
      </c>
      <c r="B115" s="50">
        <f>VLOOKUP($A115,'Data shares'!$C:$FB,7)</f>
        <v>165.53</v>
      </c>
      <c r="C115" s="50">
        <f>VLOOKUP($A115,'Data shares'!$C:$FB,10)*100</f>
        <v>-0.79</v>
      </c>
      <c r="D115" s="49">
        <f>VLOOKUP($A115,'Data shares'!$C:$FB,66)</f>
        <v>15441300</v>
      </c>
      <c r="E115" s="49">
        <f>VLOOKUP($A115,'Data shares'!$C:$FB,67)</f>
        <v>18969450</v>
      </c>
      <c r="F115" s="50">
        <f>VLOOKUP($A115,'Data shares'!$C:$FB,69)*100</f>
        <v>-18.600000000000001</v>
      </c>
      <c r="G115" s="49">
        <f>VLOOKUP($A115,'Data shares'!$C:$FB,42)</f>
        <v>5259975</v>
      </c>
      <c r="H115" s="49">
        <f>VLOOKUP($A115,'Data shares'!$C:$FB,43)</f>
        <v>5766300</v>
      </c>
      <c r="I115" s="50">
        <f>VLOOKUP($A115,'Data shares'!$C:$FB,45)*100</f>
        <v>-8.7800000000000011</v>
      </c>
      <c r="J115" s="49">
        <f>VLOOKUP($A115,'Data shares'!$C:$FB,58)</f>
        <v>5401875</v>
      </c>
      <c r="K115" s="49">
        <f>VLOOKUP($A115,'Data shares'!$C:$FB,59)</f>
        <v>8610750</v>
      </c>
      <c r="L115" s="50">
        <f>VLOOKUP($A115,'Data shares'!$C:$FB,61)*100</f>
        <v>-37.269999999999996</v>
      </c>
      <c r="M115" s="49">
        <f>VLOOKUP($A115,'Data shares'!$C:$FB,62)</f>
        <v>4779450</v>
      </c>
      <c r="N115" s="49">
        <f>VLOOKUP($A115,'Data shares'!$C:$FB,63)</f>
        <v>4592400</v>
      </c>
      <c r="O115" s="140">
        <f>VLOOKUP($A115,'Data shares'!$C:$FB,65)*100</f>
        <v>4.07</v>
      </c>
    </row>
    <row r="116" spans="1:15" x14ac:dyDescent="0.25">
      <c r="A116" s="101" t="str">
        <f>'Data shares'!C111</f>
        <v>IOC</v>
      </c>
      <c r="B116" s="50">
        <f>VLOOKUP($A116,'Data shares'!$C:$FB,7)</f>
        <v>151.97999999999999</v>
      </c>
      <c r="C116" s="50">
        <f>VLOOKUP($A116,'Data shares'!$C:$FB,10)*100</f>
        <v>0.6</v>
      </c>
      <c r="D116" s="49">
        <f>VLOOKUP($A116,'Data shares'!$C:$FB,66)</f>
        <v>96910125</v>
      </c>
      <c r="E116" s="49">
        <f>VLOOKUP($A116,'Data shares'!$C:$FB,67)</f>
        <v>54234375</v>
      </c>
      <c r="F116" s="50">
        <f>VLOOKUP($A116,'Data shares'!$C:$FB,69)*100</f>
        <v>78.69</v>
      </c>
      <c r="G116" s="49">
        <f>VLOOKUP($A116,'Data shares'!$C:$FB,42)</f>
        <v>15785250</v>
      </c>
      <c r="H116" s="49">
        <f>VLOOKUP($A116,'Data shares'!$C:$FB,43)</f>
        <v>9389250</v>
      </c>
      <c r="I116" s="50">
        <f>VLOOKUP($A116,'Data shares'!$C:$FB,45)*100</f>
        <v>68.12</v>
      </c>
      <c r="J116" s="49">
        <f>VLOOKUP($A116,'Data shares'!$C:$FB,58)</f>
        <v>46371000</v>
      </c>
      <c r="K116" s="49">
        <f>VLOOKUP($A116,'Data shares'!$C:$FB,59)</f>
        <v>28494375</v>
      </c>
      <c r="L116" s="50">
        <f>VLOOKUP($A116,'Data shares'!$C:$FB,61)*100</f>
        <v>62.739999999999995</v>
      </c>
      <c r="M116" s="49">
        <f>VLOOKUP($A116,'Data shares'!$C:$FB,62)</f>
        <v>34753875</v>
      </c>
      <c r="N116" s="49">
        <f>VLOOKUP($A116,'Data shares'!$C:$FB,63)</f>
        <v>16350750</v>
      </c>
      <c r="O116" s="140">
        <f>VLOOKUP($A116,'Data shares'!$C:$FB,65)*100</f>
        <v>112.55</v>
      </c>
    </row>
    <row r="117" spans="1:15" x14ac:dyDescent="0.25">
      <c r="A117" s="101" t="str">
        <f>'Data shares'!C112</f>
        <v>IRB</v>
      </c>
      <c r="B117" s="50">
        <f>VLOOKUP($A117,'Data shares'!$C:$FB,7)</f>
        <v>48.36</v>
      </c>
      <c r="C117" s="50">
        <f>VLOOKUP($A117,'Data shares'!$C:$FB,10)*100</f>
        <v>-0.33</v>
      </c>
      <c r="D117" s="49">
        <f>VLOOKUP($A117,'Data shares'!$C:$FB,66)</f>
        <v>33402175</v>
      </c>
      <c r="E117" s="49">
        <f>VLOOKUP($A117,'Data shares'!$C:$FB,67)</f>
        <v>31172250</v>
      </c>
      <c r="F117" s="50">
        <f>VLOOKUP($A117,'Data shares'!$C:$FB,69)*100</f>
        <v>7.1499999999999995</v>
      </c>
      <c r="G117" s="49">
        <f>VLOOKUP($A117,'Data shares'!$C:$FB,42)</f>
        <v>9643550</v>
      </c>
      <c r="H117" s="49">
        <f>VLOOKUP($A117,'Data shares'!$C:$FB,43)</f>
        <v>12655700</v>
      </c>
      <c r="I117" s="50">
        <f>VLOOKUP($A117,'Data shares'!$C:$FB,45)*100</f>
        <v>-23.799999999999997</v>
      </c>
      <c r="J117" s="49">
        <f>VLOOKUP($A117,'Data shares'!$C:$FB,58)</f>
        <v>21692150</v>
      </c>
      <c r="K117" s="49">
        <f>VLOOKUP($A117,'Data shares'!$C:$FB,59)</f>
        <v>14873950</v>
      </c>
      <c r="L117" s="50">
        <f>VLOOKUP($A117,'Data shares'!$C:$FB,61)*100</f>
        <v>45.839999999999996</v>
      </c>
      <c r="M117" s="49">
        <f>VLOOKUP($A117,'Data shares'!$C:$FB,62)</f>
        <v>2066475</v>
      </c>
      <c r="N117" s="49">
        <f>VLOOKUP($A117,'Data shares'!$C:$FB,63)</f>
        <v>3642600</v>
      </c>
      <c r="O117" s="140">
        <f>VLOOKUP($A117,'Data shares'!$C:$FB,65)*100</f>
        <v>-43.269999999999996</v>
      </c>
    </row>
    <row r="118" spans="1:15" x14ac:dyDescent="0.25">
      <c r="A118" s="101" t="str">
        <f>'Data shares'!C113</f>
        <v>IRCTC</v>
      </c>
      <c r="B118" s="50">
        <f>VLOOKUP($A118,'Data shares'!$C:$FB,7)</f>
        <v>760.6</v>
      </c>
      <c r="C118" s="50">
        <f>VLOOKUP($A118,'Data shares'!$C:$FB,10)*100</f>
        <v>-1.28</v>
      </c>
      <c r="D118" s="49">
        <f>VLOOKUP($A118,'Data shares'!$C:$FB,66)</f>
        <v>8662500</v>
      </c>
      <c r="E118" s="49">
        <f>VLOOKUP($A118,'Data shares'!$C:$FB,67)</f>
        <v>9023875</v>
      </c>
      <c r="F118" s="50">
        <f>VLOOKUP($A118,'Data shares'!$C:$FB,69)*100</f>
        <v>-4</v>
      </c>
      <c r="G118" s="49">
        <f>VLOOKUP($A118,'Data shares'!$C:$FB,42)</f>
        <v>1954750</v>
      </c>
      <c r="H118" s="49">
        <f>VLOOKUP($A118,'Data shares'!$C:$FB,43)</f>
        <v>1456875</v>
      </c>
      <c r="I118" s="50">
        <f>VLOOKUP($A118,'Data shares'!$C:$FB,45)*100</f>
        <v>34.17</v>
      </c>
      <c r="J118" s="49">
        <f>VLOOKUP($A118,'Data shares'!$C:$FB,58)</f>
        <v>4606000</v>
      </c>
      <c r="K118" s="49">
        <f>VLOOKUP($A118,'Data shares'!$C:$FB,59)</f>
        <v>4740750</v>
      </c>
      <c r="L118" s="50">
        <f>VLOOKUP($A118,'Data shares'!$C:$FB,61)*100</f>
        <v>-2.8400000000000003</v>
      </c>
      <c r="M118" s="49">
        <f>VLOOKUP($A118,'Data shares'!$C:$FB,62)</f>
        <v>2101750</v>
      </c>
      <c r="N118" s="49">
        <f>VLOOKUP($A118,'Data shares'!$C:$FB,63)</f>
        <v>2826250</v>
      </c>
      <c r="O118" s="140">
        <f>VLOOKUP($A118,'Data shares'!$C:$FB,65)*100</f>
        <v>-25.629999999999995</v>
      </c>
    </row>
    <row r="119" spans="1:15" x14ac:dyDescent="0.25">
      <c r="A119" s="101" t="str">
        <f>'Data shares'!C114</f>
        <v>IREDA</v>
      </c>
      <c r="B119" s="50">
        <f>VLOOKUP($A119,'Data shares'!$C:$FB,7)</f>
        <v>156.22</v>
      </c>
      <c r="C119" s="50">
        <f>VLOOKUP($A119,'Data shares'!$C:$FB,10)*100</f>
        <v>-0.69</v>
      </c>
      <c r="D119" s="49">
        <f>VLOOKUP($A119,'Data shares'!$C:$FB,66)</f>
        <v>29407800</v>
      </c>
      <c r="E119" s="49">
        <f>VLOOKUP($A119,'Data shares'!$C:$FB,67)</f>
        <v>29601000</v>
      </c>
      <c r="F119" s="50">
        <f>VLOOKUP($A119,'Data shares'!$C:$FB,69)*100</f>
        <v>-0.65</v>
      </c>
      <c r="G119" s="49">
        <f>VLOOKUP($A119,'Data shares'!$C:$FB,42)</f>
        <v>6458400</v>
      </c>
      <c r="H119" s="49">
        <f>VLOOKUP($A119,'Data shares'!$C:$FB,43)</f>
        <v>6620550</v>
      </c>
      <c r="I119" s="50">
        <f>VLOOKUP($A119,'Data shares'!$C:$FB,45)*100</f>
        <v>-2.4500000000000002</v>
      </c>
      <c r="J119" s="49">
        <f>VLOOKUP($A119,'Data shares'!$C:$FB,58)</f>
        <v>19009500</v>
      </c>
      <c r="K119" s="49">
        <f>VLOOKUP($A119,'Data shares'!$C:$FB,59)</f>
        <v>18247050</v>
      </c>
      <c r="L119" s="50">
        <f>VLOOKUP($A119,'Data shares'!$C:$FB,61)*100</f>
        <v>4.18</v>
      </c>
      <c r="M119" s="49">
        <f>VLOOKUP($A119,'Data shares'!$C:$FB,62)</f>
        <v>3939900</v>
      </c>
      <c r="N119" s="49">
        <f>VLOOKUP($A119,'Data shares'!$C:$FB,63)</f>
        <v>4733400</v>
      </c>
      <c r="O119" s="140">
        <f>VLOOKUP($A119,'Data shares'!$C:$FB,65)*100</f>
        <v>-16.760000000000002</v>
      </c>
    </row>
    <row r="120" spans="1:15" x14ac:dyDescent="0.25">
      <c r="A120" s="101" t="str">
        <f>'Data shares'!C115</f>
        <v>IRFC</v>
      </c>
      <c r="B120" s="50">
        <f>VLOOKUP($A120,'Data shares'!$C:$FB,7)</f>
        <v>130.77000000000001</v>
      </c>
      <c r="C120" s="50">
        <f>VLOOKUP($A120,'Data shares'!$C:$FB,10)*100</f>
        <v>-2.68</v>
      </c>
      <c r="D120" s="49">
        <f>VLOOKUP($A120,'Data shares'!$C:$FB,66)</f>
        <v>113424000</v>
      </c>
      <c r="E120" s="49">
        <f>VLOOKUP($A120,'Data shares'!$C:$FB,67)</f>
        <v>45067000</v>
      </c>
      <c r="F120" s="50">
        <f>VLOOKUP($A120,'Data shares'!$C:$FB,69)*100</f>
        <v>151.68</v>
      </c>
      <c r="G120" s="49">
        <f>VLOOKUP($A120,'Data shares'!$C:$FB,42)</f>
        <v>20769750</v>
      </c>
      <c r="H120" s="49">
        <f>VLOOKUP($A120,'Data shares'!$C:$FB,43)</f>
        <v>7378000</v>
      </c>
      <c r="I120" s="50">
        <f>VLOOKUP($A120,'Data shares'!$C:$FB,45)*100</f>
        <v>181.51</v>
      </c>
      <c r="J120" s="49">
        <f>VLOOKUP($A120,'Data shares'!$C:$FB,58)</f>
        <v>60596500</v>
      </c>
      <c r="K120" s="49">
        <f>VLOOKUP($A120,'Data shares'!$C:$FB,59)</f>
        <v>25937750</v>
      </c>
      <c r="L120" s="50">
        <f>VLOOKUP($A120,'Data shares'!$C:$FB,61)*100</f>
        <v>133.62</v>
      </c>
      <c r="M120" s="49">
        <f>VLOOKUP($A120,'Data shares'!$C:$FB,62)</f>
        <v>32057750</v>
      </c>
      <c r="N120" s="49">
        <f>VLOOKUP($A120,'Data shares'!$C:$FB,63)</f>
        <v>11751250</v>
      </c>
      <c r="O120" s="140">
        <f>VLOOKUP($A120,'Data shares'!$C:$FB,65)*100</f>
        <v>172.8</v>
      </c>
    </row>
    <row r="121" spans="1:15" x14ac:dyDescent="0.25">
      <c r="A121" s="101" t="str">
        <f>'Data shares'!C116</f>
        <v>ITC</v>
      </c>
      <c r="B121" s="50">
        <f>VLOOKUP($A121,'Data shares'!$C:$FB,7)</f>
        <v>416</v>
      </c>
      <c r="C121" s="50">
        <f>VLOOKUP($A121,'Data shares'!$C:$FB,10)*100</f>
        <v>-0.98</v>
      </c>
      <c r="D121" s="49">
        <f>VLOOKUP($A121,'Data shares'!$C:$FB,66)</f>
        <v>80843200</v>
      </c>
      <c r="E121" s="49">
        <f>VLOOKUP($A121,'Data shares'!$C:$FB,67)</f>
        <v>68180800</v>
      </c>
      <c r="F121" s="50">
        <f>VLOOKUP($A121,'Data shares'!$C:$FB,69)*100</f>
        <v>18.57</v>
      </c>
      <c r="G121" s="49">
        <f>VLOOKUP($A121,'Data shares'!$C:$FB,42)</f>
        <v>16659200</v>
      </c>
      <c r="H121" s="49">
        <f>VLOOKUP($A121,'Data shares'!$C:$FB,43)</f>
        <v>7860800</v>
      </c>
      <c r="I121" s="50">
        <f>VLOOKUP($A121,'Data shares'!$C:$FB,45)*100</f>
        <v>111.92999999999999</v>
      </c>
      <c r="J121" s="49">
        <f>VLOOKUP($A121,'Data shares'!$C:$FB,58)</f>
        <v>41540800</v>
      </c>
      <c r="K121" s="49">
        <f>VLOOKUP($A121,'Data shares'!$C:$FB,59)</f>
        <v>42076800</v>
      </c>
      <c r="L121" s="50">
        <f>VLOOKUP($A121,'Data shares'!$C:$FB,61)*100</f>
        <v>-1.27</v>
      </c>
      <c r="M121" s="49">
        <f>VLOOKUP($A121,'Data shares'!$C:$FB,62)</f>
        <v>22643200</v>
      </c>
      <c r="N121" s="49">
        <f>VLOOKUP($A121,'Data shares'!$C:$FB,63)</f>
        <v>18243200</v>
      </c>
      <c r="O121" s="140">
        <f>VLOOKUP($A121,'Data shares'!$C:$FB,65)*100</f>
        <v>24.12</v>
      </c>
    </row>
    <row r="122" spans="1:15" x14ac:dyDescent="0.25">
      <c r="A122" s="101" t="str">
        <f>'Data shares'!C117</f>
        <v>JINDALSTEL</v>
      </c>
      <c r="B122" s="50">
        <f>VLOOKUP($A122,'Data shares'!$C:$FB,7)</f>
        <v>965</v>
      </c>
      <c r="C122" s="50">
        <f>VLOOKUP($A122,'Data shares'!$C:$FB,10)*100</f>
        <v>0.52</v>
      </c>
      <c r="D122" s="49">
        <f>VLOOKUP($A122,'Data shares'!$C:$FB,66)</f>
        <v>11070000</v>
      </c>
      <c r="E122" s="49">
        <f>VLOOKUP($A122,'Data shares'!$C:$FB,67)</f>
        <v>10639375</v>
      </c>
      <c r="F122" s="50">
        <f>VLOOKUP($A122,'Data shares'!$C:$FB,69)*100</f>
        <v>4.05</v>
      </c>
      <c r="G122" s="49">
        <f>VLOOKUP($A122,'Data shares'!$C:$FB,42)</f>
        <v>3005000</v>
      </c>
      <c r="H122" s="49">
        <f>VLOOKUP($A122,'Data shares'!$C:$FB,43)</f>
        <v>3068750</v>
      </c>
      <c r="I122" s="50">
        <f>VLOOKUP($A122,'Data shares'!$C:$FB,45)*100</f>
        <v>-2.08</v>
      </c>
      <c r="J122" s="49">
        <f>VLOOKUP($A122,'Data shares'!$C:$FB,58)</f>
        <v>4919375</v>
      </c>
      <c r="K122" s="49">
        <f>VLOOKUP($A122,'Data shares'!$C:$FB,59)</f>
        <v>4812500</v>
      </c>
      <c r="L122" s="50">
        <f>VLOOKUP($A122,'Data shares'!$C:$FB,61)*100</f>
        <v>2.2200000000000002</v>
      </c>
      <c r="M122" s="49">
        <f>VLOOKUP($A122,'Data shares'!$C:$FB,62)</f>
        <v>3145625</v>
      </c>
      <c r="N122" s="49">
        <f>VLOOKUP($A122,'Data shares'!$C:$FB,63)</f>
        <v>2758125</v>
      </c>
      <c r="O122" s="140">
        <f>VLOOKUP($A122,'Data shares'!$C:$FB,65)*100</f>
        <v>14.05</v>
      </c>
    </row>
    <row r="123" spans="1:15" x14ac:dyDescent="0.25">
      <c r="A123" s="101" t="str">
        <f>'Data shares'!C118</f>
        <v>JIOFIN</v>
      </c>
      <c r="B123" s="50">
        <f>VLOOKUP($A123,'Data shares'!$C:$FB,7)</f>
        <v>310.8</v>
      </c>
      <c r="C123" s="50">
        <f>VLOOKUP($A123,'Data shares'!$C:$FB,10)*100</f>
        <v>-2.0299999999999998</v>
      </c>
      <c r="D123" s="49">
        <f>VLOOKUP($A123,'Data shares'!$C:$FB,66)</f>
        <v>188507600</v>
      </c>
      <c r="E123" s="49">
        <f>VLOOKUP($A123,'Data shares'!$C:$FB,67)</f>
        <v>165797200</v>
      </c>
      <c r="F123" s="50">
        <f>VLOOKUP($A123,'Data shares'!$C:$FB,69)*100</f>
        <v>13.700000000000001</v>
      </c>
      <c r="G123" s="49">
        <f>VLOOKUP($A123,'Data shares'!$C:$FB,42)</f>
        <v>20499050</v>
      </c>
      <c r="H123" s="49">
        <f>VLOOKUP($A123,'Data shares'!$C:$FB,43)</f>
        <v>19521450</v>
      </c>
      <c r="I123" s="50">
        <f>VLOOKUP($A123,'Data shares'!$C:$FB,45)*100</f>
        <v>5.01</v>
      </c>
      <c r="J123" s="49">
        <f>VLOOKUP($A123,'Data shares'!$C:$FB,58)</f>
        <v>116889000</v>
      </c>
      <c r="K123" s="49">
        <f>VLOOKUP($A123,'Data shares'!$C:$FB,59)</f>
        <v>99912600</v>
      </c>
      <c r="L123" s="50">
        <f>VLOOKUP($A123,'Data shares'!$C:$FB,61)*100</f>
        <v>16.989999999999998</v>
      </c>
      <c r="M123" s="49">
        <f>VLOOKUP($A123,'Data shares'!$C:$FB,62)</f>
        <v>51119550</v>
      </c>
      <c r="N123" s="49">
        <f>VLOOKUP($A123,'Data shares'!$C:$FB,63)</f>
        <v>46363150</v>
      </c>
      <c r="O123" s="140">
        <f>VLOOKUP($A123,'Data shares'!$C:$FB,65)*100</f>
        <v>10.26</v>
      </c>
    </row>
    <row r="124" spans="1:15" x14ac:dyDescent="0.25">
      <c r="A124" s="101" t="str">
        <f>'Data shares'!C119</f>
        <v>JSL</v>
      </c>
      <c r="B124" s="50">
        <f>VLOOKUP($A124,'Data shares'!$C:$FB,7)</f>
        <v>688.9</v>
      </c>
      <c r="C124" s="50">
        <f>VLOOKUP($A124,'Data shares'!$C:$FB,10)*100</f>
        <v>-1.28</v>
      </c>
      <c r="D124" s="49">
        <f>VLOOKUP($A124,'Data shares'!$C:$FB,66)</f>
        <v>3893000</v>
      </c>
      <c r="E124" s="49">
        <f>VLOOKUP($A124,'Data shares'!$C:$FB,67)</f>
        <v>13018600</v>
      </c>
      <c r="F124" s="50">
        <f>VLOOKUP($A124,'Data shares'!$C:$FB,69)*100</f>
        <v>-70.099999999999994</v>
      </c>
      <c r="G124" s="49">
        <f>VLOOKUP($A124,'Data shares'!$C:$FB,42)</f>
        <v>906100</v>
      </c>
      <c r="H124" s="49">
        <f>VLOOKUP($A124,'Data shares'!$C:$FB,43)</f>
        <v>2627350</v>
      </c>
      <c r="I124" s="50">
        <f>VLOOKUP($A124,'Data shares'!$C:$FB,45)*100</f>
        <v>-65.510000000000005</v>
      </c>
      <c r="J124" s="49">
        <f>VLOOKUP($A124,'Data shares'!$C:$FB,58)</f>
        <v>1627750</v>
      </c>
      <c r="K124" s="49">
        <f>VLOOKUP($A124,'Data shares'!$C:$FB,59)</f>
        <v>8480450</v>
      </c>
      <c r="L124" s="50">
        <f>VLOOKUP($A124,'Data shares'!$C:$FB,61)*100</f>
        <v>-80.81</v>
      </c>
      <c r="M124" s="49">
        <f>VLOOKUP($A124,'Data shares'!$C:$FB,62)</f>
        <v>1359150</v>
      </c>
      <c r="N124" s="49">
        <f>VLOOKUP($A124,'Data shares'!$C:$FB,63)</f>
        <v>1910800</v>
      </c>
      <c r="O124" s="140">
        <f>VLOOKUP($A124,'Data shares'!$C:$FB,65)*100</f>
        <v>-28.87</v>
      </c>
    </row>
    <row r="125" spans="1:15" x14ac:dyDescent="0.25">
      <c r="A125" s="101" t="str">
        <f>'Data shares'!C120</f>
        <v>JSWENERGY</v>
      </c>
      <c r="B125" s="50">
        <f>VLOOKUP($A125,'Data shares'!$C:$FB,7)</f>
        <v>531.54999999999995</v>
      </c>
      <c r="C125" s="50">
        <f>VLOOKUP($A125,'Data shares'!$C:$FB,10)*100</f>
        <v>-0.03</v>
      </c>
      <c r="D125" s="49">
        <f>VLOOKUP($A125,'Data shares'!$C:$FB,66)</f>
        <v>12014000</v>
      </c>
      <c r="E125" s="49">
        <f>VLOOKUP($A125,'Data shares'!$C:$FB,67)</f>
        <v>18444000</v>
      </c>
      <c r="F125" s="50">
        <f>VLOOKUP($A125,'Data shares'!$C:$FB,69)*100</f>
        <v>-34.86</v>
      </c>
      <c r="G125" s="49">
        <f>VLOOKUP($A125,'Data shares'!$C:$FB,42)</f>
        <v>3781000</v>
      </c>
      <c r="H125" s="49">
        <f>VLOOKUP($A125,'Data shares'!$C:$FB,43)</f>
        <v>4602000</v>
      </c>
      <c r="I125" s="50">
        <f>VLOOKUP($A125,'Data shares'!$C:$FB,45)*100</f>
        <v>-17.84</v>
      </c>
      <c r="J125" s="49">
        <f>VLOOKUP($A125,'Data shares'!$C:$FB,58)</f>
        <v>6409000</v>
      </c>
      <c r="K125" s="49">
        <f>VLOOKUP($A125,'Data shares'!$C:$FB,59)</f>
        <v>10777000</v>
      </c>
      <c r="L125" s="50">
        <f>VLOOKUP($A125,'Data shares'!$C:$FB,61)*100</f>
        <v>-40.53</v>
      </c>
      <c r="M125" s="49">
        <f>VLOOKUP($A125,'Data shares'!$C:$FB,62)</f>
        <v>1824000</v>
      </c>
      <c r="N125" s="49">
        <f>VLOOKUP($A125,'Data shares'!$C:$FB,63)</f>
        <v>3065000</v>
      </c>
      <c r="O125" s="140">
        <f>VLOOKUP($A125,'Data shares'!$C:$FB,65)*100</f>
        <v>-40.489999999999995</v>
      </c>
    </row>
    <row r="126" spans="1:15" x14ac:dyDescent="0.25">
      <c r="A126" s="101" t="str">
        <f>'Data shares'!C121</f>
        <v>JSWSTEEL</v>
      </c>
      <c r="B126" s="50">
        <f>VLOOKUP($A126,'Data shares'!$C:$FB,7)</f>
        <v>1030.7</v>
      </c>
      <c r="C126" s="50">
        <f>VLOOKUP($A126,'Data shares'!$C:$FB,10)*100</f>
        <v>-0.4</v>
      </c>
      <c r="D126" s="49">
        <f>VLOOKUP($A126,'Data shares'!$C:$FB,66)</f>
        <v>18256725</v>
      </c>
      <c r="E126" s="49">
        <f>VLOOKUP($A126,'Data shares'!$C:$FB,67)</f>
        <v>47549025</v>
      </c>
      <c r="F126" s="50">
        <f>VLOOKUP($A126,'Data shares'!$C:$FB,69)*100</f>
        <v>-61.6</v>
      </c>
      <c r="G126" s="49">
        <f>VLOOKUP($A126,'Data shares'!$C:$FB,42)</f>
        <v>3024000</v>
      </c>
      <c r="H126" s="49">
        <f>VLOOKUP($A126,'Data shares'!$C:$FB,43)</f>
        <v>7051725</v>
      </c>
      <c r="I126" s="50">
        <f>VLOOKUP($A126,'Data shares'!$C:$FB,45)*100</f>
        <v>-57.120000000000005</v>
      </c>
      <c r="J126" s="49">
        <f>VLOOKUP($A126,'Data shares'!$C:$FB,58)</f>
        <v>10703475</v>
      </c>
      <c r="K126" s="49">
        <f>VLOOKUP($A126,'Data shares'!$C:$FB,59)</f>
        <v>30362175</v>
      </c>
      <c r="L126" s="50">
        <f>VLOOKUP($A126,'Data shares'!$C:$FB,61)*100</f>
        <v>-64.75</v>
      </c>
      <c r="M126" s="49">
        <f>VLOOKUP($A126,'Data shares'!$C:$FB,62)</f>
        <v>4529250</v>
      </c>
      <c r="N126" s="49">
        <f>VLOOKUP($A126,'Data shares'!$C:$FB,63)</f>
        <v>10135125</v>
      </c>
      <c r="O126" s="140">
        <f>VLOOKUP($A126,'Data shares'!$C:$FB,65)*100</f>
        <v>-55.31</v>
      </c>
    </row>
    <row r="127" spans="1:15" x14ac:dyDescent="0.25">
      <c r="A127" s="101" t="str">
        <f>'Data shares'!C122</f>
        <v>JUBLFOOD</v>
      </c>
      <c r="B127" s="50">
        <f>VLOOKUP($A127,'Data shares'!$C:$FB,7)</f>
        <v>662.1</v>
      </c>
      <c r="C127" s="50">
        <f>VLOOKUP($A127,'Data shares'!$C:$FB,10)*100</f>
        <v>-2.54</v>
      </c>
      <c r="D127" s="49">
        <f>VLOOKUP($A127,'Data shares'!$C:$FB,66)</f>
        <v>14871250</v>
      </c>
      <c r="E127" s="49">
        <f>VLOOKUP($A127,'Data shares'!$C:$FB,67)</f>
        <v>7490000</v>
      </c>
      <c r="F127" s="50">
        <f>VLOOKUP($A127,'Data shares'!$C:$FB,69)*100</f>
        <v>98.550000000000011</v>
      </c>
      <c r="G127" s="49">
        <f>VLOOKUP($A127,'Data shares'!$C:$FB,42)</f>
        <v>3208750</v>
      </c>
      <c r="H127" s="49">
        <f>VLOOKUP($A127,'Data shares'!$C:$FB,43)</f>
        <v>1577500</v>
      </c>
      <c r="I127" s="50">
        <f>VLOOKUP($A127,'Data shares'!$C:$FB,45)*100</f>
        <v>103.41</v>
      </c>
      <c r="J127" s="49">
        <f>VLOOKUP($A127,'Data shares'!$C:$FB,58)</f>
        <v>8071250</v>
      </c>
      <c r="K127" s="49">
        <f>VLOOKUP($A127,'Data shares'!$C:$FB,59)</f>
        <v>4228750</v>
      </c>
      <c r="L127" s="50">
        <f>VLOOKUP($A127,'Data shares'!$C:$FB,61)*100</f>
        <v>90.86999999999999</v>
      </c>
      <c r="M127" s="49">
        <f>VLOOKUP($A127,'Data shares'!$C:$FB,62)</f>
        <v>3591250</v>
      </c>
      <c r="N127" s="49">
        <f>VLOOKUP($A127,'Data shares'!$C:$FB,63)</f>
        <v>1683750</v>
      </c>
      <c r="O127" s="140">
        <f>VLOOKUP($A127,'Data shares'!$C:$FB,65)*100</f>
        <v>113.29</v>
      </c>
    </row>
    <row r="128" spans="1:15" x14ac:dyDescent="0.25">
      <c r="A128" s="101" t="str">
        <f>'Data shares'!C123</f>
        <v>KALYANKJIL</v>
      </c>
      <c r="B128" s="50">
        <f>VLOOKUP($A128,'Data shares'!$C:$FB,7)</f>
        <v>593.04999999999995</v>
      </c>
      <c r="C128" s="50">
        <f>VLOOKUP($A128,'Data shares'!$C:$FB,10)*100</f>
        <v>0.31</v>
      </c>
      <c r="D128" s="49">
        <f>VLOOKUP($A128,'Data shares'!$C:$FB,66)</f>
        <v>10083850</v>
      </c>
      <c r="E128" s="49">
        <f>VLOOKUP($A128,'Data shares'!$C:$FB,67)</f>
        <v>15139875</v>
      </c>
      <c r="F128" s="50">
        <f>VLOOKUP($A128,'Data shares'!$C:$FB,69)*100</f>
        <v>-33.4</v>
      </c>
      <c r="G128" s="49">
        <f>VLOOKUP($A128,'Data shares'!$C:$FB,42)</f>
        <v>2024525</v>
      </c>
      <c r="H128" s="49">
        <f>VLOOKUP($A128,'Data shares'!$C:$FB,43)</f>
        <v>2589700</v>
      </c>
      <c r="I128" s="50">
        <f>VLOOKUP($A128,'Data shares'!$C:$FB,45)*100</f>
        <v>-21.82</v>
      </c>
      <c r="J128" s="49">
        <f>VLOOKUP($A128,'Data shares'!$C:$FB,58)</f>
        <v>5846800</v>
      </c>
      <c r="K128" s="49">
        <f>VLOOKUP($A128,'Data shares'!$C:$FB,59)</f>
        <v>9035750</v>
      </c>
      <c r="L128" s="50">
        <f>VLOOKUP($A128,'Data shares'!$C:$FB,61)*100</f>
        <v>-35.29</v>
      </c>
      <c r="M128" s="49">
        <f>VLOOKUP($A128,'Data shares'!$C:$FB,62)</f>
        <v>2212525</v>
      </c>
      <c r="N128" s="49">
        <f>VLOOKUP($A128,'Data shares'!$C:$FB,63)</f>
        <v>3514425</v>
      </c>
      <c r="O128" s="140">
        <f>VLOOKUP($A128,'Data shares'!$C:$FB,65)*100</f>
        <v>-37.04</v>
      </c>
    </row>
    <row r="129" spans="1:15" x14ac:dyDescent="0.25">
      <c r="A129" s="101" t="str">
        <f>'Data shares'!C124</f>
        <v>KAYNES</v>
      </c>
      <c r="B129" s="50">
        <f>VLOOKUP($A129,'Data shares'!$C:$FB,7)</f>
        <v>5783</v>
      </c>
      <c r="C129" s="50">
        <f>VLOOKUP($A129,'Data shares'!$C:$FB,10)*100</f>
        <v>-1.9300000000000002</v>
      </c>
      <c r="D129" s="49">
        <f>VLOOKUP($A129,'Data shares'!$C:$FB,66)</f>
        <v>612200</v>
      </c>
      <c r="E129" s="49">
        <f>VLOOKUP($A129,'Data shares'!$C:$FB,67)</f>
        <v>762500</v>
      </c>
      <c r="F129" s="50">
        <f>VLOOKUP($A129,'Data shares'!$C:$FB,69)*100</f>
        <v>-19.71</v>
      </c>
      <c r="G129" s="49">
        <f>VLOOKUP($A129,'Data shares'!$C:$FB,42)</f>
        <v>155000</v>
      </c>
      <c r="H129" s="49">
        <f>VLOOKUP($A129,'Data shares'!$C:$FB,43)</f>
        <v>193200</v>
      </c>
      <c r="I129" s="50">
        <f>VLOOKUP($A129,'Data shares'!$C:$FB,45)*100</f>
        <v>-19.77</v>
      </c>
      <c r="J129" s="49">
        <f>VLOOKUP($A129,'Data shares'!$C:$FB,58)</f>
        <v>376800</v>
      </c>
      <c r="K129" s="49">
        <f>VLOOKUP($A129,'Data shares'!$C:$FB,59)</f>
        <v>475900</v>
      </c>
      <c r="L129" s="50">
        <f>VLOOKUP($A129,'Data shares'!$C:$FB,61)*100</f>
        <v>-20.82</v>
      </c>
      <c r="M129" s="49">
        <f>VLOOKUP($A129,'Data shares'!$C:$FB,62)</f>
        <v>80400</v>
      </c>
      <c r="N129" s="49">
        <f>VLOOKUP($A129,'Data shares'!$C:$FB,63)</f>
        <v>93400</v>
      </c>
      <c r="O129" s="140">
        <f>VLOOKUP($A129,'Data shares'!$C:$FB,65)*100</f>
        <v>-13.919999999999998</v>
      </c>
    </row>
    <row r="130" spans="1:15" x14ac:dyDescent="0.25">
      <c r="A130" s="101" t="str">
        <f>'Data shares'!C125</f>
        <v>KEI</v>
      </c>
      <c r="B130" s="50">
        <f>VLOOKUP($A130,'Data shares'!$C:$FB,7)</f>
        <v>3990.3</v>
      </c>
      <c r="C130" s="50">
        <f>VLOOKUP($A130,'Data shares'!$C:$FB,10)*100</f>
        <v>0.44999999999999996</v>
      </c>
      <c r="D130" s="49">
        <f>VLOOKUP($A130,'Data shares'!$C:$FB,66)</f>
        <v>4078900</v>
      </c>
      <c r="E130" s="49">
        <f>VLOOKUP($A130,'Data shares'!$C:$FB,67)</f>
        <v>2123625</v>
      </c>
      <c r="F130" s="50">
        <f>VLOOKUP($A130,'Data shares'!$C:$FB,69)*100</f>
        <v>92.07</v>
      </c>
      <c r="G130" s="49">
        <f>VLOOKUP($A130,'Data shares'!$C:$FB,42)</f>
        <v>571725</v>
      </c>
      <c r="H130" s="49">
        <f>VLOOKUP($A130,'Data shares'!$C:$FB,43)</f>
        <v>505750</v>
      </c>
      <c r="I130" s="50">
        <f>VLOOKUP($A130,'Data shares'!$C:$FB,45)*100</f>
        <v>13.04</v>
      </c>
      <c r="J130" s="49">
        <f>VLOOKUP($A130,'Data shares'!$C:$FB,58)</f>
        <v>2623950</v>
      </c>
      <c r="K130" s="49">
        <f>VLOOKUP($A130,'Data shares'!$C:$FB,59)</f>
        <v>1173025</v>
      </c>
      <c r="L130" s="50">
        <f>VLOOKUP($A130,'Data shares'!$C:$FB,61)*100</f>
        <v>123.69000000000001</v>
      </c>
      <c r="M130" s="49">
        <f>VLOOKUP($A130,'Data shares'!$C:$FB,62)</f>
        <v>883225</v>
      </c>
      <c r="N130" s="49">
        <f>VLOOKUP($A130,'Data shares'!$C:$FB,63)</f>
        <v>444850</v>
      </c>
      <c r="O130" s="140">
        <f>VLOOKUP($A130,'Data shares'!$C:$FB,65)*100</f>
        <v>98.54</v>
      </c>
    </row>
    <row r="131" spans="1:15" x14ac:dyDescent="0.25">
      <c r="A131" s="101" t="str">
        <f>'Data shares'!C126</f>
        <v>KFINTECH</v>
      </c>
      <c r="B131" s="50">
        <f>VLOOKUP($A131,'Data shares'!$C:$FB,7)</f>
        <v>1282.4000000000001</v>
      </c>
      <c r="C131" s="50">
        <f>VLOOKUP($A131,'Data shares'!$C:$FB,10)*100</f>
        <v>0.64</v>
      </c>
      <c r="D131" s="49">
        <f>VLOOKUP($A131,'Data shares'!$C:$FB,66)</f>
        <v>1168650</v>
      </c>
      <c r="E131" s="49">
        <f>VLOOKUP($A131,'Data shares'!$C:$FB,67)</f>
        <v>1002600</v>
      </c>
      <c r="F131" s="50">
        <f>VLOOKUP($A131,'Data shares'!$C:$FB,69)*100</f>
        <v>16.559999999999999</v>
      </c>
      <c r="G131" s="49">
        <f>VLOOKUP($A131,'Data shares'!$C:$FB,42)</f>
        <v>630450</v>
      </c>
      <c r="H131" s="49">
        <f>VLOOKUP($A131,'Data shares'!$C:$FB,43)</f>
        <v>329400</v>
      </c>
      <c r="I131" s="50">
        <f>VLOOKUP($A131,'Data shares'!$C:$FB,45)*100</f>
        <v>91.39</v>
      </c>
      <c r="J131" s="49">
        <f>VLOOKUP($A131,'Data shares'!$C:$FB,58)</f>
        <v>456750</v>
      </c>
      <c r="K131" s="49">
        <f>VLOOKUP($A131,'Data shares'!$C:$FB,59)</f>
        <v>548100</v>
      </c>
      <c r="L131" s="50">
        <f>VLOOKUP($A131,'Data shares'!$C:$FB,61)*100</f>
        <v>-16.669999999999998</v>
      </c>
      <c r="M131" s="49">
        <f>VLOOKUP($A131,'Data shares'!$C:$FB,62)</f>
        <v>81450</v>
      </c>
      <c r="N131" s="49">
        <f>VLOOKUP($A131,'Data shares'!$C:$FB,63)</f>
        <v>125100</v>
      </c>
      <c r="O131" s="140">
        <f>VLOOKUP($A131,'Data shares'!$C:$FB,65)*100</f>
        <v>-34.89</v>
      </c>
    </row>
    <row r="132" spans="1:15" x14ac:dyDescent="0.25">
      <c r="A132" s="101" t="str">
        <f>'Data shares'!C127</f>
        <v>KOTAKBANK</v>
      </c>
      <c r="B132" s="50">
        <f>VLOOKUP($A132,'Data shares'!$C:$FB,7)</f>
        <v>2160.1999999999998</v>
      </c>
      <c r="C132" s="50">
        <f>VLOOKUP($A132,'Data shares'!$C:$FB,10)*100</f>
        <v>-0.22999999999999998</v>
      </c>
      <c r="D132" s="49">
        <f>VLOOKUP($A132,'Data shares'!$C:$FB,66)</f>
        <v>12791600</v>
      </c>
      <c r="E132" s="49">
        <f>VLOOKUP($A132,'Data shares'!$C:$FB,67)</f>
        <v>18993200</v>
      </c>
      <c r="F132" s="50">
        <f>VLOOKUP($A132,'Data shares'!$C:$FB,69)*100</f>
        <v>-32.65</v>
      </c>
      <c r="G132" s="49">
        <f>VLOOKUP($A132,'Data shares'!$C:$FB,42)</f>
        <v>3141200</v>
      </c>
      <c r="H132" s="49">
        <f>VLOOKUP($A132,'Data shares'!$C:$FB,43)</f>
        <v>4018000</v>
      </c>
      <c r="I132" s="50">
        <f>VLOOKUP($A132,'Data shares'!$C:$FB,45)*100</f>
        <v>-21.82</v>
      </c>
      <c r="J132" s="49">
        <f>VLOOKUP($A132,'Data shares'!$C:$FB,58)</f>
        <v>6010800</v>
      </c>
      <c r="K132" s="49">
        <f>VLOOKUP($A132,'Data shares'!$C:$FB,59)</f>
        <v>9595200</v>
      </c>
      <c r="L132" s="50">
        <f>VLOOKUP($A132,'Data shares'!$C:$FB,61)*100</f>
        <v>-37.36</v>
      </c>
      <c r="M132" s="49">
        <f>VLOOKUP($A132,'Data shares'!$C:$FB,62)</f>
        <v>3639600</v>
      </c>
      <c r="N132" s="49">
        <f>VLOOKUP($A132,'Data shares'!$C:$FB,63)</f>
        <v>5380000</v>
      </c>
      <c r="O132" s="140">
        <f>VLOOKUP($A132,'Data shares'!$C:$FB,65)*100</f>
        <v>-32.35</v>
      </c>
    </row>
    <row r="133" spans="1:15" x14ac:dyDescent="0.25">
      <c r="A133" s="101" t="str">
        <f>'Data shares'!C128</f>
        <v>KPITTECH</v>
      </c>
      <c r="B133" s="50">
        <f>VLOOKUP($A133,'Data shares'!$C:$FB,7)</f>
        <v>1256</v>
      </c>
      <c r="C133" s="50">
        <f>VLOOKUP($A133,'Data shares'!$C:$FB,10)*100</f>
        <v>-0.67999999999999994</v>
      </c>
      <c r="D133" s="49">
        <f>VLOOKUP($A133,'Data shares'!$C:$FB,66)</f>
        <v>1929200</v>
      </c>
      <c r="E133" s="49">
        <f>VLOOKUP($A133,'Data shares'!$C:$FB,67)</f>
        <v>2305600</v>
      </c>
      <c r="F133" s="50">
        <f>VLOOKUP($A133,'Data shares'!$C:$FB,69)*100</f>
        <v>-16.329999999999998</v>
      </c>
      <c r="G133" s="49">
        <f>VLOOKUP($A133,'Data shares'!$C:$FB,42)</f>
        <v>510800</v>
      </c>
      <c r="H133" s="49">
        <f>VLOOKUP($A133,'Data shares'!$C:$FB,43)</f>
        <v>534800</v>
      </c>
      <c r="I133" s="50">
        <f>VLOOKUP($A133,'Data shares'!$C:$FB,45)*100</f>
        <v>-4.49</v>
      </c>
      <c r="J133" s="49">
        <f>VLOOKUP($A133,'Data shares'!$C:$FB,58)</f>
        <v>964000</v>
      </c>
      <c r="K133" s="49">
        <f>VLOOKUP($A133,'Data shares'!$C:$FB,59)</f>
        <v>1377200</v>
      </c>
      <c r="L133" s="50">
        <f>VLOOKUP($A133,'Data shares'!$C:$FB,61)*100</f>
        <v>-30</v>
      </c>
      <c r="M133" s="49">
        <f>VLOOKUP($A133,'Data shares'!$C:$FB,62)</f>
        <v>454400</v>
      </c>
      <c r="N133" s="49">
        <f>VLOOKUP($A133,'Data shares'!$C:$FB,63)</f>
        <v>393600</v>
      </c>
      <c r="O133" s="140">
        <f>VLOOKUP($A133,'Data shares'!$C:$FB,65)*100</f>
        <v>15.45</v>
      </c>
    </row>
    <row r="134" spans="1:15" x14ac:dyDescent="0.25">
      <c r="A134" s="101" t="str">
        <f>'Data shares'!C129</f>
        <v>LAURUSLABS</v>
      </c>
      <c r="B134" s="50">
        <f>VLOOKUP($A134,'Data shares'!$C:$FB,7)</f>
        <v>823.35</v>
      </c>
      <c r="C134" s="50">
        <f>VLOOKUP($A134,'Data shares'!$C:$FB,10)*100</f>
        <v>-0.74</v>
      </c>
      <c r="D134" s="49">
        <f>VLOOKUP($A134,'Data shares'!$C:$FB,66)</f>
        <v>17634100</v>
      </c>
      <c r="E134" s="49">
        <f>VLOOKUP($A134,'Data shares'!$C:$FB,67)</f>
        <v>18144100</v>
      </c>
      <c r="F134" s="50">
        <f>VLOOKUP($A134,'Data shares'!$C:$FB,69)*100</f>
        <v>-2.81</v>
      </c>
      <c r="G134" s="49">
        <f>VLOOKUP($A134,'Data shares'!$C:$FB,42)</f>
        <v>3483300</v>
      </c>
      <c r="H134" s="49">
        <f>VLOOKUP($A134,'Data shares'!$C:$FB,43)</f>
        <v>2964800</v>
      </c>
      <c r="I134" s="50">
        <f>VLOOKUP($A134,'Data shares'!$C:$FB,45)*100</f>
        <v>17.489999999999998</v>
      </c>
      <c r="J134" s="49">
        <f>VLOOKUP($A134,'Data shares'!$C:$FB,58)</f>
        <v>7884600</v>
      </c>
      <c r="K134" s="49">
        <f>VLOOKUP($A134,'Data shares'!$C:$FB,59)</f>
        <v>8229700</v>
      </c>
      <c r="L134" s="50">
        <f>VLOOKUP($A134,'Data shares'!$C:$FB,61)*100</f>
        <v>-4.1900000000000004</v>
      </c>
      <c r="M134" s="49">
        <f>VLOOKUP($A134,'Data shares'!$C:$FB,62)</f>
        <v>6266200</v>
      </c>
      <c r="N134" s="49">
        <f>VLOOKUP($A134,'Data shares'!$C:$FB,63)</f>
        <v>6949600</v>
      </c>
      <c r="O134" s="140">
        <f>VLOOKUP($A134,'Data shares'!$C:$FB,65)*100</f>
        <v>-9.83</v>
      </c>
    </row>
    <row r="135" spans="1:15" x14ac:dyDescent="0.25">
      <c r="A135" s="101" t="str">
        <f>'Data shares'!C130</f>
        <v>LICHSGFIN</v>
      </c>
      <c r="B135" s="50">
        <f>VLOOKUP($A135,'Data shares'!$C:$FB,7)</f>
        <v>620.20000000000005</v>
      </c>
      <c r="C135" s="50">
        <f>VLOOKUP($A135,'Data shares'!$C:$FB,10)*100</f>
        <v>-0.54999999999999993</v>
      </c>
      <c r="D135" s="49">
        <f>VLOOKUP($A135,'Data shares'!$C:$FB,66)</f>
        <v>16813000</v>
      </c>
      <c r="E135" s="49">
        <f>VLOOKUP($A135,'Data shares'!$C:$FB,67)</f>
        <v>17100000</v>
      </c>
      <c r="F135" s="50">
        <f>VLOOKUP($A135,'Data shares'!$C:$FB,69)*100</f>
        <v>-1.68</v>
      </c>
      <c r="G135" s="49">
        <f>VLOOKUP($A135,'Data shares'!$C:$FB,42)</f>
        <v>5585000</v>
      </c>
      <c r="H135" s="49">
        <f>VLOOKUP($A135,'Data shares'!$C:$FB,43)</f>
        <v>4186000</v>
      </c>
      <c r="I135" s="50">
        <f>VLOOKUP($A135,'Data shares'!$C:$FB,45)*100</f>
        <v>33.42</v>
      </c>
      <c r="J135" s="49">
        <f>VLOOKUP($A135,'Data shares'!$C:$FB,58)</f>
        <v>8501000</v>
      </c>
      <c r="K135" s="49">
        <f>VLOOKUP($A135,'Data shares'!$C:$FB,59)</f>
        <v>9662000</v>
      </c>
      <c r="L135" s="50">
        <f>VLOOKUP($A135,'Data shares'!$C:$FB,61)*100</f>
        <v>-12.02</v>
      </c>
      <c r="M135" s="49">
        <f>VLOOKUP($A135,'Data shares'!$C:$FB,62)</f>
        <v>2727000</v>
      </c>
      <c r="N135" s="49">
        <f>VLOOKUP($A135,'Data shares'!$C:$FB,63)</f>
        <v>3252000</v>
      </c>
      <c r="O135" s="140">
        <f>VLOOKUP($A135,'Data shares'!$C:$FB,65)*100</f>
        <v>-16.14</v>
      </c>
    </row>
    <row r="136" spans="1:15" x14ac:dyDescent="0.25">
      <c r="A136" s="101" t="str">
        <f>'Data shares'!C131</f>
        <v>LICI</v>
      </c>
      <c r="B136" s="50">
        <f>VLOOKUP($A136,'Data shares'!$C:$FB,7)</f>
        <v>919.05</v>
      </c>
      <c r="C136" s="50">
        <f>VLOOKUP($A136,'Data shares'!$C:$FB,10)*100</f>
        <v>-0.98</v>
      </c>
      <c r="D136" s="49">
        <f>VLOOKUP($A136,'Data shares'!$C:$FB,66)</f>
        <v>4340700</v>
      </c>
      <c r="E136" s="49">
        <f>VLOOKUP($A136,'Data shares'!$C:$FB,67)</f>
        <v>3727500</v>
      </c>
      <c r="F136" s="50">
        <f>VLOOKUP($A136,'Data shares'!$C:$FB,69)*100</f>
        <v>16.45</v>
      </c>
      <c r="G136" s="49">
        <f>VLOOKUP($A136,'Data shares'!$C:$FB,42)</f>
        <v>819700</v>
      </c>
      <c r="H136" s="49">
        <f>VLOOKUP($A136,'Data shares'!$C:$FB,43)</f>
        <v>737800</v>
      </c>
      <c r="I136" s="50">
        <f>VLOOKUP($A136,'Data shares'!$C:$FB,45)*100</f>
        <v>11.1</v>
      </c>
      <c r="J136" s="49">
        <f>VLOOKUP($A136,'Data shares'!$C:$FB,58)</f>
        <v>2749600</v>
      </c>
      <c r="K136" s="49">
        <f>VLOOKUP($A136,'Data shares'!$C:$FB,59)</f>
        <v>2300200</v>
      </c>
      <c r="L136" s="50">
        <f>VLOOKUP($A136,'Data shares'!$C:$FB,61)*100</f>
        <v>19.54</v>
      </c>
      <c r="M136" s="49">
        <f>VLOOKUP($A136,'Data shares'!$C:$FB,62)</f>
        <v>771400</v>
      </c>
      <c r="N136" s="49">
        <f>VLOOKUP($A136,'Data shares'!$C:$FB,63)</f>
        <v>689500</v>
      </c>
      <c r="O136" s="140">
        <f>VLOOKUP($A136,'Data shares'!$C:$FB,65)*100</f>
        <v>11.88</v>
      </c>
    </row>
    <row r="137" spans="1:15" x14ac:dyDescent="0.25">
      <c r="A137" s="101" t="str">
        <f>'Data shares'!C132</f>
        <v>LODHA</v>
      </c>
      <c r="B137" s="50">
        <f>VLOOKUP($A137,'Data shares'!$C:$FB,7)</f>
        <v>1442.3</v>
      </c>
      <c r="C137" s="50">
        <f>VLOOKUP($A137,'Data shares'!$C:$FB,10)*100</f>
        <v>-0.44</v>
      </c>
      <c r="D137" s="49">
        <f>VLOOKUP($A137,'Data shares'!$C:$FB,66)</f>
        <v>2290500</v>
      </c>
      <c r="E137" s="49">
        <f>VLOOKUP($A137,'Data shares'!$C:$FB,67)</f>
        <v>1900800</v>
      </c>
      <c r="F137" s="50">
        <f>VLOOKUP($A137,'Data shares'!$C:$FB,69)*100</f>
        <v>20.5</v>
      </c>
      <c r="G137" s="49">
        <f>VLOOKUP($A137,'Data shares'!$C:$FB,42)</f>
        <v>390150</v>
      </c>
      <c r="H137" s="49">
        <f>VLOOKUP($A137,'Data shares'!$C:$FB,43)</f>
        <v>443700</v>
      </c>
      <c r="I137" s="50">
        <f>VLOOKUP($A137,'Data shares'!$C:$FB,45)*100</f>
        <v>-12.07</v>
      </c>
      <c r="J137" s="49">
        <f>VLOOKUP($A137,'Data shares'!$C:$FB,58)</f>
        <v>1361250</v>
      </c>
      <c r="K137" s="49">
        <f>VLOOKUP($A137,'Data shares'!$C:$FB,59)</f>
        <v>944100</v>
      </c>
      <c r="L137" s="50">
        <f>VLOOKUP($A137,'Data shares'!$C:$FB,61)*100</f>
        <v>44.18</v>
      </c>
      <c r="M137" s="49">
        <f>VLOOKUP($A137,'Data shares'!$C:$FB,62)</f>
        <v>539100</v>
      </c>
      <c r="N137" s="49">
        <f>VLOOKUP($A137,'Data shares'!$C:$FB,63)</f>
        <v>513000</v>
      </c>
      <c r="O137" s="140">
        <f>VLOOKUP($A137,'Data shares'!$C:$FB,65)*100</f>
        <v>5.09</v>
      </c>
    </row>
    <row r="138" spans="1:15" x14ac:dyDescent="0.25">
      <c r="A138" s="101" t="str">
        <f>'Data shares'!C133</f>
        <v>LT</v>
      </c>
      <c r="B138" s="50">
        <f>VLOOKUP($A138,'Data shares'!$C:$FB,7)</f>
        <v>3464.6</v>
      </c>
      <c r="C138" s="50">
        <f>VLOOKUP($A138,'Data shares'!$C:$FB,10)*100</f>
        <v>-1.0900000000000001</v>
      </c>
      <c r="D138" s="49">
        <f>VLOOKUP($A138,'Data shares'!$C:$FB,66)</f>
        <v>9437575</v>
      </c>
      <c r="E138" s="49">
        <f>VLOOKUP($A138,'Data shares'!$C:$FB,67)</f>
        <v>10905125</v>
      </c>
      <c r="F138" s="50">
        <f>VLOOKUP($A138,'Data shares'!$C:$FB,69)*100</f>
        <v>-13.459999999999999</v>
      </c>
      <c r="G138" s="49">
        <f>VLOOKUP($A138,'Data shares'!$C:$FB,42)</f>
        <v>1978550</v>
      </c>
      <c r="H138" s="49">
        <f>VLOOKUP($A138,'Data shares'!$C:$FB,43)</f>
        <v>1719200</v>
      </c>
      <c r="I138" s="50">
        <f>VLOOKUP($A138,'Data shares'!$C:$FB,45)*100</f>
        <v>15.09</v>
      </c>
      <c r="J138" s="49">
        <f>VLOOKUP($A138,'Data shares'!$C:$FB,58)</f>
        <v>5869675</v>
      </c>
      <c r="K138" s="49">
        <f>VLOOKUP($A138,'Data shares'!$C:$FB,59)</f>
        <v>6899375</v>
      </c>
      <c r="L138" s="50">
        <f>VLOOKUP($A138,'Data shares'!$C:$FB,61)*100</f>
        <v>-14.92</v>
      </c>
      <c r="M138" s="49">
        <f>VLOOKUP($A138,'Data shares'!$C:$FB,62)</f>
        <v>1589350</v>
      </c>
      <c r="N138" s="49">
        <f>VLOOKUP($A138,'Data shares'!$C:$FB,63)</f>
        <v>2286550</v>
      </c>
      <c r="O138" s="140">
        <f>VLOOKUP($A138,'Data shares'!$C:$FB,65)*100</f>
        <v>-30.490000000000002</v>
      </c>
    </row>
    <row r="139" spans="1:15" x14ac:dyDescent="0.25">
      <c r="A139" s="101" t="str">
        <f>'Data shares'!C134</f>
        <v>LTF</v>
      </c>
      <c r="B139" s="50">
        <f>VLOOKUP($A139,'Data shares'!$C:$FB,7)</f>
        <v>209.21</v>
      </c>
      <c r="C139" s="50">
        <f>VLOOKUP($A139,'Data shares'!$C:$FB,10)*100</f>
        <v>-0.65</v>
      </c>
      <c r="D139" s="49">
        <f>VLOOKUP($A139,'Data shares'!$C:$FB,66)</f>
        <v>149717948</v>
      </c>
      <c r="E139" s="49">
        <f>VLOOKUP($A139,'Data shares'!$C:$FB,67)</f>
        <v>380617524</v>
      </c>
      <c r="F139" s="50">
        <f>VLOOKUP($A139,'Data shares'!$C:$FB,69)*100</f>
        <v>-60.660000000000004</v>
      </c>
      <c r="G139" s="49">
        <f>VLOOKUP($A139,'Data shares'!$C:$FB,42)</f>
        <v>31327702</v>
      </c>
      <c r="H139" s="49">
        <f>VLOOKUP($A139,'Data shares'!$C:$FB,43)</f>
        <v>77960064</v>
      </c>
      <c r="I139" s="50">
        <f>VLOOKUP($A139,'Data shares'!$C:$FB,45)*100</f>
        <v>-59.819999999999993</v>
      </c>
      <c r="J139" s="49">
        <f>VLOOKUP($A139,'Data shares'!$C:$FB,58)</f>
        <v>77821742</v>
      </c>
      <c r="K139" s="49">
        <f>VLOOKUP($A139,'Data shares'!$C:$FB,59)</f>
        <v>192254194</v>
      </c>
      <c r="L139" s="50">
        <f>VLOOKUP($A139,'Data shares'!$C:$FB,61)*100</f>
        <v>-59.519999999999996</v>
      </c>
      <c r="M139" s="49">
        <f>VLOOKUP($A139,'Data shares'!$C:$FB,62)</f>
        <v>40568504</v>
      </c>
      <c r="N139" s="49">
        <f>VLOOKUP($A139,'Data shares'!$C:$FB,63)</f>
        <v>110403266</v>
      </c>
      <c r="O139" s="140">
        <f>VLOOKUP($A139,'Data shares'!$C:$FB,65)*100</f>
        <v>-63.249999999999993</v>
      </c>
    </row>
    <row r="140" spans="1:15" x14ac:dyDescent="0.25">
      <c r="A140" s="101" t="str">
        <f>'Data shares'!C135</f>
        <v>LTIM</v>
      </c>
      <c r="B140" s="50">
        <f>VLOOKUP($A140,'Data shares'!$C:$FB,7)</f>
        <v>5175.5</v>
      </c>
      <c r="C140" s="50">
        <f>VLOOKUP($A140,'Data shares'!$C:$FB,10)*100</f>
        <v>0.42</v>
      </c>
      <c r="D140" s="49">
        <f>VLOOKUP($A140,'Data shares'!$C:$FB,66)</f>
        <v>2344650</v>
      </c>
      <c r="E140" s="49">
        <f>VLOOKUP($A140,'Data shares'!$C:$FB,67)</f>
        <v>3001200</v>
      </c>
      <c r="F140" s="50">
        <f>VLOOKUP($A140,'Data shares'!$C:$FB,69)*100</f>
        <v>-21.88</v>
      </c>
      <c r="G140" s="49">
        <f>VLOOKUP($A140,'Data shares'!$C:$FB,42)</f>
        <v>548100</v>
      </c>
      <c r="H140" s="49">
        <f>VLOOKUP($A140,'Data shares'!$C:$FB,43)</f>
        <v>608100</v>
      </c>
      <c r="I140" s="50">
        <f>VLOOKUP($A140,'Data shares'!$C:$FB,45)*100</f>
        <v>-9.8699999999999992</v>
      </c>
      <c r="J140" s="49">
        <f>VLOOKUP($A140,'Data shares'!$C:$FB,58)</f>
        <v>1181250</v>
      </c>
      <c r="K140" s="49">
        <f>VLOOKUP($A140,'Data shares'!$C:$FB,59)</f>
        <v>1640700</v>
      </c>
      <c r="L140" s="50">
        <f>VLOOKUP($A140,'Data shares'!$C:$FB,61)*100</f>
        <v>-28.000000000000004</v>
      </c>
      <c r="M140" s="49">
        <f>VLOOKUP($A140,'Data shares'!$C:$FB,62)</f>
        <v>615300</v>
      </c>
      <c r="N140" s="49">
        <f>VLOOKUP($A140,'Data shares'!$C:$FB,63)</f>
        <v>752400</v>
      </c>
      <c r="O140" s="140">
        <f>VLOOKUP($A140,'Data shares'!$C:$FB,65)*100</f>
        <v>-18.22</v>
      </c>
    </row>
    <row r="141" spans="1:15" x14ac:dyDescent="0.25">
      <c r="A141" s="101" t="str">
        <f>'Data shares'!C136</f>
        <v>LUPIN</v>
      </c>
      <c r="B141" s="50">
        <f>VLOOKUP($A141,'Data shares'!$C:$FB,7)</f>
        <v>1903.2</v>
      </c>
      <c r="C141" s="50">
        <f>VLOOKUP($A141,'Data shares'!$C:$FB,10)*100</f>
        <v>-0.92999999999999994</v>
      </c>
      <c r="D141" s="49">
        <f>VLOOKUP($A141,'Data shares'!$C:$FB,66)</f>
        <v>11800975</v>
      </c>
      <c r="E141" s="49">
        <f>VLOOKUP($A141,'Data shares'!$C:$FB,67)</f>
        <v>3015375</v>
      </c>
      <c r="F141" s="50">
        <f>VLOOKUP($A141,'Data shares'!$C:$FB,69)*100</f>
        <v>291.36</v>
      </c>
      <c r="G141" s="49">
        <f>VLOOKUP($A141,'Data shares'!$C:$FB,42)</f>
        <v>2151775</v>
      </c>
      <c r="H141" s="49">
        <f>VLOOKUP($A141,'Data shares'!$C:$FB,43)</f>
        <v>813875</v>
      </c>
      <c r="I141" s="50">
        <f>VLOOKUP($A141,'Data shares'!$C:$FB,45)*100</f>
        <v>164.39</v>
      </c>
      <c r="J141" s="49">
        <f>VLOOKUP($A141,'Data shares'!$C:$FB,58)</f>
        <v>6021400</v>
      </c>
      <c r="K141" s="49">
        <f>VLOOKUP($A141,'Data shares'!$C:$FB,59)</f>
        <v>1645175</v>
      </c>
      <c r="L141" s="50">
        <f>VLOOKUP($A141,'Data shares'!$C:$FB,61)*100</f>
        <v>266</v>
      </c>
      <c r="M141" s="49">
        <f>VLOOKUP($A141,'Data shares'!$C:$FB,62)</f>
        <v>3627800</v>
      </c>
      <c r="N141" s="49">
        <f>VLOOKUP($A141,'Data shares'!$C:$FB,63)</f>
        <v>556325</v>
      </c>
      <c r="O141" s="140">
        <f>VLOOKUP($A141,'Data shares'!$C:$FB,65)*100</f>
        <v>552.1</v>
      </c>
    </row>
    <row r="142" spans="1:15" x14ac:dyDescent="0.25">
      <c r="A142" s="101" t="str">
        <f>'Data shares'!C137</f>
        <v>M&amp;M</v>
      </c>
      <c r="B142" s="50">
        <f>VLOOKUP($A142,'Data shares'!$C:$FB,7)</f>
        <v>3257.2</v>
      </c>
      <c r="C142" s="50">
        <f>VLOOKUP($A142,'Data shares'!$C:$FB,10)*100</f>
        <v>0.32</v>
      </c>
      <c r="D142" s="49">
        <f>VLOOKUP($A142,'Data shares'!$C:$FB,66)</f>
        <v>23837800</v>
      </c>
      <c r="E142" s="49">
        <f>VLOOKUP($A142,'Data shares'!$C:$FB,67)</f>
        <v>23101800</v>
      </c>
      <c r="F142" s="50">
        <f>VLOOKUP($A142,'Data shares'!$C:$FB,69)*100</f>
        <v>3.19</v>
      </c>
      <c r="G142" s="49">
        <f>VLOOKUP($A142,'Data shares'!$C:$FB,42)</f>
        <v>3185000</v>
      </c>
      <c r="H142" s="49">
        <f>VLOOKUP($A142,'Data shares'!$C:$FB,43)</f>
        <v>3460400</v>
      </c>
      <c r="I142" s="50">
        <f>VLOOKUP($A142,'Data shares'!$C:$FB,45)*100</f>
        <v>-7.9600000000000009</v>
      </c>
      <c r="J142" s="49">
        <f>VLOOKUP($A142,'Data shares'!$C:$FB,58)</f>
        <v>14459400</v>
      </c>
      <c r="K142" s="49">
        <f>VLOOKUP($A142,'Data shares'!$C:$FB,59)</f>
        <v>13232200</v>
      </c>
      <c r="L142" s="50">
        <f>VLOOKUP($A142,'Data shares'!$C:$FB,61)*100</f>
        <v>9.27</v>
      </c>
      <c r="M142" s="49">
        <f>VLOOKUP($A142,'Data shares'!$C:$FB,62)</f>
        <v>6193400</v>
      </c>
      <c r="N142" s="49">
        <f>VLOOKUP($A142,'Data shares'!$C:$FB,63)</f>
        <v>6409200</v>
      </c>
      <c r="O142" s="140">
        <f>VLOOKUP($A142,'Data shares'!$C:$FB,65)*100</f>
        <v>-3.37</v>
      </c>
    </row>
    <row r="143" spans="1:15" x14ac:dyDescent="0.25">
      <c r="A143" s="101" t="str">
        <f>'Data shares'!C138</f>
        <v>M&amp;MFIN</v>
      </c>
      <c r="B143" s="50">
        <f>VLOOKUP($A143,'Data shares'!$C:$FB,7)</f>
        <v>265.55</v>
      </c>
      <c r="C143" s="50">
        <f>VLOOKUP($A143,'Data shares'!$C:$FB,10)*100</f>
        <v>1.03</v>
      </c>
      <c r="D143" s="49">
        <f>VLOOKUP($A143,'Data shares'!$C:$FB,66)</f>
        <v>56139080</v>
      </c>
      <c r="E143" s="49">
        <f>VLOOKUP($A143,'Data shares'!$C:$FB,67)</f>
        <v>9998328</v>
      </c>
      <c r="F143" s="50">
        <f>VLOOKUP($A143,'Data shares'!$C:$FB,69)*100</f>
        <v>461.47999999999996</v>
      </c>
      <c r="G143" s="49">
        <f>VLOOKUP($A143,'Data shares'!$C:$FB,42)</f>
        <v>14626384</v>
      </c>
      <c r="H143" s="49">
        <f>VLOOKUP($A143,'Data shares'!$C:$FB,43)</f>
        <v>3178576</v>
      </c>
      <c r="I143" s="50">
        <f>VLOOKUP($A143,'Data shares'!$C:$FB,45)*100</f>
        <v>360.15999999999997</v>
      </c>
      <c r="J143" s="49">
        <f>VLOOKUP($A143,'Data shares'!$C:$FB,58)</f>
        <v>29643408</v>
      </c>
      <c r="K143" s="49">
        <f>VLOOKUP($A143,'Data shares'!$C:$FB,59)</f>
        <v>4611608</v>
      </c>
      <c r="L143" s="50">
        <f>VLOOKUP($A143,'Data shares'!$C:$FB,61)*100</f>
        <v>542.79999999999995</v>
      </c>
      <c r="M143" s="49">
        <f>VLOOKUP($A143,'Data shares'!$C:$FB,62)</f>
        <v>11869288</v>
      </c>
      <c r="N143" s="49">
        <f>VLOOKUP($A143,'Data shares'!$C:$FB,63)</f>
        <v>2208144</v>
      </c>
      <c r="O143" s="140">
        <f>VLOOKUP($A143,'Data shares'!$C:$FB,65)*100</f>
        <v>437.52000000000004</v>
      </c>
    </row>
    <row r="144" spans="1:15" x14ac:dyDescent="0.25">
      <c r="A144" s="101" t="str">
        <f>'Data shares'!C139</f>
        <v>MANAPPURAM</v>
      </c>
      <c r="B144" s="50">
        <f>VLOOKUP($A144,'Data shares'!$C:$FB,7)</f>
        <v>272.05</v>
      </c>
      <c r="C144" s="50">
        <f>VLOOKUP($A144,'Data shares'!$C:$FB,10)*100</f>
        <v>0.65</v>
      </c>
      <c r="D144" s="49">
        <f>VLOOKUP($A144,'Data shares'!$C:$FB,66)</f>
        <v>13830000</v>
      </c>
      <c r="E144" s="49">
        <f>VLOOKUP($A144,'Data shares'!$C:$FB,67)</f>
        <v>21360000</v>
      </c>
      <c r="F144" s="50">
        <f>VLOOKUP($A144,'Data shares'!$C:$FB,69)*100</f>
        <v>-35.25</v>
      </c>
      <c r="G144" s="49">
        <f>VLOOKUP($A144,'Data shares'!$C:$FB,42)</f>
        <v>3081000</v>
      </c>
      <c r="H144" s="49">
        <f>VLOOKUP($A144,'Data shares'!$C:$FB,43)</f>
        <v>5406000</v>
      </c>
      <c r="I144" s="50">
        <f>VLOOKUP($A144,'Data shares'!$C:$FB,45)*100</f>
        <v>-43.01</v>
      </c>
      <c r="J144" s="49">
        <f>VLOOKUP($A144,'Data shares'!$C:$FB,58)</f>
        <v>7752000</v>
      </c>
      <c r="K144" s="49">
        <f>VLOOKUP($A144,'Data shares'!$C:$FB,59)</f>
        <v>10467000</v>
      </c>
      <c r="L144" s="50">
        <f>VLOOKUP($A144,'Data shares'!$C:$FB,61)*100</f>
        <v>-25.94</v>
      </c>
      <c r="M144" s="49">
        <f>VLOOKUP($A144,'Data shares'!$C:$FB,62)</f>
        <v>2997000</v>
      </c>
      <c r="N144" s="49">
        <f>VLOOKUP($A144,'Data shares'!$C:$FB,63)</f>
        <v>5487000</v>
      </c>
      <c r="O144" s="140">
        <f>VLOOKUP($A144,'Data shares'!$C:$FB,65)*100</f>
        <v>-45.379999999999995</v>
      </c>
    </row>
    <row r="145" spans="1:15" x14ac:dyDescent="0.25">
      <c r="A145" s="101" t="str">
        <f>'Data shares'!C140</f>
        <v>MANKIND</v>
      </c>
      <c r="B145" s="50">
        <f>VLOOKUP($A145,'Data shares'!$C:$FB,7)</f>
        <v>2670.5</v>
      </c>
      <c r="C145" s="50">
        <f>VLOOKUP($A145,'Data shares'!$C:$FB,10)*100</f>
        <v>0.92999999999999994</v>
      </c>
      <c r="D145" s="49">
        <f>VLOOKUP($A145,'Data shares'!$C:$FB,66)</f>
        <v>2719125</v>
      </c>
      <c r="E145" s="49">
        <f>VLOOKUP($A145,'Data shares'!$C:$FB,67)</f>
        <v>2650950</v>
      </c>
      <c r="F145" s="50">
        <f>VLOOKUP($A145,'Data shares'!$C:$FB,69)*100</f>
        <v>2.5700000000000003</v>
      </c>
      <c r="G145" s="49">
        <f>VLOOKUP($A145,'Data shares'!$C:$FB,42)</f>
        <v>231300</v>
      </c>
      <c r="H145" s="49">
        <f>VLOOKUP($A145,'Data shares'!$C:$FB,43)</f>
        <v>274275</v>
      </c>
      <c r="I145" s="50">
        <f>VLOOKUP($A145,'Data shares'!$C:$FB,45)*100</f>
        <v>-15.67</v>
      </c>
      <c r="J145" s="49">
        <f>VLOOKUP($A145,'Data shares'!$C:$FB,58)</f>
        <v>2045475</v>
      </c>
      <c r="K145" s="49">
        <f>VLOOKUP($A145,'Data shares'!$C:$FB,59)</f>
        <v>1858725</v>
      </c>
      <c r="L145" s="50">
        <f>VLOOKUP($A145,'Data shares'!$C:$FB,61)*100</f>
        <v>10.050000000000001</v>
      </c>
      <c r="M145" s="49">
        <f>VLOOKUP($A145,'Data shares'!$C:$FB,62)</f>
        <v>442350</v>
      </c>
      <c r="N145" s="49">
        <f>VLOOKUP($A145,'Data shares'!$C:$FB,63)</f>
        <v>517950</v>
      </c>
      <c r="O145" s="140">
        <f>VLOOKUP($A145,'Data shares'!$C:$FB,65)*100</f>
        <v>-14.6</v>
      </c>
    </row>
    <row r="146" spans="1:15" x14ac:dyDescent="0.25">
      <c r="A146" s="101" t="str">
        <f>'Data shares'!C141</f>
        <v>MARICO</v>
      </c>
      <c r="B146" s="50">
        <f>VLOOKUP($A146,'Data shares'!$C:$FB,7)</f>
        <v>716.35</v>
      </c>
      <c r="C146" s="50">
        <f>VLOOKUP($A146,'Data shares'!$C:$FB,10)*100</f>
        <v>-0.19</v>
      </c>
      <c r="D146" s="49">
        <f>VLOOKUP($A146,'Data shares'!$C:$FB,66)</f>
        <v>7600800</v>
      </c>
      <c r="E146" s="49">
        <f>VLOOKUP($A146,'Data shares'!$C:$FB,67)</f>
        <v>10490400</v>
      </c>
      <c r="F146" s="50">
        <f>VLOOKUP($A146,'Data shares'!$C:$FB,69)*100</f>
        <v>-27.55</v>
      </c>
      <c r="G146" s="49">
        <f>VLOOKUP($A146,'Data shares'!$C:$FB,42)</f>
        <v>1706400</v>
      </c>
      <c r="H146" s="49">
        <f>VLOOKUP($A146,'Data shares'!$C:$FB,43)</f>
        <v>2230800</v>
      </c>
      <c r="I146" s="50">
        <f>VLOOKUP($A146,'Data shares'!$C:$FB,45)*100</f>
        <v>-23.51</v>
      </c>
      <c r="J146" s="49">
        <f>VLOOKUP($A146,'Data shares'!$C:$FB,58)</f>
        <v>4120800</v>
      </c>
      <c r="K146" s="49">
        <f>VLOOKUP($A146,'Data shares'!$C:$FB,59)</f>
        <v>5854800</v>
      </c>
      <c r="L146" s="50">
        <f>VLOOKUP($A146,'Data shares'!$C:$FB,61)*100</f>
        <v>-29.62</v>
      </c>
      <c r="M146" s="49">
        <f>VLOOKUP($A146,'Data shares'!$C:$FB,62)</f>
        <v>1773600</v>
      </c>
      <c r="N146" s="49">
        <f>VLOOKUP($A146,'Data shares'!$C:$FB,63)</f>
        <v>2404800</v>
      </c>
      <c r="O146" s="140">
        <f>VLOOKUP($A146,'Data shares'!$C:$FB,65)*100</f>
        <v>-26.25</v>
      </c>
    </row>
    <row r="147" spans="1:15" x14ac:dyDescent="0.25">
      <c r="A147" s="101" t="str">
        <f>'Data shares'!C142</f>
        <v>MARUTI</v>
      </c>
      <c r="B147" s="50">
        <f>VLOOKUP($A147,'Data shares'!$C:$FB,7)</f>
        <v>12492</v>
      </c>
      <c r="C147" s="50">
        <f>VLOOKUP($A147,'Data shares'!$C:$FB,10)*100</f>
        <v>0.70000000000000007</v>
      </c>
      <c r="D147" s="49">
        <f>VLOOKUP($A147,'Data shares'!$C:$FB,66)</f>
        <v>4289350</v>
      </c>
      <c r="E147" s="49">
        <f>VLOOKUP($A147,'Data shares'!$C:$FB,67)</f>
        <v>3785600</v>
      </c>
      <c r="F147" s="50">
        <f>VLOOKUP($A147,'Data shares'!$C:$FB,69)*100</f>
        <v>13.309999999999999</v>
      </c>
      <c r="G147" s="49">
        <f>VLOOKUP($A147,'Data shares'!$C:$FB,42)</f>
        <v>271050</v>
      </c>
      <c r="H147" s="49">
        <f>VLOOKUP($A147,'Data shares'!$C:$FB,43)</f>
        <v>298050</v>
      </c>
      <c r="I147" s="50">
        <f>VLOOKUP($A147,'Data shares'!$C:$FB,45)*100</f>
        <v>-9.06</v>
      </c>
      <c r="J147" s="49">
        <f>VLOOKUP($A147,'Data shares'!$C:$FB,58)</f>
        <v>2671900</v>
      </c>
      <c r="K147" s="49">
        <f>VLOOKUP($A147,'Data shares'!$C:$FB,59)</f>
        <v>2429600</v>
      </c>
      <c r="L147" s="50">
        <f>VLOOKUP($A147,'Data shares'!$C:$FB,61)*100</f>
        <v>9.9699999999999989</v>
      </c>
      <c r="M147" s="49">
        <f>VLOOKUP($A147,'Data shares'!$C:$FB,62)</f>
        <v>1346400</v>
      </c>
      <c r="N147" s="49">
        <f>VLOOKUP($A147,'Data shares'!$C:$FB,63)</f>
        <v>1057950</v>
      </c>
      <c r="O147" s="140">
        <f>VLOOKUP($A147,'Data shares'!$C:$FB,65)*100</f>
        <v>27.26</v>
      </c>
    </row>
    <row r="148" spans="1:15" x14ac:dyDescent="0.25">
      <c r="A148" s="101" t="str">
        <f>'Data shares'!C143</f>
        <v>MAXHEALTH</v>
      </c>
      <c r="B148" s="50">
        <f>VLOOKUP($A148,'Data shares'!$C:$FB,7)</f>
        <v>1218.8</v>
      </c>
      <c r="C148" s="50">
        <f>VLOOKUP($A148,'Data shares'!$C:$FB,10)*100</f>
        <v>0.05</v>
      </c>
      <c r="D148" s="49">
        <f>VLOOKUP($A148,'Data shares'!$C:$FB,66)</f>
        <v>4248825</v>
      </c>
      <c r="E148" s="49">
        <f>VLOOKUP($A148,'Data shares'!$C:$FB,67)</f>
        <v>7358925</v>
      </c>
      <c r="F148" s="50">
        <f>VLOOKUP($A148,'Data shares'!$C:$FB,69)*100</f>
        <v>-42.26</v>
      </c>
      <c r="G148" s="49">
        <f>VLOOKUP($A148,'Data shares'!$C:$FB,42)</f>
        <v>1348200</v>
      </c>
      <c r="H148" s="49">
        <f>VLOOKUP($A148,'Data shares'!$C:$FB,43)</f>
        <v>2415525</v>
      </c>
      <c r="I148" s="50">
        <f>VLOOKUP($A148,'Data shares'!$C:$FB,45)*100</f>
        <v>-44.190000000000005</v>
      </c>
      <c r="J148" s="49">
        <f>VLOOKUP($A148,'Data shares'!$C:$FB,58)</f>
        <v>2256450</v>
      </c>
      <c r="K148" s="49">
        <f>VLOOKUP($A148,'Data shares'!$C:$FB,59)</f>
        <v>3445050</v>
      </c>
      <c r="L148" s="50">
        <f>VLOOKUP($A148,'Data shares'!$C:$FB,61)*100</f>
        <v>-34.5</v>
      </c>
      <c r="M148" s="49">
        <f>VLOOKUP($A148,'Data shares'!$C:$FB,62)</f>
        <v>644175</v>
      </c>
      <c r="N148" s="49">
        <f>VLOOKUP($A148,'Data shares'!$C:$FB,63)</f>
        <v>1498350</v>
      </c>
      <c r="O148" s="140">
        <f>VLOOKUP($A148,'Data shares'!$C:$FB,65)*100</f>
        <v>-57.010000000000005</v>
      </c>
    </row>
    <row r="149" spans="1:15" x14ac:dyDescent="0.25">
      <c r="A149" s="101" t="str">
        <f>'Data shares'!C144</f>
        <v>MAZDOCK</v>
      </c>
      <c r="B149" s="50">
        <f>VLOOKUP($A149,'Data shares'!$C:$FB,7)</f>
        <v>2921.8</v>
      </c>
      <c r="C149" s="50">
        <f>VLOOKUP($A149,'Data shares'!$C:$FB,10)*100</f>
        <v>-1.01</v>
      </c>
      <c r="D149" s="49">
        <f>VLOOKUP($A149,'Data shares'!$C:$FB,66)</f>
        <v>5828375</v>
      </c>
      <c r="E149" s="49">
        <f>VLOOKUP($A149,'Data shares'!$C:$FB,67)</f>
        <v>4972800</v>
      </c>
      <c r="F149" s="50">
        <f>VLOOKUP($A149,'Data shares'!$C:$FB,69)*100</f>
        <v>17.21</v>
      </c>
      <c r="G149" s="49">
        <f>VLOOKUP($A149,'Data shares'!$C:$FB,42)</f>
        <v>731150</v>
      </c>
      <c r="H149" s="49">
        <f>VLOOKUP($A149,'Data shares'!$C:$FB,43)</f>
        <v>775425</v>
      </c>
      <c r="I149" s="50">
        <f>VLOOKUP($A149,'Data shares'!$C:$FB,45)*100</f>
        <v>-5.71</v>
      </c>
      <c r="J149" s="49">
        <f>VLOOKUP($A149,'Data shares'!$C:$FB,58)</f>
        <v>4189850</v>
      </c>
      <c r="K149" s="49">
        <f>VLOOKUP($A149,'Data shares'!$C:$FB,59)</f>
        <v>3350025</v>
      </c>
      <c r="L149" s="50">
        <f>VLOOKUP($A149,'Data shares'!$C:$FB,61)*100</f>
        <v>25.069999999999997</v>
      </c>
      <c r="M149" s="49">
        <f>VLOOKUP($A149,'Data shares'!$C:$FB,62)</f>
        <v>907375</v>
      </c>
      <c r="N149" s="49">
        <f>VLOOKUP($A149,'Data shares'!$C:$FB,63)</f>
        <v>847350</v>
      </c>
      <c r="O149" s="140">
        <f>VLOOKUP($A149,'Data shares'!$C:$FB,65)*100</f>
        <v>7.08</v>
      </c>
    </row>
    <row r="150" spans="1:15" x14ac:dyDescent="0.25">
      <c r="A150" s="101" t="str">
        <f>'Data shares'!C145</f>
        <v>MCX</v>
      </c>
      <c r="B150" s="50">
        <f>VLOOKUP($A150,'Data shares'!$C:$FB,7)</f>
        <v>8153.5</v>
      </c>
      <c r="C150" s="50">
        <f>VLOOKUP($A150,'Data shares'!$C:$FB,10)*100</f>
        <v>-1.1599999999999999</v>
      </c>
      <c r="D150" s="49">
        <f>VLOOKUP($A150,'Data shares'!$C:$FB,66)</f>
        <v>6019500</v>
      </c>
      <c r="E150" s="49">
        <f>VLOOKUP($A150,'Data shares'!$C:$FB,67)</f>
        <v>6146375</v>
      </c>
      <c r="F150" s="50">
        <f>VLOOKUP($A150,'Data shares'!$C:$FB,69)*100</f>
        <v>-2.06</v>
      </c>
      <c r="G150" s="49">
        <f>VLOOKUP($A150,'Data shares'!$C:$FB,42)</f>
        <v>613000</v>
      </c>
      <c r="H150" s="49">
        <f>VLOOKUP($A150,'Data shares'!$C:$FB,43)</f>
        <v>599625</v>
      </c>
      <c r="I150" s="50">
        <f>VLOOKUP($A150,'Data shares'!$C:$FB,45)*100</f>
        <v>2.23</v>
      </c>
      <c r="J150" s="49">
        <f>VLOOKUP($A150,'Data shares'!$C:$FB,58)</f>
        <v>3902375</v>
      </c>
      <c r="K150" s="49">
        <f>VLOOKUP($A150,'Data shares'!$C:$FB,59)</f>
        <v>3813625</v>
      </c>
      <c r="L150" s="50">
        <f>VLOOKUP($A150,'Data shares'!$C:$FB,61)*100</f>
        <v>2.33</v>
      </c>
      <c r="M150" s="49">
        <f>VLOOKUP($A150,'Data shares'!$C:$FB,62)</f>
        <v>1504125</v>
      </c>
      <c r="N150" s="49">
        <f>VLOOKUP($A150,'Data shares'!$C:$FB,63)</f>
        <v>1733125</v>
      </c>
      <c r="O150" s="140">
        <f>VLOOKUP($A150,'Data shares'!$C:$FB,65)*100</f>
        <v>-13.209999999999999</v>
      </c>
    </row>
    <row r="151" spans="1:15" x14ac:dyDescent="0.25">
      <c r="A151" s="101" t="str">
        <f>'Data shares'!C146</f>
        <v>MFSL</v>
      </c>
      <c r="B151" s="50">
        <f>VLOOKUP($A151,'Data shares'!$C:$FB,7)</f>
        <v>1562.4</v>
      </c>
      <c r="C151" s="50">
        <f>VLOOKUP($A151,'Data shares'!$C:$FB,10)*100</f>
        <v>1.34</v>
      </c>
      <c r="D151" s="49">
        <f>VLOOKUP($A151,'Data shares'!$C:$FB,66)</f>
        <v>8608800</v>
      </c>
      <c r="E151" s="49">
        <f>VLOOKUP($A151,'Data shares'!$C:$FB,67)</f>
        <v>2521600</v>
      </c>
      <c r="F151" s="50">
        <f>VLOOKUP($A151,'Data shares'!$C:$FB,69)*100</f>
        <v>241.4</v>
      </c>
      <c r="G151" s="49">
        <f>VLOOKUP($A151,'Data shares'!$C:$FB,42)</f>
        <v>2384800</v>
      </c>
      <c r="H151" s="49">
        <f>VLOOKUP($A151,'Data shares'!$C:$FB,43)</f>
        <v>690400</v>
      </c>
      <c r="I151" s="50">
        <f>VLOOKUP($A151,'Data shares'!$C:$FB,45)*100</f>
        <v>245.42000000000002</v>
      </c>
      <c r="J151" s="49">
        <f>VLOOKUP($A151,'Data shares'!$C:$FB,58)</f>
        <v>4478400</v>
      </c>
      <c r="K151" s="49">
        <f>VLOOKUP($A151,'Data shares'!$C:$FB,59)</f>
        <v>1288800</v>
      </c>
      <c r="L151" s="50">
        <f>VLOOKUP($A151,'Data shares'!$C:$FB,61)*100</f>
        <v>247.48999999999998</v>
      </c>
      <c r="M151" s="49">
        <f>VLOOKUP($A151,'Data shares'!$C:$FB,62)</f>
        <v>1745600</v>
      </c>
      <c r="N151" s="49">
        <f>VLOOKUP($A151,'Data shares'!$C:$FB,63)</f>
        <v>542400</v>
      </c>
      <c r="O151" s="140">
        <f>VLOOKUP($A151,'Data shares'!$C:$FB,65)*100</f>
        <v>221.83</v>
      </c>
    </row>
    <row r="152" spans="1:15" x14ac:dyDescent="0.25">
      <c r="A152" s="101" t="str">
        <f>'Data shares'!C147</f>
        <v>MGL</v>
      </c>
      <c r="B152" s="50">
        <f>VLOOKUP($A152,'Data shares'!$C:$FB,7)</f>
        <v>1486.3</v>
      </c>
      <c r="C152" s="50">
        <f>VLOOKUP($A152,'Data shares'!$C:$FB,10)*100</f>
        <v>-1.72</v>
      </c>
      <c r="D152" s="49">
        <f>VLOOKUP($A152,'Data shares'!$C:$FB,66)</f>
        <v>36189200</v>
      </c>
      <c r="E152" s="49">
        <f>VLOOKUP($A152,'Data shares'!$C:$FB,67)</f>
        <v>1425200</v>
      </c>
      <c r="F152" s="50">
        <f>VLOOKUP($A152,'Data shares'!$C:$FB,69)*100</f>
        <v>2439.2399999999998</v>
      </c>
      <c r="G152" s="49">
        <f>VLOOKUP($A152,'Data shares'!$C:$FB,42)</f>
        <v>3992400</v>
      </c>
      <c r="H152" s="49">
        <f>VLOOKUP($A152,'Data shares'!$C:$FB,43)</f>
        <v>277200</v>
      </c>
      <c r="I152" s="50">
        <f>VLOOKUP($A152,'Data shares'!$C:$FB,45)*100</f>
        <v>1340.26</v>
      </c>
      <c r="J152" s="49">
        <f>VLOOKUP($A152,'Data shares'!$C:$FB,58)</f>
        <v>22525200</v>
      </c>
      <c r="K152" s="49">
        <f>VLOOKUP($A152,'Data shares'!$C:$FB,59)</f>
        <v>697600</v>
      </c>
      <c r="L152" s="50">
        <f>VLOOKUP($A152,'Data shares'!$C:$FB,61)*100</f>
        <v>3128.96</v>
      </c>
      <c r="M152" s="49">
        <f>VLOOKUP($A152,'Data shares'!$C:$FB,62)</f>
        <v>9671600</v>
      </c>
      <c r="N152" s="49">
        <f>VLOOKUP($A152,'Data shares'!$C:$FB,63)</f>
        <v>450400</v>
      </c>
      <c r="O152" s="140">
        <f>VLOOKUP($A152,'Data shares'!$C:$FB,65)*100</f>
        <v>2047.3400000000001</v>
      </c>
    </row>
    <row r="153" spans="1:15" x14ac:dyDescent="0.25">
      <c r="A153" s="101" t="str">
        <f>'Data shares'!C148</f>
        <v>MIDCPNIFTY</v>
      </c>
      <c r="B153" s="50">
        <f>VLOOKUP($A153,'Data shares'!$C:$FB,7)</f>
        <v>13206.6</v>
      </c>
      <c r="C153" s="50">
        <f>VLOOKUP($A153,'Data shares'!$C:$FB,10)*100</f>
        <v>-0.71000000000000008</v>
      </c>
      <c r="D153" s="49">
        <f>VLOOKUP($A153,'Data shares'!$C:$FB,66)</f>
        <v>49681240</v>
      </c>
      <c r="E153" s="49">
        <f>VLOOKUP($A153,'Data shares'!$C:$FB,67)</f>
        <v>46251660</v>
      </c>
      <c r="F153" s="50">
        <f>VLOOKUP($A153,'Data shares'!$C:$FB,69)*100</f>
        <v>7.42</v>
      </c>
      <c r="G153" s="49">
        <f>VLOOKUP($A153,'Data shares'!$C:$FB,42)</f>
        <v>418180</v>
      </c>
      <c r="H153" s="49">
        <f>VLOOKUP($A153,'Data shares'!$C:$FB,43)</f>
        <v>506380</v>
      </c>
      <c r="I153" s="50">
        <f>VLOOKUP($A153,'Data shares'!$C:$FB,45)*100</f>
        <v>-17.419999999999998</v>
      </c>
      <c r="J153" s="49">
        <f>VLOOKUP($A153,'Data shares'!$C:$FB,58)</f>
        <v>26659220</v>
      </c>
      <c r="K153" s="49">
        <f>VLOOKUP($A153,'Data shares'!$C:$FB,59)</f>
        <v>24054800</v>
      </c>
      <c r="L153" s="50">
        <f>VLOOKUP($A153,'Data shares'!$C:$FB,61)*100</f>
        <v>10.83</v>
      </c>
      <c r="M153" s="49">
        <f>VLOOKUP($A153,'Data shares'!$C:$FB,62)</f>
        <v>22603840</v>
      </c>
      <c r="N153" s="49">
        <f>VLOOKUP($A153,'Data shares'!$C:$FB,63)</f>
        <v>21690480</v>
      </c>
      <c r="O153" s="140">
        <f>VLOOKUP($A153,'Data shares'!$C:$FB,65)*100</f>
        <v>4.21</v>
      </c>
    </row>
    <row r="154" spans="1:15" x14ac:dyDescent="0.25">
      <c r="A154" s="101" t="str">
        <f>'Data shares'!C149</f>
        <v>MOTHERSON</v>
      </c>
      <c r="B154" s="50">
        <f>VLOOKUP($A154,'Data shares'!$C:$FB,7)</f>
        <v>97.24</v>
      </c>
      <c r="C154" s="50">
        <f>VLOOKUP($A154,'Data shares'!$C:$FB,10)*100</f>
        <v>-3.54</v>
      </c>
      <c r="D154" s="49">
        <f>VLOOKUP($A154,'Data shares'!$C:$FB,66)</f>
        <v>101253600</v>
      </c>
      <c r="E154" s="49">
        <f>VLOOKUP($A154,'Data shares'!$C:$FB,67)</f>
        <v>59907150</v>
      </c>
      <c r="F154" s="50">
        <f>VLOOKUP($A154,'Data shares'!$C:$FB,69)*100</f>
        <v>69.02000000000001</v>
      </c>
      <c r="G154" s="49">
        <f>VLOOKUP($A154,'Data shares'!$C:$FB,42)</f>
        <v>21875550</v>
      </c>
      <c r="H154" s="49">
        <f>VLOOKUP($A154,'Data shares'!$C:$FB,43)</f>
        <v>14415600</v>
      </c>
      <c r="I154" s="50">
        <f>VLOOKUP($A154,'Data shares'!$C:$FB,45)*100</f>
        <v>51.749999999999993</v>
      </c>
      <c r="J154" s="49">
        <f>VLOOKUP($A154,'Data shares'!$C:$FB,58)</f>
        <v>51819900</v>
      </c>
      <c r="K154" s="49">
        <f>VLOOKUP($A154,'Data shares'!$C:$FB,59)</f>
        <v>32841000</v>
      </c>
      <c r="L154" s="50">
        <f>VLOOKUP($A154,'Data shares'!$C:$FB,61)*100</f>
        <v>57.79</v>
      </c>
      <c r="M154" s="49">
        <f>VLOOKUP($A154,'Data shares'!$C:$FB,62)</f>
        <v>27558150</v>
      </c>
      <c r="N154" s="49">
        <f>VLOOKUP($A154,'Data shares'!$C:$FB,63)</f>
        <v>12650550</v>
      </c>
      <c r="O154" s="140">
        <f>VLOOKUP($A154,'Data shares'!$C:$FB,65)*100</f>
        <v>117.83999999999999</v>
      </c>
    </row>
    <row r="155" spans="1:15" x14ac:dyDescent="0.25">
      <c r="A155" s="101" t="str">
        <f>'Data shares'!C150</f>
        <v>MPHASIS</v>
      </c>
      <c r="B155" s="50">
        <f>VLOOKUP($A155,'Data shares'!$C:$FB,7)</f>
        <v>2777.2</v>
      </c>
      <c r="C155" s="50">
        <f>VLOOKUP($A155,'Data shares'!$C:$FB,10)*100</f>
        <v>-0.91999999999999993</v>
      </c>
      <c r="D155" s="49">
        <f>VLOOKUP($A155,'Data shares'!$C:$FB,66)</f>
        <v>1402225</v>
      </c>
      <c r="E155" s="49">
        <f>VLOOKUP($A155,'Data shares'!$C:$FB,67)</f>
        <v>2134825</v>
      </c>
      <c r="F155" s="50">
        <f>VLOOKUP($A155,'Data shares'!$C:$FB,69)*100</f>
        <v>-34.32</v>
      </c>
      <c r="G155" s="49">
        <f>VLOOKUP($A155,'Data shares'!$C:$FB,42)</f>
        <v>757075</v>
      </c>
      <c r="H155" s="49">
        <f>VLOOKUP($A155,'Data shares'!$C:$FB,43)</f>
        <v>1089275</v>
      </c>
      <c r="I155" s="50">
        <f>VLOOKUP($A155,'Data shares'!$C:$FB,45)*100</f>
        <v>-30.5</v>
      </c>
      <c r="J155" s="49">
        <f>VLOOKUP($A155,'Data shares'!$C:$FB,58)</f>
        <v>389675</v>
      </c>
      <c r="K155" s="49">
        <f>VLOOKUP($A155,'Data shares'!$C:$FB,59)</f>
        <v>668800</v>
      </c>
      <c r="L155" s="50">
        <f>VLOOKUP($A155,'Data shares'!$C:$FB,61)*100</f>
        <v>-41.74</v>
      </c>
      <c r="M155" s="49">
        <f>VLOOKUP($A155,'Data shares'!$C:$FB,62)</f>
        <v>255475</v>
      </c>
      <c r="N155" s="49">
        <f>VLOOKUP($A155,'Data shares'!$C:$FB,63)</f>
        <v>376750</v>
      </c>
      <c r="O155" s="140">
        <f>VLOOKUP($A155,'Data shares'!$C:$FB,65)*100</f>
        <v>-32.190000000000005</v>
      </c>
    </row>
    <row r="156" spans="1:15" x14ac:dyDescent="0.25">
      <c r="A156" s="101" t="str">
        <f>'Data shares'!C151</f>
        <v>MUTHOOTFIN</v>
      </c>
      <c r="B156" s="50">
        <f>VLOOKUP($A156,'Data shares'!$C:$FB,7)</f>
        <v>2674.3</v>
      </c>
      <c r="C156" s="50">
        <f>VLOOKUP($A156,'Data shares'!$C:$FB,10)*100</f>
        <v>-0.33</v>
      </c>
      <c r="D156" s="49">
        <f>VLOOKUP($A156,'Data shares'!$C:$FB,66)</f>
        <v>3028300</v>
      </c>
      <c r="E156" s="49">
        <f>VLOOKUP($A156,'Data shares'!$C:$FB,67)</f>
        <v>7370550</v>
      </c>
      <c r="F156" s="50">
        <f>VLOOKUP($A156,'Data shares'!$C:$FB,69)*100</f>
        <v>-58.91</v>
      </c>
      <c r="G156" s="49">
        <f>VLOOKUP($A156,'Data shares'!$C:$FB,42)</f>
        <v>754050</v>
      </c>
      <c r="H156" s="49">
        <f>VLOOKUP($A156,'Data shares'!$C:$FB,43)</f>
        <v>1233650</v>
      </c>
      <c r="I156" s="50">
        <f>VLOOKUP($A156,'Data shares'!$C:$FB,45)*100</f>
        <v>-38.879999999999995</v>
      </c>
      <c r="J156" s="49">
        <f>VLOOKUP($A156,'Data shares'!$C:$FB,58)</f>
        <v>1605175</v>
      </c>
      <c r="K156" s="49">
        <f>VLOOKUP($A156,'Data shares'!$C:$FB,59)</f>
        <v>4893625</v>
      </c>
      <c r="L156" s="50">
        <f>VLOOKUP($A156,'Data shares'!$C:$FB,61)*100</f>
        <v>-67.2</v>
      </c>
      <c r="M156" s="49">
        <f>VLOOKUP($A156,'Data shares'!$C:$FB,62)</f>
        <v>669075</v>
      </c>
      <c r="N156" s="49">
        <f>VLOOKUP($A156,'Data shares'!$C:$FB,63)</f>
        <v>1243275</v>
      </c>
      <c r="O156" s="140">
        <f>VLOOKUP($A156,'Data shares'!$C:$FB,65)*100</f>
        <v>-46.18</v>
      </c>
    </row>
    <row r="157" spans="1:15" x14ac:dyDescent="0.25">
      <c r="A157" s="101" t="str">
        <f>'Data shares'!C152</f>
        <v>NATIONALUM</v>
      </c>
      <c r="B157" s="50">
        <f>VLOOKUP($A157,'Data shares'!$C:$FB,7)</f>
        <v>196.69</v>
      </c>
      <c r="C157" s="50">
        <f>VLOOKUP($A157,'Data shares'!$C:$FB,10)*100</f>
        <v>0.86999999999999988</v>
      </c>
      <c r="D157" s="49">
        <f>VLOOKUP($A157,'Data shares'!$C:$FB,66)</f>
        <v>76912500</v>
      </c>
      <c r="E157" s="49">
        <f>VLOOKUP($A157,'Data shares'!$C:$FB,67)</f>
        <v>168461250</v>
      </c>
      <c r="F157" s="50">
        <f>VLOOKUP($A157,'Data shares'!$C:$FB,69)*100</f>
        <v>-54.339999999999996</v>
      </c>
      <c r="G157" s="49">
        <f>VLOOKUP($A157,'Data shares'!$C:$FB,42)</f>
        <v>20062500</v>
      </c>
      <c r="H157" s="49">
        <f>VLOOKUP($A157,'Data shares'!$C:$FB,43)</f>
        <v>40398750</v>
      </c>
      <c r="I157" s="50">
        <f>VLOOKUP($A157,'Data shares'!$C:$FB,45)*100</f>
        <v>-50.339999999999996</v>
      </c>
      <c r="J157" s="49">
        <f>VLOOKUP($A157,'Data shares'!$C:$FB,58)</f>
        <v>38418750</v>
      </c>
      <c r="K157" s="49">
        <f>VLOOKUP($A157,'Data shares'!$C:$FB,59)</f>
        <v>87453750</v>
      </c>
      <c r="L157" s="50">
        <f>VLOOKUP($A157,'Data shares'!$C:$FB,61)*100</f>
        <v>-56.07</v>
      </c>
      <c r="M157" s="49">
        <f>VLOOKUP($A157,'Data shares'!$C:$FB,62)</f>
        <v>18431250</v>
      </c>
      <c r="N157" s="49">
        <f>VLOOKUP($A157,'Data shares'!$C:$FB,63)</f>
        <v>40608750</v>
      </c>
      <c r="O157" s="140">
        <f>VLOOKUP($A157,'Data shares'!$C:$FB,65)*100</f>
        <v>-54.61</v>
      </c>
    </row>
    <row r="158" spans="1:15" x14ac:dyDescent="0.25">
      <c r="A158" s="101" t="str">
        <f>'Data shares'!C153</f>
        <v>NAUKRI</v>
      </c>
      <c r="B158" s="50">
        <f>VLOOKUP($A158,'Data shares'!$C:$FB,7)</f>
        <v>1458.8</v>
      </c>
      <c r="C158" s="50">
        <f>VLOOKUP($A158,'Data shares'!$C:$FB,10)*100</f>
        <v>4.21</v>
      </c>
      <c r="D158" s="49">
        <f>VLOOKUP($A158,'Data shares'!$C:$FB,66)</f>
        <v>29693625</v>
      </c>
      <c r="E158" s="49">
        <f>VLOOKUP($A158,'Data shares'!$C:$FB,67)</f>
        <v>5072250</v>
      </c>
      <c r="F158" s="50">
        <f>VLOOKUP($A158,'Data shares'!$C:$FB,69)*100</f>
        <v>485.40999999999997</v>
      </c>
      <c r="G158" s="49">
        <f>VLOOKUP($A158,'Data shares'!$C:$FB,42)</f>
        <v>4433625</v>
      </c>
      <c r="H158" s="49">
        <f>VLOOKUP($A158,'Data shares'!$C:$FB,43)</f>
        <v>1297500</v>
      </c>
      <c r="I158" s="50">
        <f>VLOOKUP($A158,'Data shares'!$C:$FB,45)*100</f>
        <v>241.71</v>
      </c>
      <c r="J158" s="49">
        <f>VLOOKUP($A158,'Data shares'!$C:$FB,58)</f>
        <v>19377000</v>
      </c>
      <c r="K158" s="49">
        <f>VLOOKUP($A158,'Data shares'!$C:$FB,59)</f>
        <v>2947875</v>
      </c>
      <c r="L158" s="50">
        <f>VLOOKUP($A158,'Data shares'!$C:$FB,61)*100</f>
        <v>557.31999999999994</v>
      </c>
      <c r="M158" s="49">
        <f>VLOOKUP($A158,'Data shares'!$C:$FB,62)</f>
        <v>5883000</v>
      </c>
      <c r="N158" s="49">
        <f>VLOOKUP($A158,'Data shares'!$C:$FB,63)</f>
        <v>826875</v>
      </c>
      <c r="O158" s="140">
        <f>VLOOKUP($A158,'Data shares'!$C:$FB,65)*100</f>
        <v>611.47</v>
      </c>
    </row>
    <row r="159" spans="1:15" x14ac:dyDescent="0.25">
      <c r="A159" s="101" t="str">
        <f>'Data shares'!C154</f>
        <v>NBCC</v>
      </c>
      <c r="B159" s="50">
        <f>VLOOKUP($A159,'Data shares'!$C:$FB,7)</f>
        <v>114.58</v>
      </c>
      <c r="C159" s="50">
        <f>VLOOKUP($A159,'Data shares'!$C:$FB,10)*100</f>
        <v>-0.63</v>
      </c>
      <c r="D159" s="49">
        <f>VLOOKUP($A159,'Data shares'!$C:$FB,66)</f>
        <v>23419500</v>
      </c>
      <c r="E159" s="49">
        <f>VLOOKUP($A159,'Data shares'!$C:$FB,67)</f>
        <v>26721500</v>
      </c>
      <c r="F159" s="50">
        <f>VLOOKUP($A159,'Data shares'!$C:$FB,69)*100</f>
        <v>-12.36</v>
      </c>
      <c r="G159" s="49">
        <f>VLOOKUP($A159,'Data shares'!$C:$FB,42)</f>
        <v>10172500</v>
      </c>
      <c r="H159" s="49">
        <f>VLOOKUP($A159,'Data shares'!$C:$FB,43)</f>
        <v>9314500</v>
      </c>
      <c r="I159" s="50">
        <f>VLOOKUP($A159,'Data shares'!$C:$FB,45)*100</f>
        <v>9.2100000000000009</v>
      </c>
      <c r="J159" s="49">
        <f>VLOOKUP($A159,'Data shares'!$C:$FB,58)</f>
        <v>9587500</v>
      </c>
      <c r="K159" s="49">
        <f>VLOOKUP($A159,'Data shares'!$C:$FB,59)</f>
        <v>13292500</v>
      </c>
      <c r="L159" s="50">
        <f>VLOOKUP($A159,'Data shares'!$C:$FB,61)*100</f>
        <v>-27.87</v>
      </c>
      <c r="M159" s="49">
        <f>VLOOKUP($A159,'Data shares'!$C:$FB,62)</f>
        <v>3659500</v>
      </c>
      <c r="N159" s="49">
        <f>VLOOKUP($A159,'Data shares'!$C:$FB,63)</f>
        <v>4114500</v>
      </c>
      <c r="O159" s="140">
        <f>VLOOKUP($A159,'Data shares'!$C:$FB,65)*100</f>
        <v>-11.06</v>
      </c>
    </row>
    <row r="160" spans="1:15" x14ac:dyDescent="0.25">
      <c r="A160" s="101" t="str">
        <f>'Data shares'!C155</f>
        <v>NCC</v>
      </c>
      <c r="B160" s="50">
        <f>VLOOKUP($A160,'Data shares'!$C:$FB,7)</f>
        <v>227.42</v>
      </c>
      <c r="C160" s="50">
        <f>VLOOKUP($A160,'Data shares'!$C:$FB,10)*100</f>
        <v>-0.09</v>
      </c>
      <c r="D160" s="49">
        <f>VLOOKUP($A160,'Data shares'!$C:$FB,66)</f>
        <v>10827000</v>
      </c>
      <c r="E160" s="49">
        <f>VLOOKUP($A160,'Data shares'!$C:$FB,67)</f>
        <v>11709900</v>
      </c>
      <c r="F160" s="50">
        <f>VLOOKUP($A160,'Data shares'!$C:$FB,69)*100</f>
        <v>-7.5399999999999991</v>
      </c>
      <c r="G160" s="49">
        <f>VLOOKUP($A160,'Data shares'!$C:$FB,42)</f>
        <v>2864700</v>
      </c>
      <c r="H160" s="49">
        <f>VLOOKUP($A160,'Data shares'!$C:$FB,43)</f>
        <v>2700000</v>
      </c>
      <c r="I160" s="50">
        <f>VLOOKUP($A160,'Data shares'!$C:$FB,45)*100</f>
        <v>6.1</v>
      </c>
      <c r="J160" s="49">
        <f>VLOOKUP($A160,'Data shares'!$C:$FB,58)</f>
        <v>6239700</v>
      </c>
      <c r="K160" s="49">
        <f>VLOOKUP($A160,'Data shares'!$C:$FB,59)</f>
        <v>7557300</v>
      </c>
      <c r="L160" s="50">
        <f>VLOOKUP($A160,'Data shares'!$C:$FB,61)*100</f>
        <v>-17.43</v>
      </c>
      <c r="M160" s="49">
        <f>VLOOKUP($A160,'Data shares'!$C:$FB,62)</f>
        <v>1722600</v>
      </c>
      <c r="N160" s="49">
        <f>VLOOKUP($A160,'Data shares'!$C:$FB,63)</f>
        <v>1452600</v>
      </c>
      <c r="O160" s="140">
        <f>VLOOKUP($A160,'Data shares'!$C:$FB,65)*100</f>
        <v>18.59</v>
      </c>
    </row>
    <row r="161" spans="1:15" x14ac:dyDescent="0.25">
      <c r="A161" s="101" t="str">
        <f>'Data shares'!C156</f>
        <v>NESTLEIND</v>
      </c>
      <c r="B161" s="50">
        <f>VLOOKUP($A161,'Data shares'!$C:$FB,7)</f>
        <v>2443.5</v>
      </c>
      <c r="C161" s="50">
        <f>VLOOKUP($A161,'Data shares'!$C:$FB,10)*100</f>
        <v>-1.18</v>
      </c>
      <c r="D161" s="49">
        <f>VLOOKUP($A161,'Data shares'!$C:$FB,66)</f>
        <v>3358000</v>
      </c>
      <c r="E161" s="49">
        <f>VLOOKUP($A161,'Data shares'!$C:$FB,67)</f>
        <v>4037750</v>
      </c>
      <c r="F161" s="50">
        <f>VLOOKUP($A161,'Data shares'!$C:$FB,69)*100</f>
        <v>-16.830000000000002</v>
      </c>
      <c r="G161" s="49">
        <f>VLOOKUP($A161,'Data shares'!$C:$FB,42)</f>
        <v>782250</v>
      </c>
      <c r="H161" s="49">
        <f>VLOOKUP($A161,'Data shares'!$C:$FB,43)</f>
        <v>868250</v>
      </c>
      <c r="I161" s="50">
        <f>VLOOKUP($A161,'Data shares'!$C:$FB,45)*100</f>
        <v>-9.9</v>
      </c>
      <c r="J161" s="49">
        <f>VLOOKUP($A161,'Data shares'!$C:$FB,58)</f>
        <v>1435250</v>
      </c>
      <c r="K161" s="49">
        <f>VLOOKUP($A161,'Data shares'!$C:$FB,59)</f>
        <v>1759250</v>
      </c>
      <c r="L161" s="50">
        <f>VLOOKUP($A161,'Data shares'!$C:$FB,61)*100</f>
        <v>-18.420000000000002</v>
      </c>
      <c r="M161" s="49">
        <f>VLOOKUP($A161,'Data shares'!$C:$FB,62)</f>
        <v>1140500</v>
      </c>
      <c r="N161" s="49">
        <f>VLOOKUP($A161,'Data shares'!$C:$FB,63)</f>
        <v>1410250</v>
      </c>
      <c r="O161" s="140">
        <f>VLOOKUP($A161,'Data shares'!$C:$FB,65)*100</f>
        <v>-19.13</v>
      </c>
    </row>
    <row r="162" spans="1:15" x14ac:dyDescent="0.25">
      <c r="A162" s="101" t="str">
        <f>'Data shares'!C157</f>
        <v>NHPC</v>
      </c>
      <c r="B162" s="50">
        <f>VLOOKUP($A162,'Data shares'!$C:$FB,7)</f>
        <v>86.33</v>
      </c>
      <c r="C162" s="50">
        <f>VLOOKUP($A162,'Data shares'!$C:$FB,10)*100</f>
        <v>-1.37</v>
      </c>
      <c r="D162" s="49">
        <f>VLOOKUP($A162,'Data shares'!$C:$FB,66)</f>
        <v>17856000</v>
      </c>
      <c r="E162" s="49">
        <f>VLOOKUP($A162,'Data shares'!$C:$FB,67)</f>
        <v>15923200</v>
      </c>
      <c r="F162" s="50">
        <f>VLOOKUP($A162,'Data shares'!$C:$FB,69)*100</f>
        <v>12.139999999999999</v>
      </c>
      <c r="G162" s="49">
        <f>VLOOKUP($A162,'Data shares'!$C:$FB,42)</f>
        <v>5440000</v>
      </c>
      <c r="H162" s="49">
        <f>VLOOKUP($A162,'Data shares'!$C:$FB,43)</f>
        <v>5260800</v>
      </c>
      <c r="I162" s="50">
        <f>VLOOKUP($A162,'Data shares'!$C:$FB,45)*100</f>
        <v>3.4099999999999997</v>
      </c>
      <c r="J162" s="49">
        <f>VLOOKUP($A162,'Data shares'!$C:$FB,58)</f>
        <v>9747200</v>
      </c>
      <c r="K162" s="49">
        <f>VLOOKUP($A162,'Data shares'!$C:$FB,59)</f>
        <v>6854400</v>
      </c>
      <c r="L162" s="50">
        <f>VLOOKUP($A162,'Data shares'!$C:$FB,61)*100</f>
        <v>42.199999999999996</v>
      </c>
      <c r="M162" s="49">
        <f>VLOOKUP($A162,'Data shares'!$C:$FB,62)</f>
        <v>2668800</v>
      </c>
      <c r="N162" s="49">
        <f>VLOOKUP($A162,'Data shares'!$C:$FB,63)</f>
        <v>3808000</v>
      </c>
      <c r="O162" s="140">
        <f>VLOOKUP($A162,'Data shares'!$C:$FB,65)*100</f>
        <v>-29.92</v>
      </c>
    </row>
    <row r="163" spans="1:15" x14ac:dyDescent="0.25">
      <c r="A163" s="101" t="str">
        <f>'Data shares'!C158</f>
        <v>NIFTY</v>
      </c>
      <c r="B163" s="50">
        <f>VLOOKUP($A163,'Data shares'!$C:$FB,7)</f>
        <v>25060.9</v>
      </c>
      <c r="C163" s="50">
        <f>VLOOKUP($A163,'Data shares'!$C:$FB,10)*100</f>
        <v>-0.12</v>
      </c>
      <c r="D163" s="49">
        <f>VLOOKUP($A163,'Data shares'!$C:$FB,66)</f>
        <v>4058586525</v>
      </c>
      <c r="E163" s="49">
        <f>VLOOKUP($A163,'Data shares'!$C:$FB,67)</f>
        <v>4539389250</v>
      </c>
      <c r="F163" s="50">
        <f>VLOOKUP($A163,'Data shares'!$C:$FB,69)*100</f>
        <v>-10.59</v>
      </c>
      <c r="G163" s="49">
        <f>VLOOKUP($A163,'Data shares'!$C:$FB,42)</f>
        <v>3567075</v>
      </c>
      <c r="H163" s="49">
        <f>VLOOKUP($A163,'Data shares'!$C:$FB,43)</f>
        <v>4995750</v>
      </c>
      <c r="I163" s="50">
        <f>VLOOKUP($A163,'Data shares'!$C:$FB,45)*100</f>
        <v>-28.599999999999998</v>
      </c>
      <c r="J163" s="49">
        <f>VLOOKUP($A163,'Data shares'!$C:$FB,58)</f>
        <v>2047297725</v>
      </c>
      <c r="K163" s="49">
        <f>VLOOKUP($A163,'Data shares'!$C:$FB,59)</f>
        <v>2450272125</v>
      </c>
      <c r="L163" s="50">
        <f>VLOOKUP($A163,'Data shares'!$C:$FB,61)*100</f>
        <v>-16.45</v>
      </c>
      <c r="M163" s="49">
        <f>VLOOKUP($A163,'Data shares'!$C:$FB,62)</f>
        <v>2007721725</v>
      </c>
      <c r="N163" s="49">
        <f>VLOOKUP($A163,'Data shares'!$C:$FB,63)</f>
        <v>2084121375</v>
      </c>
      <c r="O163" s="140">
        <f>VLOOKUP($A163,'Data shares'!$C:$FB,65)*100</f>
        <v>-3.6700000000000004</v>
      </c>
    </row>
    <row r="164" spans="1:15" x14ac:dyDescent="0.25">
      <c r="A164" s="101" t="str">
        <f>'Data shares'!C159</f>
        <v>NIFTYNXT50</v>
      </c>
      <c r="B164" s="50">
        <f>VLOOKUP($A164,'Data shares'!$C:$FB,7)</f>
        <v>68253.899999999994</v>
      </c>
      <c r="C164" s="50">
        <f>VLOOKUP($A164,'Data shares'!$C:$FB,10)*100</f>
        <v>-0.36</v>
      </c>
      <c r="D164" s="49">
        <f>VLOOKUP($A164,'Data shares'!$C:$FB,66)</f>
        <v>19025</v>
      </c>
      <c r="E164" s="49">
        <f>VLOOKUP($A164,'Data shares'!$C:$FB,67)</f>
        <v>21450</v>
      </c>
      <c r="F164" s="50">
        <f>VLOOKUP($A164,'Data shares'!$C:$FB,69)*100</f>
        <v>-11.31</v>
      </c>
      <c r="G164" s="49">
        <f>VLOOKUP($A164,'Data shares'!$C:$FB,42)</f>
        <v>9200</v>
      </c>
      <c r="H164" s="49">
        <f>VLOOKUP($A164,'Data shares'!$C:$FB,43)</f>
        <v>6275</v>
      </c>
      <c r="I164" s="50">
        <f>VLOOKUP($A164,'Data shares'!$C:$FB,45)*100</f>
        <v>46.61</v>
      </c>
      <c r="J164" s="49">
        <f>VLOOKUP($A164,'Data shares'!$C:$FB,58)</f>
        <v>7175</v>
      </c>
      <c r="K164" s="49">
        <f>VLOOKUP($A164,'Data shares'!$C:$FB,59)</f>
        <v>10450</v>
      </c>
      <c r="L164" s="50">
        <f>VLOOKUP($A164,'Data shares'!$C:$FB,61)*100</f>
        <v>-31.34</v>
      </c>
      <c r="M164" s="49">
        <f>VLOOKUP($A164,'Data shares'!$C:$FB,62)</f>
        <v>2650</v>
      </c>
      <c r="N164" s="49">
        <f>VLOOKUP($A164,'Data shares'!$C:$FB,63)</f>
        <v>4725</v>
      </c>
      <c r="O164" s="140">
        <f>VLOOKUP($A164,'Data shares'!$C:$FB,65)*100</f>
        <v>-43.919999999999995</v>
      </c>
    </row>
    <row r="165" spans="1:15" x14ac:dyDescent="0.25">
      <c r="A165" s="101" t="str">
        <f>'Data shares'!C160</f>
        <v>NMDC</v>
      </c>
      <c r="B165" s="50">
        <f>VLOOKUP($A165,'Data shares'!$C:$FB,7)</f>
        <v>72.14</v>
      </c>
      <c r="C165" s="50">
        <f>VLOOKUP($A165,'Data shares'!$C:$FB,10)*100</f>
        <v>0.32</v>
      </c>
      <c r="D165" s="49">
        <f>VLOOKUP($A165,'Data shares'!$C:$FB,66)</f>
        <v>252976500</v>
      </c>
      <c r="E165" s="49">
        <f>VLOOKUP($A165,'Data shares'!$C:$FB,67)</f>
        <v>248116500</v>
      </c>
      <c r="F165" s="50">
        <f>VLOOKUP($A165,'Data shares'!$C:$FB,69)*100</f>
        <v>1.96</v>
      </c>
      <c r="G165" s="49">
        <f>VLOOKUP($A165,'Data shares'!$C:$FB,42)</f>
        <v>52434000</v>
      </c>
      <c r="H165" s="49">
        <f>VLOOKUP($A165,'Data shares'!$C:$FB,43)</f>
        <v>63909000</v>
      </c>
      <c r="I165" s="50">
        <f>VLOOKUP($A165,'Data shares'!$C:$FB,45)*100</f>
        <v>-17.96</v>
      </c>
      <c r="J165" s="49">
        <f>VLOOKUP($A165,'Data shares'!$C:$FB,58)</f>
        <v>133879500</v>
      </c>
      <c r="K165" s="49">
        <f>VLOOKUP($A165,'Data shares'!$C:$FB,59)</f>
        <v>121891500</v>
      </c>
      <c r="L165" s="50">
        <f>VLOOKUP($A165,'Data shares'!$C:$FB,61)*100</f>
        <v>9.83</v>
      </c>
      <c r="M165" s="49">
        <f>VLOOKUP($A165,'Data shares'!$C:$FB,62)</f>
        <v>66663000</v>
      </c>
      <c r="N165" s="49">
        <f>VLOOKUP($A165,'Data shares'!$C:$FB,63)</f>
        <v>62316000</v>
      </c>
      <c r="O165" s="140">
        <f>VLOOKUP($A165,'Data shares'!$C:$FB,65)*100</f>
        <v>6.98</v>
      </c>
    </row>
    <row r="166" spans="1:15" x14ac:dyDescent="0.25">
      <c r="A166" s="101" t="str">
        <f>'Data shares'!C161</f>
        <v>NTPC</v>
      </c>
      <c r="B166" s="50">
        <f>VLOOKUP($A166,'Data shares'!$C:$FB,7)</f>
        <v>340.85</v>
      </c>
      <c r="C166" s="50">
        <f>VLOOKUP($A166,'Data shares'!$C:$FB,10)*100</f>
        <v>-0.2</v>
      </c>
      <c r="D166" s="49">
        <f>VLOOKUP($A166,'Data shares'!$C:$FB,66)</f>
        <v>47500500</v>
      </c>
      <c r="E166" s="49">
        <f>VLOOKUP($A166,'Data shares'!$C:$FB,67)</f>
        <v>56538000</v>
      </c>
      <c r="F166" s="50">
        <f>VLOOKUP($A166,'Data shares'!$C:$FB,69)*100</f>
        <v>-15.98</v>
      </c>
      <c r="G166" s="49">
        <f>VLOOKUP($A166,'Data shares'!$C:$FB,42)</f>
        <v>6154500</v>
      </c>
      <c r="H166" s="49">
        <f>VLOOKUP($A166,'Data shares'!$C:$FB,43)</f>
        <v>7300500</v>
      </c>
      <c r="I166" s="50">
        <f>VLOOKUP($A166,'Data shares'!$C:$FB,45)*100</f>
        <v>-15.7</v>
      </c>
      <c r="J166" s="49">
        <f>VLOOKUP($A166,'Data shares'!$C:$FB,58)</f>
        <v>28659000</v>
      </c>
      <c r="K166" s="49">
        <f>VLOOKUP($A166,'Data shares'!$C:$FB,59)</f>
        <v>34726500</v>
      </c>
      <c r="L166" s="50">
        <f>VLOOKUP($A166,'Data shares'!$C:$FB,61)*100</f>
        <v>-17.47</v>
      </c>
      <c r="M166" s="49">
        <f>VLOOKUP($A166,'Data shares'!$C:$FB,62)</f>
        <v>12687000</v>
      </c>
      <c r="N166" s="49">
        <f>VLOOKUP($A166,'Data shares'!$C:$FB,63)</f>
        <v>14511000</v>
      </c>
      <c r="O166" s="140">
        <f>VLOOKUP($A166,'Data shares'!$C:$FB,65)*100</f>
        <v>-12.57</v>
      </c>
    </row>
    <row r="167" spans="1:15" x14ac:dyDescent="0.25">
      <c r="A167" s="101" t="str">
        <f>'Data shares'!C162</f>
        <v>NYKAA</v>
      </c>
      <c r="B167" s="50">
        <f>VLOOKUP($A167,'Data shares'!$C:$FB,7)</f>
        <v>220.03</v>
      </c>
      <c r="C167" s="50">
        <f>VLOOKUP($A167,'Data shares'!$C:$FB,10)*100</f>
        <v>2.33</v>
      </c>
      <c r="D167" s="49">
        <f>VLOOKUP($A167,'Data shares'!$C:$FB,66)</f>
        <v>102928125</v>
      </c>
      <c r="E167" s="49">
        <f>VLOOKUP($A167,'Data shares'!$C:$FB,67)</f>
        <v>12946875</v>
      </c>
      <c r="F167" s="50">
        <f>VLOOKUP($A167,'Data shares'!$C:$FB,69)*100</f>
        <v>695</v>
      </c>
      <c r="G167" s="49">
        <f>VLOOKUP($A167,'Data shares'!$C:$FB,42)</f>
        <v>14121875</v>
      </c>
      <c r="H167" s="49">
        <f>VLOOKUP($A167,'Data shares'!$C:$FB,43)</f>
        <v>4468750</v>
      </c>
      <c r="I167" s="50">
        <f>VLOOKUP($A167,'Data shares'!$C:$FB,45)*100</f>
        <v>216.01</v>
      </c>
      <c r="J167" s="49">
        <f>VLOOKUP($A167,'Data shares'!$C:$FB,58)</f>
        <v>73937500</v>
      </c>
      <c r="K167" s="49">
        <f>VLOOKUP($A167,'Data shares'!$C:$FB,59)</f>
        <v>5215625</v>
      </c>
      <c r="L167" s="50">
        <f>VLOOKUP($A167,'Data shares'!$C:$FB,61)*100</f>
        <v>1317.62</v>
      </c>
      <c r="M167" s="49">
        <f>VLOOKUP($A167,'Data shares'!$C:$FB,62)</f>
        <v>14868750</v>
      </c>
      <c r="N167" s="49">
        <f>VLOOKUP($A167,'Data shares'!$C:$FB,63)</f>
        <v>3262500</v>
      </c>
      <c r="O167" s="140">
        <f>VLOOKUP($A167,'Data shares'!$C:$FB,65)*100</f>
        <v>355.75</v>
      </c>
    </row>
    <row r="168" spans="1:15" x14ac:dyDescent="0.25">
      <c r="A168" s="101" t="str">
        <f>'Data shares'!C163</f>
        <v>OBEROIRLTY</v>
      </c>
      <c r="B168" s="50">
        <f>VLOOKUP($A168,'Data shares'!$C:$FB,7)</f>
        <v>1826.2</v>
      </c>
      <c r="C168" s="50">
        <f>VLOOKUP($A168,'Data shares'!$C:$FB,10)*100</f>
        <v>-0.45999999999999996</v>
      </c>
      <c r="D168" s="49">
        <f>VLOOKUP($A168,'Data shares'!$C:$FB,66)</f>
        <v>12149900</v>
      </c>
      <c r="E168" s="49">
        <f>VLOOKUP($A168,'Data shares'!$C:$FB,67)</f>
        <v>5299350</v>
      </c>
      <c r="F168" s="50">
        <f>VLOOKUP($A168,'Data shares'!$C:$FB,69)*100</f>
        <v>129.26999999999998</v>
      </c>
      <c r="G168" s="49">
        <f>VLOOKUP($A168,'Data shares'!$C:$FB,42)</f>
        <v>1811600</v>
      </c>
      <c r="H168" s="49">
        <f>VLOOKUP($A168,'Data shares'!$C:$FB,43)</f>
        <v>788900</v>
      </c>
      <c r="I168" s="50">
        <f>VLOOKUP($A168,'Data shares'!$C:$FB,45)*100</f>
        <v>129.63999999999999</v>
      </c>
      <c r="J168" s="49">
        <f>VLOOKUP($A168,'Data shares'!$C:$FB,58)</f>
        <v>5804750</v>
      </c>
      <c r="K168" s="49">
        <f>VLOOKUP($A168,'Data shares'!$C:$FB,59)</f>
        <v>2571800</v>
      </c>
      <c r="L168" s="50">
        <f>VLOOKUP($A168,'Data shares'!$C:$FB,61)*100</f>
        <v>125.71000000000001</v>
      </c>
      <c r="M168" s="49">
        <f>VLOOKUP($A168,'Data shares'!$C:$FB,62)</f>
        <v>4533550</v>
      </c>
      <c r="N168" s="49">
        <f>VLOOKUP($A168,'Data shares'!$C:$FB,63)</f>
        <v>1938650</v>
      </c>
      <c r="O168" s="140">
        <f>VLOOKUP($A168,'Data shares'!$C:$FB,65)*100</f>
        <v>133.85</v>
      </c>
    </row>
    <row r="169" spans="1:15" x14ac:dyDescent="0.25">
      <c r="A169" s="101" t="str">
        <f>'Data shares'!C164</f>
        <v>OFSS</v>
      </c>
      <c r="B169" s="50">
        <f>VLOOKUP($A169,'Data shares'!$C:$FB,7)</f>
        <v>8707.5</v>
      </c>
      <c r="C169" s="50">
        <f>VLOOKUP($A169,'Data shares'!$C:$FB,10)*100</f>
        <v>-1.29</v>
      </c>
      <c r="D169" s="49">
        <f>VLOOKUP($A169,'Data shares'!$C:$FB,66)</f>
        <v>831150</v>
      </c>
      <c r="E169" s="49">
        <f>VLOOKUP($A169,'Data shares'!$C:$FB,67)</f>
        <v>858450</v>
      </c>
      <c r="F169" s="50">
        <f>VLOOKUP($A169,'Data shares'!$C:$FB,69)*100</f>
        <v>-3.18</v>
      </c>
      <c r="G169" s="49">
        <f>VLOOKUP($A169,'Data shares'!$C:$FB,42)</f>
        <v>194625</v>
      </c>
      <c r="H169" s="49">
        <f>VLOOKUP($A169,'Data shares'!$C:$FB,43)</f>
        <v>190425</v>
      </c>
      <c r="I169" s="50">
        <f>VLOOKUP($A169,'Data shares'!$C:$FB,45)*100</f>
        <v>2.21</v>
      </c>
      <c r="J169" s="49">
        <f>VLOOKUP($A169,'Data shares'!$C:$FB,58)</f>
        <v>421575</v>
      </c>
      <c r="K169" s="49">
        <f>VLOOKUP($A169,'Data shares'!$C:$FB,59)</f>
        <v>474375</v>
      </c>
      <c r="L169" s="50">
        <f>VLOOKUP($A169,'Data shares'!$C:$FB,61)*100</f>
        <v>-11.129999999999999</v>
      </c>
      <c r="M169" s="49">
        <f>VLOOKUP($A169,'Data shares'!$C:$FB,62)</f>
        <v>214950</v>
      </c>
      <c r="N169" s="49">
        <f>VLOOKUP($A169,'Data shares'!$C:$FB,63)</f>
        <v>193650</v>
      </c>
      <c r="O169" s="140">
        <f>VLOOKUP($A169,'Data shares'!$C:$FB,65)*100</f>
        <v>11</v>
      </c>
    </row>
    <row r="170" spans="1:15" x14ac:dyDescent="0.25">
      <c r="A170" s="101" t="str">
        <f>'Data shares'!C165</f>
        <v>OIL</v>
      </c>
      <c r="B170" s="50">
        <f>VLOOKUP($A170,'Data shares'!$C:$FB,7)</f>
        <v>451.35</v>
      </c>
      <c r="C170" s="50">
        <f>VLOOKUP($A170,'Data shares'!$C:$FB,10)*100</f>
        <v>-0.42</v>
      </c>
      <c r="D170" s="49">
        <f>VLOOKUP($A170,'Data shares'!$C:$FB,66)</f>
        <v>9688000</v>
      </c>
      <c r="E170" s="49">
        <f>VLOOKUP($A170,'Data shares'!$C:$FB,67)</f>
        <v>10472000</v>
      </c>
      <c r="F170" s="50">
        <f>VLOOKUP($A170,'Data shares'!$C:$FB,69)*100</f>
        <v>-7.4899999999999993</v>
      </c>
      <c r="G170" s="49">
        <f>VLOOKUP($A170,'Data shares'!$C:$FB,42)</f>
        <v>1629600</v>
      </c>
      <c r="H170" s="49">
        <f>VLOOKUP($A170,'Data shares'!$C:$FB,43)</f>
        <v>2406600</v>
      </c>
      <c r="I170" s="50">
        <f>VLOOKUP($A170,'Data shares'!$C:$FB,45)*100</f>
        <v>-32.29</v>
      </c>
      <c r="J170" s="49">
        <f>VLOOKUP($A170,'Data shares'!$C:$FB,58)</f>
        <v>6123600</v>
      </c>
      <c r="K170" s="49">
        <f>VLOOKUP($A170,'Data shares'!$C:$FB,59)</f>
        <v>5749800</v>
      </c>
      <c r="L170" s="50">
        <f>VLOOKUP($A170,'Data shares'!$C:$FB,61)*100</f>
        <v>6.5</v>
      </c>
      <c r="M170" s="49">
        <f>VLOOKUP($A170,'Data shares'!$C:$FB,62)</f>
        <v>1934800</v>
      </c>
      <c r="N170" s="49">
        <f>VLOOKUP($A170,'Data shares'!$C:$FB,63)</f>
        <v>2315600</v>
      </c>
      <c r="O170" s="140">
        <f>VLOOKUP($A170,'Data shares'!$C:$FB,65)*100</f>
        <v>-16.439999999999998</v>
      </c>
    </row>
    <row r="171" spans="1:15" x14ac:dyDescent="0.25">
      <c r="A171" s="101" t="str">
        <f>'Data shares'!C166</f>
        <v>ONGC</v>
      </c>
      <c r="B171" s="50">
        <f>VLOOKUP($A171,'Data shares'!$C:$FB,7)</f>
        <v>246.41</v>
      </c>
      <c r="C171" s="50">
        <f>VLOOKUP($A171,'Data shares'!$C:$FB,10)*100</f>
        <v>0.55999999999999994</v>
      </c>
      <c r="D171" s="49">
        <f>VLOOKUP($A171,'Data shares'!$C:$FB,66)</f>
        <v>86296500</v>
      </c>
      <c r="E171" s="49">
        <f>VLOOKUP($A171,'Data shares'!$C:$FB,67)</f>
        <v>74907000</v>
      </c>
      <c r="F171" s="50">
        <f>VLOOKUP($A171,'Data shares'!$C:$FB,69)*100</f>
        <v>15.2</v>
      </c>
      <c r="G171" s="49">
        <f>VLOOKUP($A171,'Data shares'!$C:$FB,42)</f>
        <v>11038500</v>
      </c>
      <c r="H171" s="49">
        <f>VLOOKUP($A171,'Data shares'!$C:$FB,43)</f>
        <v>6741000</v>
      </c>
      <c r="I171" s="50">
        <f>VLOOKUP($A171,'Data shares'!$C:$FB,45)*100</f>
        <v>63.749999999999993</v>
      </c>
      <c r="J171" s="49">
        <f>VLOOKUP($A171,'Data shares'!$C:$FB,58)</f>
        <v>52593750</v>
      </c>
      <c r="K171" s="49">
        <f>VLOOKUP($A171,'Data shares'!$C:$FB,59)</f>
        <v>52418250</v>
      </c>
      <c r="L171" s="50">
        <f>VLOOKUP($A171,'Data shares'!$C:$FB,61)*100</f>
        <v>0.33</v>
      </c>
      <c r="M171" s="49">
        <f>VLOOKUP($A171,'Data shares'!$C:$FB,62)</f>
        <v>22664250</v>
      </c>
      <c r="N171" s="49">
        <f>VLOOKUP($A171,'Data shares'!$C:$FB,63)</f>
        <v>15747750</v>
      </c>
      <c r="O171" s="140">
        <f>VLOOKUP($A171,'Data shares'!$C:$FB,65)*100</f>
        <v>43.919999999999995</v>
      </c>
    </row>
    <row r="172" spans="1:15" x14ac:dyDescent="0.25">
      <c r="A172" s="101" t="str">
        <f>'Data shares'!C167</f>
        <v>PAGEIND</v>
      </c>
      <c r="B172" s="50">
        <f>VLOOKUP($A172,'Data shares'!$C:$FB,7)</f>
        <v>46295</v>
      </c>
      <c r="C172" s="50">
        <f>VLOOKUP($A172,'Data shares'!$C:$FB,10)*100</f>
        <v>-0.92999999999999994</v>
      </c>
      <c r="D172" s="49">
        <f>VLOOKUP($A172,'Data shares'!$C:$FB,66)</f>
        <v>169155</v>
      </c>
      <c r="E172" s="49">
        <f>VLOOKUP($A172,'Data shares'!$C:$FB,67)</f>
        <v>139800</v>
      </c>
      <c r="F172" s="50">
        <f>VLOOKUP($A172,'Data shares'!$C:$FB,69)*100</f>
        <v>21</v>
      </c>
      <c r="G172" s="49">
        <f>VLOOKUP($A172,'Data shares'!$C:$FB,42)</f>
        <v>27420</v>
      </c>
      <c r="H172" s="49">
        <f>VLOOKUP($A172,'Data shares'!$C:$FB,43)</f>
        <v>15885</v>
      </c>
      <c r="I172" s="50">
        <f>VLOOKUP($A172,'Data shares'!$C:$FB,45)*100</f>
        <v>72.61999999999999</v>
      </c>
      <c r="J172" s="49">
        <f>VLOOKUP($A172,'Data shares'!$C:$FB,58)</f>
        <v>134220</v>
      </c>
      <c r="K172" s="49">
        <f>VLOOKUP($A172,'Data shares'!$C:$FB,59)</f>
        <v>113880</v>
      </c>
      <c r="L172" s="50">
        <f>VLOOKUP($A172,'Data shares'!$C:$FB,61)*100</f>
        <v>17.86</v>
      </c>
      <c r="M172" s="49">
        <f>VLOOKUP($A172,'Data shares'!$C:$FB,62)</f>
        <v>7515</v>
      </c>
      <c r="N172" s="49">
        <f>VLOOKUP($A172,'Data shares'!$C:$FB,63)</f>
        <v>10035</v>
      </c>
      <c r="O172" s="140">
        <f>VLOOKUP($A172,'Data shares'!$C:$FB,65)*100</f>
        <v>-25.11</v>
      </c>
    </row>
    <row r="173" spans="1:15" x14ac:dyDescent="0.25">
      <c r="A173" s="101" t="str">
        <f>'Data shares'!C168</f>
        <v>PATANJALI</v>
      </c>
      <c r="B173" s="50">
        <f>VLOOKUP($A173,'Data shares'!$C:$FB,7)</f>
        <v>1942</v>
      </c>
      <c r="C173" s="50">
        <f>VLOOKUP($A173,'Data shares'!$C:$FB,10)*100</f>
        <v>0</v>
      </c>
      <c r="D173" s="49">
        <f>VLOOKUP($A173,'Data shares'!$C:$FB,66)</f>
        <v>7356600</v>
      </c>
      <c r="E173" s="49">
        <f>VLOOKUP($A173,'Data shares'!$C:$FB,67)</f>
        <v>11130000</v>
      </c>
      <c r="F173" s="50">
        <f>VLOOKUP($A173,'Data shares'!$C:$FB,69)*100</f>
        <v>-33.900000000000006</v>
      </c>
      <c r="G173" s="49">
        <f>VLOOKUP($A173,'Data shares'!$C:$FB,42)</f>
        <v>1094700</v>
      </c>
      <c r="H173" s="49">
        <f>VLOOKUP($A173,'Data shares'!$C:$FB,43)</f>
        <v>1746600</v>
      </c>
      <c r="I173" s="50">
        <f>VLOOKUP($A173,'Data shares'!$C:$FB,45)*100</f>
        <v>-37.32</v>
      </c>
      <c r="J173" s="49">
        <f>VLOOKUP($A173,'Data shares'!$C:$FB,58)</f>
        <v>3955200</v>
      </c>
      <c r="K173" s="49">
        <f>VLOOKUP($A173,'Data shares'!$C:$FB,59)</f>
        <v>6342300</v>
      </c>
      <c r="L173" s="50">
        <f>VLOOKUP($A173,'Data shares'!$C:$FB,61)*100</f>
        <v>-37.64</v>
      </c>
      <c r="M173" s="49">
        <f>VLOOKUP($A173,'Data shares'!$C:$FB,62)</f>
        <v>2306700</v>
      </c>
      <c r="N173" s="49">
        <f>VLOOKUP($A173,'Data shares'!$C:$FB,63)</f>
        <v>3041100</v>
      </c>
      <c r="O173" s="140">
        <f>VLOOKUP($A173,'Data shares'!$C:$FB,65)*100</f>
        <v>-24.15</v>
      </c>
    </row>
    <row r="174" spans="1:15" x14ac:dyDescent="0.25">
      <c r="A174" s="101" t="str">
        <f>'Data shares'!C169</f>
        <v>PAYTM</v>
      </c>
      <c r="B174" s="50">
        <f>VLOOKUP($A174,'Data shares'!$C:$FB,7)</f>
        <v>1051.05</v>
      </c>
      <c r="C174" s="50">
        <f>VLOOKUP($A174,'Data shares'!$C:$FB,10)*100</f>
        <v>3.2800000000000002</v>
      </c>
      <c r="D174" s="49">
        <f>VLOOKUP($A174,'Data shares'!$C:$FB,66)</f>
        <v>94163725</v>
      </c>
      <c r="E174" s="49">
        <f>VLOOKUP($A174,'Data shares'!$C:$FB,67)</f>
        <v>23081825</v>
      </c>
      <c r="F174" s="50">
        <f>VLOOKUP($A174,'Data shares'!$C:$FB,69)*100</f>
        <v>307.96000000000004</v>
      </c>
      <c r="G174" s="49">
        <f>VLOOKUP($A174,'Data shares'!$C:$FB,42)</f>
        <v>16084850</v>
      </c>
      <c r="H174" s="49">
        <f>VLOOKUP($A174,'Data shares'!$C:$FB,43)</f>
        <v>5365725</v>
      </c>
      <c r="I174" s="50">
        <f>VLOOKUP($A174,'Data shares'!$C:$FB,45)*100</f>
        <v>199.77</v>
      </c>
      <c r="J174" s="49">
        <f>VLOOKUP($A174,'Data shares'!$C:$FB,58)</f>
        <v>55472650</v>
      </c>
      <c r="K174" s="49">
        <f>VLOOKUP($A174,'Data shares'!$C:$FB,59)</f>
        <v>11404250</v>
      </c>
      <c r="L174" s="50">
        <f>VLOOKUP($A174,'Data shares'!$C:$FB,61)*100</f>
        <v>386.41999999999996</v>
      </c>
      <c r="M174" s="49">
        <f>VLOOKUP($A174,'Data shares'!$C:$FB,62)</f>
        <v>22606225</v>
      </c>
      <c r="N174" s="49">
        <f>VLOOKUP($A174,'Data shares'!$C:$FB,63)</f>
        <v>6311850</v>
      </c>
      <c r="O174" s="140">
        <f>VLOOKUP($A174,'Data shares'!$C:$FB,65)*100</f>
        <v>258.15999999999997</v>
      </c>
    </row>
    <row r="175" spans="1:15" x14ac:dyDescent="0.25">
      <c r="A175" s="101" t="str">
        <f>'Data shares'!C170</f>
        <v>PEL</v>
      </c>
      <c r="B175" s="50">
        <f>VLOOKUP($A175,'Data shares'!$C:$FB,7)</f>
        <v>1287.4000000000001</v>
      </c>
      <c r="C175" s="50">
        <f>VLOOKUP($A175,'Data shares'!$C:$FB,10)*100</f>
        <v>-1.0999999999999999</v>
      </c>
      <c r="D175" s="49">
        <f>VLOOKUP($A175,'Data shares'!$C:$FB,66)</f>
        <v>5748000</v>
      </c>
      <c r="E175" s="49">
        <f>VLOOKUP($A175,'Data shares'!$C:$FB,67)</f>
        <v>10197750</v>
      </c>
      <c r="F175" s="50">
        <f>VLOOKUP($A175,'Data shares'!$C:$FB,69)*100</f>
        <v>-43.63</v>
      </c>
      <c r="G175" s="49">
        <f>VLOOKUP($A175,'Data shares'!$C:$FB,42)</f>
        <v>898500</v>
      </c>
      <c r="H175" s="49">
        <f>VLOOKUP($A175,'Data shares'!$C:$FB,43)</f>
        <v>1551750</v>
      </c>
      <c r="I175" s="50">
        <f>VLOOKUP($A175,'Data shares'!$C:$FB,45)*100</f>
        <v>-42.1</v>
      </c>
      <c r="J175" s="49">
        <f>VLOOKUP($A175,'Data shares'!$C:$FB,58)</f>
        <v>2775000</v>
      </c>
      <c r="K175" s="49">
        <f>VLOOKUP($A175,'Data shares'!$C:$FB,59)</f>
        <v>4459500</v>
      </c>
      <c r="L175" s="50">
        <f>VLOOKUP($A175,'Data shares'!$C:$FB,61)*100</f>
        <v>-37.769999999999996</v>
      </c>
      <c r="M175" s="49">
        <f>VLOOKUP($A175,'Data shares'!$C:$FB,62)</f>
        <v>2074500</v>
      </c>
      <c r="N175" s="49">
        <f>VLOOKUP($A175,'Data shares'!$C:$FB,63)</f>
        <v>4186500</v>
      </c>
      <c r="O175" s="140">
        <f>VLOOKUP($A175,'Data shares'!$C:$FB,65)*100</f>
        <v>-50.449999999999996</v>
      </c>
    </row>
    <row r="176" spans="1:15" x14ac:dyDescent="0.25">
      <c r="A176" s="101" t="str">
        <f>'Data shares'!C171</f>
        <v>PERSISTENT</v>
      </c>
      <c r="B176" s="50">
        <f>VLOOKUP($A176,'Data shares'!$C:$FB,7)</f>
        <v>5713.5</v>
      </c>
      <c r="C176" s="50">
        <f>VLOOKUP($A176,'Data shares'!$C:$FB,10)*100</f>
        <v>-1.1299999999999999</v>
      </c>
      <c r="D176" s="49">
        <f>VLOOKUP($A176,'Data shares'!$C:$FB,66)</f>
        <v>3895400</v>
      </c>
      <c r="E176" s="49">
        <f>VLOOKUP($A176,'Data shares'!$C:$FB,67)</f>
        <v>6475200</v>
      </c>
      <c r="F176" s="50">
        <f>VLOOKUP($A176,'Data shares'!$C:$FB,69)*100</f>
        <v>-39.839999999999996</v>
      </c>
      <c r="G176" s="49">
        <f>VLOOKUP($A176,'Data shares'!$C:$FB,42)</f>
        <v>709000</v>
      </c>
      <c r="H176" s="49">
        <f>VLOOKUP($A176,'Data shares'!$C:$FB,43)</f>
        <v>1312900</v>
      </c>
      <c r="I176" s="50">
        <f>VLOOKUP($A176,'Data shares'!$C:$FB,45)*100</f>
        <v>-46</v>
      </c>
      <c r="J176" s="49">
        <f>VLOOKUP($A176,'Data shares'!$C:$FB,58)</f>
        <v>2261200</v>
      </c>
      <c r="K176" s="49">
        <f>VLOOKUP($A176,'Data shares'!$C:$FB,59)</f>
        <v>3691800</v>
      </c>
      <c r="L176" s="50">
        <f>VLOOKUP($A176,'Data shares'!$C:$FB,61)*100</f>
        <v>-38.75</v>
      </c>
      <c r="M176" s="49">
        <f>VLOOKUP($A176,'Data shares'!$C:$FB,62)</f>
        <v>925200</v>
      </c>
      <c r="N176" s="49">
        <f>VLOOKUP($A176,'Data shares'!$C:$FB,63)</f>
        <v>1470500</v>
      </c>
      <c r="O176" s="140">
        <f>VLOOKUP($A176,'Data shares'!$C:$FB,65)*100</f>
        <v>-37.08</v>
      </c>
    </row>
    <row r="177" spans="1:15" x14ac:dyDescent="0.25">
      <c r="A177" s="101" t="str">
        <f>'Data shares'!C172</f>
        <v>PETRONET</v>
      </c>
      <c r="B177" s="50">
        <f>VLOOKUP($A177,'Data shares'!$C:$FB,7)</f>
        <v>303.25</v>
      </c>
      <c r="C177" s="50">
        <f>VLOOKUP($A177,'Data shares'!$C:$FB,10)*100</f>
        <v>-0.25</v>
      </c>
      <c r="D177" s="49">
        <f>VLOOKUP($A177,'Data shares'!$C:$FB,66)</f>
        <v>9991800</v>
      </c>
      <c r="E177" s="49">
        <f>VLOOKUP($A177,'Data shares'!$C:$FB,67)</f>
        <v>13528800</v>
      </c>
      <c r="F177" s="50">
        <f>VLOOKUP($A177,'Data shares'!$C:$FB,69)*100</f>
        <v>-26.14</v>
      </c>
      <c r="G177" s="49">
        <f>VLOOKUP($A177,'Data shares'!$C:$FB,42)</f>
        <v>3261600</v>
      </c>
      <c r="H177" s="49">
        <f>VLOOKUP($A177,'Data shares'!$C:$FB,43)</f>
        <v>7200000</v>
      </c>
      <c r="I177" s="50">
        <f>VLOOKUP($A177,'Data shares'!$C:$FB,45)*100</f>
        <v>-54.7</v>
      </c>
      <c r="J177" s="49">
        <f>VLOOKUP($A177,'Data shares'!$C:$FB,58)</f>
        <v>4854600</v>
      </c>
      <c r="K177" s="49">
        <f>VLOOKUP($A177,'Data shares'!$C:$FB,59)</f>
        <v>4024800</v>
      </c>
      <c r="L177" s="50">
        <f>VLOOKUP($A177,'Data shares'!$C:$FB,61)*100</f>
        <v>20.62</v>
      </c>
      <c r="M177" s="49">
        <f>VLOOKUP($A177,'Data shares'!$C:$FB,62)</f>
        <v>1875600</v>
      </c>
      <c r="N177" s="49">
        <f>VLOOKUP($A177,'Data shares'!$C:$FB,63)</f>
        <v>2304000</v>
      </c>
      <c r="O177" s="140">
        <f>VLOOKUP($A177,'Data shares'!$C:$FB,65)*100</f>
        <v>-18.59</v>
      </c>
    </row>
    <row r="178" spans="1:15" x14ac:dyDescent="0.25">
      <c r="A178" s="101" t="str">
        <f>'Data shares'!C173</f>
        <v>PFC</v>
      </c>
      <c r="B178" s="50">
        <f>VLOOKUP($A178,'Data shares'!$C:$FB,7)</f>
        <v>414.7</v>
      </c>
      <c r="C178" s="50">
        <f>VLOOKUP($A178,'Data shares'!$C:$FB,10)*100</f>
        <v>-1.21</v>
      </c>
      <c r="D178" s="49">
        <f>VLOOKUP($A178,'Data shares'!$C:$FB,66)</f>
        <v>41282800</v>
      </c>
      <c r="E178" s="49">
        <f>VLOOKUP($A178,'Data shares'!$C:$FB,67)</f>
        <v>29611400</v>
      </c>
      <c r="F178" s="50">
        <f>VLOOKUP($A178,'Data shares'!$C:$FB,69)*100</f>
        <v>39.42</v>
      </c>
      <c r="G178" s="49">
        <f>VLOOKUP($A178,'Data shares'!$C:$FB,42)</f>
        <v>7927400</v>
      </c>
      <c r="H178" s="49">
        <f>VLOOKUP($A178,'Data shares'!$C:$FB,43)</f>
        <v>6561100</v>
      </c>
      <c r="I178" s="50">
        <f>VLOOKUP($A178,'Data shares'!$C:$FB,45)*100</f>
        <v>20.82</v>
      </c>
      <c r="J178" s="49">
        <f>VLOOKUP($A178,'Data shares'!$C:$FB,58)</f>
        <v>20703800</v>
      </c>
      <c r="K178" s="49">
        <f>VLOOKUP($A178,'Data shares'!$C:$FB,59)</f>
        <v>15405000</v>
      </c>
      <c r="L178" s="50">
        <f>VLOOKUP($A178,'Data shares'!$C:$FB,61)*100</f>
        <v>34.4</v>
      </c>
      <c r="M178" s="49">
        <f>VLOOKUP($A178,'Data shares'!$C:$FB,62)</f>
        <v>12651600</v>
      </c>
      <c r="N178" s="49">
        <f>VLOOKUP($A178,'Data shares'!$C:$FB,63)</f>
        <v>7645300</v>
      </c>
      <c r="O178" s="140">
        <f>VLOOKUP($A178,'Data shares'!$C:$FB,65)*100</f>
        <v>65.48</v>
      </c>
    </row>
    <row r="179" spans="1:15" x14ac:dyDescent="0.25">
      <c r="A179" s="101" t="str">
        <f>'Data shares'!C174</f>
        <v>PGEL</v>
      </c>
      <c r="B179" s="50">
        <f>VLOOKUP($A179,'Data shares'!$C:$FB,7)</f>
        <v>788.9</v>
      </c>
      <c r="C179" s="50">
        <f>VLOOKUP($A179,'Data shares'!$C:$FB,10)*100</f>
        <v>-2.2399999999999998</v>
      </c>
      <c r="D179" s="49">
        <f>VLOOKUP($A179,'Data shares'!$C:$FB,66)</f>
        <v>3929100</v>
      </c>
      <c r="E179" s="49">
        <f>VLOOKUP($A179,'Data shares'!$C:$FB,67)</f>
        <v>3850700</v>
      </c>
      <c r="F179" s="50">
        <f>VLOOKUP($A179,'Data shares'!$C:$FB,69)*100</f>
        <v>2.04</v>
      </c>
      <c r="G179" s="49">
        <f>VLOOKUP($A179,'Data shares'!$C:$FB,42)</f>
        <v>1285900</v>
      </c>
      <c r="H179" s="49">
        <f>VLOOKUP($A179,'Data shares'!$C:$FB,43)</f>
        <v>1520400</v>
      </c>
      <c r="I179" s="50">
        <f>VLOOKUP($A179,'Data shares'!$C:$FB,45)*100</f>
        <v>-15.42</v>
      </c>
      <c r="J179" s="49">
        <f>VLOOKUP($A179,'Data shares'!$C:$FB,58)</f>
        <v>1905400</v>
      </c>
      <c r="K179" s="49">
        <f>VLOOKUP($A179,'Data shares'!$C:$FB,59)</f>
        <v>1710800</v>
      </c>
      <c r="L179" s="50">
        <f>VLOOKUP($A179,'Data shares'!$C:$FB,61)*100</f>
        <v>11.37</v>
      </c>
      <c r="M179" s="49">
        <f>VLOOKUP($A179,'Data shares'!$C:$FB,62)</f>
        <v>737800</v>
      </c>
      <c r="N179" s="49">
        <f>VLOOKUP($A179,'Data shares'!$C:$FB,63)</f>
        <v>619500</v>
      </c>
      <c r="O179" s="140">
        <f>VLOOKUP($A179,'Data shares'!$C:$FB,65)*100</f>
        <v>19.100000000000001</v>
      </c>
    </row>
    <row r="180" spans="1:15" x14ac:dyDescent="0.25">
      <c r="A180" s="101" t="str">
        <f>'Data shares'!C175</f>
        <v>PHOENIXLTD</v>
      </c>
      <c r="B180" s="50">
        <f>VLOOKUP($A180,'Data shares'!$C:$FB,7)</f>
        <v>1473.6</v>
      </c>
      <c r="C180" s="50">
        <f>VLOOKUP($A180,'Data shares'!$C:$FB,10)*100</f>
        <v>-1.35</v>
      </c>
      <c r="D180" s="49">
        <f>VLOOKUP($A180,'Data shares'!$C:$FB,66)</f>
        <v>1218000</v>
      </c>
      <c r="E180" s="49">
        <f>VLOOKUP($A180,'Data shares'!$C:$FB,67)</f>
        <v>1287650</v>
      </c>
      <c r="F180" s="50">
        <f>VLOOKUP($A180,'Data shares'!$C:$FB,69)*100</f>
        <v>-5.41</v>
      </c>
      <c r="G180" s="49">
        <f>VLOOKUP($A180,'Data shares'!$C:$FB,42)</f>
        <v>386050</v>
      </c>
      <c r="H180" s="49">
        <f>VLOOKUP($A180,'Data shares'!$C:$FB,43)</f>
        <v>440300</v>
      </c>
      <c r="I180" s="50">
        <f>VLOOKUP($A180,'Data shares'!$C:$FB,45)*100</f>
        <v>-12.32</v>
      </c>
      <c r="J180" s="49">
        <f>VLOOKUP($A180,'Data shares'!$C:$FB,58)</f>
        <v>563500</v>
      </c>
      <c r="K180" s="49">
        <f>VLOOKUP($A180,'Data shares'!$C:$FB,59)</f>
        <v>676550</v>
      </c>
      <c r="L180" s="50">
        <f>VLOOKUP($A180,'Data shares'!$C:$FB,61)*100</f>
        <v>-16.71</v>
      </c>
      <c r="M180" s="49">
        <f>VLOOKUP($A180,'Data shares'!$C:$FB,62)</f>
        <v>268450</v>
      </c>
      <c r="N180" s="49">
        <f>VLOOKUP($A180,'Data shares'!$C:$FB,63)</f>
        <v>170800</v>
      </c>
      <c r="O180" s="140">
        <f>VLOOKUP($A180,'Data shares'!$C:$FB,65)*100</f>
        <v>57.17</v>
      </c>
    </row>
    <row r="181" spans="1:15" x14ac:dyDescent="0.25">
      <c r="A181" s="101" t="str">
        <f>'Data shares'!C176</f>
        <v>PIDILITIND</v>
      </c>
      <c r="B181" s="50">
        <f>VLOOKUP($A181,'Data shares'!$C:$FB,7)</f>
        <v>2934.3</v>
      </c>
      <c r="C181" s="50">
        <f>VLOOKUP($A181,'Data shares'!$C:$FB,10)*100</f>
        <v>-1.04</v>
      </c>
      <c r="D181" s="49">
        <f>VLOOKUP($A181,'Data shares'!$C:$FB,66)</f>
        <v>1082500</v>
      </c>
      <c r="E181" s="49">
        <f>VLOOKUP($A181,'Data shares'!$C:$FB,67)</f>
        <v>722250</v>
      </c>
      <c r="F181" s="50">
        <f>VLOOKUP($A181,'Data shares'!$C:$FB,69)*100</f>
        <v>49.88</v>
      </c>
      <c r="G181" s="49">
        <f>VLOOKUP($A181,'Data shares'!$C:$FB,42)</f>
        <v>248000</v>
      </c>
      <c r="H181" s="49">
        <f>VLOOKUP($A181,'Data shares'!$C:$FB,43)</f>
        <v>229000</v>
      </c>
      <c r="I181" s="50">
        <f>VLOOKUP($A181,'Data shares'!$C:$FB,45)*100</f>
        <v>8.3000000000000007</v>
      </c>
      <c r="J181" s="49">
        <f>VLOOKUP($A181,'Data shares'!$C:$FB,58)</f>
        <v>616000</v>
      </c>
      <c r="K181" s="49">
        <f>VLOOKUP($A181,'Data shares'!$C:$FB,59)</f>
        <v>390250</v>
      </c>
      <c r="L181" s="50">
        <f>VLOOKUP($A181,'Data shares'!$C:$FB,61)*100</f>
        <v>57.85</v>
      </c>
      <c r="M181" s="49">
        <f>VLOOKUP($A181,'Data shares'!$C:$FB,62)</f>
        <v>218500</v>
      </c>
      <c r="N181" s="49">
        <f>VLOOKUP($A181,'Data shares'!$C:$FB,63)</f>
        <v>103000</v>
      </c>
      <c r="O181" s="140">
        <f>VLOOKUP($A181,'Data shares'!$C:$FB,65)*100</f>
        <v>112.14</v>
      </c>
    </row>
    <row r="182" spans="1:15" x14ac:dyDescent="0.25">
      <c r="A182" s="101" t="str">
        <f>'Data shares'!C177</f>
        <v>PIIND</v>
      </c>
      <c r="B182" s="50">
        <f>VLOOKUP($A182,'Data shares'!$C:$FB,7)</f>
        <v>4080</v>
      </c>
      <c r="C182" s="50">
        <f>VLOOKUP($A182,'Data shares'!$C:$FB,10)*100</f>
        <v>-2.23</v>
      </c>
      <c r="D182" s="49">
        <f>VLOOKUP($A182,'Data shares'!$C:$FB,66)</f>
        <v>1088675</v>
      </c>
      <c r="E182" s="49">
        <f>VLOOKUP($A182,'Data shares'!$C:$FB,67)</f>
        <v>761250</v>
      </c>
      <c r="F182" s="50">
        <f>VLOOKUP($A182,'Data shares'!$C:$FB,69)*100</f>
        <v>43.01</v>
      </c>
      <c r="G182" s="49">
        <f>VLOOKUP($A182,'Data shares'!$C:$FB,42)</f>
        <v>203000</v>
      </c>
      <c r="H182" s="49">
        <f>VLOOKUP($A182,'Data shares'!$C:$FB,43)</f>
        <v>139650</v>
      </c>
      <c r="I182" s="50">
        <f>VLOOKUP($A182,'Data shares'!$C:$FB,45)*100</f>
        <v>45.36</v>
      </c>
      <c r="J182" s="49">
        <f>VLOOKUP($A182,'Data shares'!$C:$FB,58)</f>
        <v>663950</v>
      </c>
      <c r="K182" s="49">
        <f>VLOOKUP($A182,'Data shares'!$C:$FB,59)</f>
        <v>502775</v>
      </c>
      <c r="L182" s="50">
        <f>VLOOKUP($A182,'Data shares'!$C:$FB,61)*100</f>
        <v>32.06</v>
      </c>
      <c r="M182" s="49">
        <f>VLOOKUP($A182,'Data shares'!$C:$FB,62)</f>
        <v>221725</v>
      </c>
      <c r="N182" s="49">
        <f>VLOOKUP($A182,'Data shares'!$C:$FB,63)</f>
        <v>118825</v>
      </c>
      <c r="O182" s="140">
        <f>VLOOKUP($A182,'Data shares'!$C:$FB,65)*100</f>
        <v>86.6</v>
      </c>
    </row>
    <row r="183" spans="1:15" x14ac:dyDescent="0.25">
      <c r="A183" s="101" t="str">
        <f>'Data shares'!C178</f>
        <v>PNB</v>
      </c>
      <c r="B183" s="50">
        <f>VLOOKUP($A183,'Data shares'!$C:$FB,7)</f>
        <v>109.33</v>
      </c>
      <c r="C183" s="50">
        <f>VLOOKUP($A183,'Data shares'!$C:$FB,10)*100</f>
        <v>-2.9000000000000004</v>
      </c>
      <c r="D183" s="49">
        <f>VLOOKUP($A183,'Data shares'!$C:$FB,66)</f>
        <v>269632000</v>
      </c>
      <c r="E183" s="49">
        <f>VLOOKUP($A183,'Data shares'!$C:$FB,67)</f>
        <v>208416000</v>
      </c>
      <c r="F183" s="50">
        <f>VLOOKUP($A183,'Data shares'!$C:$FB,69)*100</f>
        <v>29.37</v>
      </c>
      <c r="G183" s="49">
        <f>VLOOKUP($A183,'Data shares'!$C:$FB,42)</f>
        <v>61360000</v>
      </c>
      <c r="H183" s="49">
        <f>VLOOKUP($A183,'Data shares'!$C:$FB,43)</f>
        <v>42840000</v>
      </c>
      <c r="I183" s="50">
        <f>VLOOKUP($A183,'Data shares'!$C:$FB,45)*100</f>
        <v>43.230000000000004</v>
      </c>
      <c r="J183" s="49">
        <f>VLOOKUP($A183,'Data shares'!$C:$FB,58)</f>
        <v>135192000</v>
      </c>
      <c r="K183" s="49">
        <f>VLOOKUP($A183,'Data shares'!$C:$FB,59)</f>
        <v>109104000</v>
      </c>
      <c r="L183" s="50">
        <f>VLOOKUP($A183,'Data shares'!$C:$FB,61)*100</f>
        <v>23.91</v>
      </c>
      <c r="M183" s="49">
        <f>VLOOKUP($A183,'Data shares'!$C:$FB,62)</f>
        <v>73080000</v>
      </c>
      <c r="N183" s="49">
        <f>VLOOKUP($A183,'Data shares'!$C:$FB,63)</f>
        <v>56472000</v>
      </c>
      <c r="O183" s="140">
        <f>VLOOKUP($A183,'Data shares'!$C:$FB,65)*100</f>
        <v>29.409999999999997</v>
      </c>
    </row>
    <row r="184" spans="1:15" x14ac:dyDescent="0.25">
      <c r="A184" s="101" t="str">
        <f>'Data shares'!C179</f>
        <v>PNBHOUSING</v>
      </c>
      <c r="B184" s="50">
        <f>VLOOKUP($A184,'Data shares'!$C:$FB,7)</f>
        <v>1086.5999999999999</v>
      </c>
      <c r="C184" s="50">
        <f>VLOOKUP($A184,'Data shares'!$C:$FB,10)*100</f>
        <v>0.22</v>
      </c>
      <c r="D184" s="49">
        <f>VLOOKUP($A184,'Data shares'!$C:$FB,66)</f>
        <v>25409150</v>
      </c>
      <c r="E184" s="49">
        <f>VLOOKUP($A184,'Data shares'!$C:$FB,67)</f>
        <v>11146850</v>
      </c>
      <c r="F184" s="50">
        <f>VLOOKUP($A184,'Data shares'!$C:$FB,69)*100</f>
        <v>127.95</v>
      </c>
      <c r="G184" s="49">
        <f>VLOOKUP($A184,'Data shares'!$C:$FB,42)</f>
        <v>5193500</v>
      </c>
      <c r="H184" s="49">
        <f>VLOOKUP($A184,'Data shares'!$C:$FB,43)</f>
        <v>2943850</v>
      </c>
      <c r="I184" s="50">
        <f>VLOOKUP($A184,'Data shares'!$C:$FB,45)*100</f>
        <v>76.42</v>
      </c>
      <c r="J184" s="49">
        <f>VLOOKUP($A184,'Data shares'!$C:$FB,58)</f>
        <v>14894750</v>
      </c>
      <c r="K184" s="49">
        <f>VLOOKUP($A184,'Data shares'!$C:$FB,59)</f>
        <v>4923750</v>
      </c>
      <c r="L184" s="50">
        <f>VLOOKUP($A184,'Data shares'!$C:$FB,61)*100</f>
        <v>202.51000000000002</v>
      </c>
      <c r="M184" s="49">
        <f>VLOOKUP($A184,'Data shares'!$C:$FB,62)</f>
        <v>5320900</v>
      </c>
      <c r="N184" s="49">
        <f>VLOOKUP($A184,'Data shares'!$C:$FB,63)</f>
        <v>3279250</v>
      </c>
      <c r="O184" s="140">
        <f>VLOOKUP($A184,'Data shares'!$C:$FB,65)*100</f>
        <v>62.260000000000005</v>
      </c>
    </row>
    <row r="185" spans="1:15" x14ac:dyDescent="0.25">
      <c r="A185" s="101" t="str">
        <f>'Data shares'!C180</f>
        <v>POLICYBZR</v>
      </c>
      <c r="B185" s="50">
        <f>VLOOKUP($A185,'Data shares'!$C:$FB,7)</f>
        <v>1820.8</v>
      </c>
      <c r="C185" s="50">
        <f>VLOOKUP($A185,'Data shares'!$C:$FB,10)*100</f>
        <v>1.05</v>
      </c>
      <c r="D185" s="49">
        <f>VLOOKUP($A185,'Data shares'!$C:$FB,66)</f>
        <v>4346650</v>
      </c>
      <c r="E185" s="49">
        <f>VLOOKUP($A185,'Data shares'!$C:$FB,67)</f>
        <v>4330200</v>
      </c>
      <c r="F185" s="50">
        <f>VLOOKUP($A185,'Data shares'!$C:$FB,69)*100</f>
        <v>0.38</v>
      </c>
      <c r="G185" s="49">
        <f>VLOOKUP($A185,'Data shares'!$C:$FB,42)</f>
        <v>1043350</v>
      </c>
      <c r="H185" s="49">
        <f>VLOOKUP($A185,'Data shares'!$C:$FB,43)</f>
        <v>1341900</v>
      </c>
      <c r="I185" s="50">
        <f>VLOOKUP($A185,'Data shares'!$C:$FB,45)*100</f>
        <v>-22.25</v>
      </c>
      <c r="J185" s="49">
        <f>VLOOKUP($A185,'Data shares'!$C:$FB,58)</f>
        <v>2385250</v>
      </c>
      <c r="K185" s="49">
        <f>VLOOKUP($A185,'Data shares'!$C:$FB,59)</f>
        <v>2081450</v>
      </c>
      <c r="L185" s="50">
        <f>VLOOKUP($A185,'Data shares'!$C:$FB,61)*100</f>
        <v>14.6</v>
      </c>
      <c r="M185" s="49">
        <f>VLOOKUP($A185,'Data shares'!$C:$FB,62)</f>
        <v>918050</v>
      </c>
      <c r="N185" s="49">
        <f>VLOOKUP($A185,'Data shares'!$C:$FB,63)</f>
        <v>906850</v>
      </c>
      <c r="O185" s="140">
        <f>VLOOKUP($A185,'Data shares'!$C:$FB,65)*100</f>
        <v>1.24</v>
      </c>
    </row>
    <row r="186" spans="1:15" x14ac:dyDescent="0.25">
      <c r="A186" s="101" t="str">
        <f>'Data shares'!C181</f>
        <v>POLYCAB</v>
      </c>
      <c r="B186" s="50">
        <f>VLOOKUP($A186,'Data shares'!$C:$FB,7)</f>
        <v>6960.5</v>
      </c>
      <c r="C186" s="50">
        <f>VLOOKUP($A186,'Data shares'!$C:$FB,10)*100</f>
        <v>-1.1599999999999999</v>
      </c>
      <c r="D186" s="49">
        <f>VLOOKUP($A186,'Data shares'!$C:$FB,66)</f>
        <v>4328375</v>
      </c>
      <c r="E186" s="49">
        <f>VLOOKUP($A186,'Data shares'!$C:$FB,67)</f>
        <v>10175750</v>
      </c>
      <c r="F186" s="50">
        <f>VLOOKUP($A186,'Data shares'!$C:$FB,69)*100</f>
        <v>-57.46</v>
      </c>
      <c r="G186" s="49">
        <f>VLOOKUP($A186,'Data shares'!$C:$FB,42)</f>
        <v>429375</v>
      </c>
      <c r="H186" s="49">
        <f>VLOOKUP($A186,'Data shares'!$C:$FB,43)</f>
        <v>1008750</v>
      </c>
      <c r="I186" s="50">
        <f>VLOOKUP($A186,'Data shares'!$C:$FB,45)*100</f>
        <v>-57.430000000000007</v>
      </c>
      <c r="J186" s="49">
        <f>VLOOKUP($A186,'Data shares'!$C:$FB,58)</f>
        <v>2472750</v>
      </c>
      <c r="K186" s="49">
        <f>VLOOKUP($A186,'Data shares'!$C:$FB,59)</f>
        <v>5959125</v>
      </c>
      <c r="L186" s="50">
        <f>VLOOKUP($A186,'Data shares'!$C:$FB,61)*100</f>
        <v>-58.5</v>
      </c>
      <c r="M186" s="49">
        <f>VLOOKUP($A186,'Data shares'!$C:$FB,62)</f>
        <v>1426250</v>
      </c>
      <c r="N186" s="49">
        <f>VLOOKUP($A186,'Data shares'!$C:$FB,63)</f>
        <v>3207875</v>
      </c>
      <c r="O186" s="140">
        <f>VLOOKUP($A186,'Data shares'!$C:$FB,65)*100</f>
        <v>-55.54</v>
      </c>
    </row>
    <row r="187" spans="1:15" x14ac:dyDescent="0.25">
      <c r="A187" s="101" t="str">
        <f>'Data shares'!C182</f>
        <v>POONAWALLA</v>
      </c>
      <c r="B187" s="50">
        <f>VLOOKUP($A187,'Data shares'!$C:$FB,7)</f>
        <v>452.4</v>
      </c>
      <c r="C187" s="50">
        <f>VLOOKUP($A187,'Data shares'!$C:$FB,10)*100</f>
        <v>-1.41</v>
      </c>
      <c r="D187" s="49">
        <f>VLOOKUP($A187,'Data shares'!$C:$FB,66)</f>
        <v>6811900</v>
      </c>
      <c r="E187" s="49">
        <f>VLOOKUP($A187,'Data shares'!$C:$FB,67)</f>
        <v>18813900</v>
      </c>
      <c r="F187" s="50">
        <f>VLOOKUP($A187,'Data shares'!$C:$FB,69)*100</f>
        <v>-63.79</v>
      </c>
      <c r="G187" s="49">
        <f>VLOOKUP($A187,'Data shares'!$C:$FB,42)</f>
        <v>2237200</v>
      </c>
      <c r="H187" s="49">
        <f>VLOOKUP($A187,'Data shares'!$C:$FB,43)</f>
        <v>4462500</v>
      </c>
      <c r="I187" s="50">
        <f>VLOOKUP($A187,'Data shares'!$C:$FB,45)*100</f>
        <v>-49.87</v>
      </c>
      <c r="J187" s="49">
        <f>VLOOKUP($A187,'Data shares'!$C:$FB,58)</f>
        <v>3440800</v>
      </c>
      <c r="K187" s="49">
        <f>VLOOKUP($A187,'Data shares'!$C:$FB,59)</f>
        <v>11646700</v>
      </c>
      <c r="L187" s="50">
        <f>VLOOKUP($A187,'Data shares'!$C:$FB,61)*100</f>
        <v>-70.459999999999994</v>
      </c>
      <c r="M187" s="49">
        <f>VLOOKUP($A187,'Data shares'!$C:$FB,62)</f>
        <v>1133900</v>
      </c>
      <c r="N187" s="49">
        <f>VLOOKUP($A187,'Data shares'!$C:$FB,63)</f>
        <v>2704700</v>
      </c>
      <c r="O187" s="140">
        <f>VLOOKUP($A187,'Data shares'!$C:$FB,65)*100</f>
        <v>-58.08</v>
      </c>
    </row>
    <row r="188" spans="1:15" x14ac:dyDescent="0.25">
      <c r="A188" s="101" t="str">
        <f>'Data shares'!C183</f>
        <v>POWERGRID</v>
      </c>
      <c r="B188" s="50">
        <f>VLOOKUP($A188,'Data shares'!$C:$FB,7)</f>
        <v>297.8</v>
      </c>
      <c r="C188" s="50">
        <f>VLOOKUP($A188,'Data shares'!$C:$FB,10)*100</f>
        <v>0.27</v>
      </c>
      <c r="D188" s="49">
        <f>VLOOKUP($A188,'Data shares'!$C:$FB,66)</f>
        <v>29514600</v>
      </c>
      <c r="E188" s="49">
        <f>VLOOKUP($A188,'Data shares'!$C:$FB,67)</f>
        <v>29653300</v>
      </c>
      <c r="F188" s="50">
        <f>VLOOKUP($A188,'Data shares'!$C:$FB,69)*100</f>
        <v>-0.47000000000000003</v>
      </c>
      <c r="G188" s="49">
        <f>VLOOKUP($A188,'Data shares'!$C:$FB,42)</f>
        <v>6642400</v>
      </c>
      <c r="H188" s="49">
        <f>VLOOKUP($A188,'Data shares'!$C:$FB,43)</f>
        <v>7060400</v>
      </c>
      <c r="I188" s="50">
        <f>VLOOKUP($A188,'Data shares'!$C:$FB,45)*100</f>
        <v>-5.92</v>
      </c>
      <c r="J188" s="49">
        <f>VLOOKUP($A188,'Data shares'!$C:$FB,58)</f>
        <v>13611600</v>
      </c>
      <c r="K188" s="49">
        <f>VLOOKUP($A188,'Data shares'!$C:$FB,59)</f>
        <v>15638900</v>
      </c>
      <c r="L188" s="50">
        <f>VLOOKUP($A188,'Data shares'!$C:$FB,61)*100</f>
        <v>-12.959999999999999</v>
      </c>
      <c r="M188" s="49">
        <f>VLOOKUP($A188,'Data shares'!$C:$FB,62)</f>
        <v>9260600</v>
      </c>
      <c r="N188" s="49">
        <f>VLOOKUP($A188,'Data shares'!$C:$FB,63)</f>
        <v>6954000</v>
      </c>
      <c r="O188" s="140">
        <f>VLOOKUP($A188,'Data shares'!$C:$FB,65)*100</f>
        <v>33.17</v>
      </c>
    </row>
    <row r="189" spans="1:15" x14ac:dyDescent="0.25">
      <c r="A189" s="101" t="str">
        <f>'Data shares'!C231</f>
        <v>ZYDUSLIFE</v>
      </c>
      <c r="B189" s="50">
        <f>VLOOKUP($A189,'Data shares'!$C:$FB,7)</f>
        <v>956.75</v>
      </c>
      <c r="C189" s="50">
        <f>VLOOKUP($A189,'Data shares'!$C:$FB,10)*100</f>
        <v>-1.37</v>
      </c>
      <c r="D189" s="49">
        <f>VLOOKUP($A189,'Data shares'!$C:$FB,66)</f>
        <v>6539400</v>
      </c>
      <c r="E189" s="49">
        <f>VLOOKUP($A189,'Data shares'!$C:$FB,67)</f>
        <v>5995800</v>
      </c>
      <c r="F189" s="50">
        <f>VLOOKUP($A189,'Data shares'!$C:$FB,69)*100</f>
        <v>9.07</v>
      </c>
      <c r="G189" s="49">
        <f>VLOOKUP($A189,'Data shares'!$C:$FB,42)</f>
        <v>1674900</v>
      </c>
      <c r="H189" s="49">
        <f>VLOOKUP($A189,'Data shares'!$C:$FB,43)</f>
        <v>2486700</v>
      </c>
      <c r="I189" s="50">
        <f>VLOOKUP($A189,'Data shares'!$C:$FB,45)*100</f>
        <v>-32.65</v>
      </c>
      <c r="J189" s="49">
        <f>VLOOKUP($A189,'Data shares'!$C:$FB,58)</f>
        <v>3254400</v>
      </c>
      <c r="K189" s="49">
        <f>VLOOKUP($A189,'Data shares'!$C:$FB,59)</f>
        <v>2725200</v>
      </c>
      <c r="L189" s="50">
        <f>VLOOKUP($A189,'Data shares'!$C:$FB,61)*100</f>
        <v>19.420000000000002</v>
      </c>
      <c r="M189" s="49">
        <f>VLOOKUP($A189,'Data shares'!$C:$FB,62)</f>
        <v>1610100</v>
      </c>
      <c r="N189" s="49">
        <f>VLOOKUP($A189,'Data shares'!$C:$FB,63)</f>
        <v>783900</v>
      </c>
      <c r="O189" s="140">
        <f>VLOOKUP($A189,'Data shares'!$C:$FB,65)*100</f>
        <v>105.4</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12570505253</v>
      </c>
      <c r="E209" s="133">
        <f>SUM(E7:E172)</f>
        <v>11976410477</v>
      </c>
      <c r="F209" s="134">
        <f>(D209-E209)/E209</f>
        <v>4.9605412000609403E-2</v>
      </c>
      <c r="G209" s="133">
        <f>SUM(G7:G172)</f>
        <v>1772906511</v>
      </c>
      <c r="H209" s="133">
        <f>SUM(H7:H172)</f>
        <v>1804989210</v>
      </c>
      <c r="I209" s="134">
        <f>(G209-H209)/H209</f>
        <v>-1.7774454729288937E-2</v>
      </c>
      <c r="J209" s="133">
        <f>SUM(J7:J172)</f>
        <v>6381899610</v>
      </c>
      <c r="K209" s="133">
        <f>SUM(K7:K172)</f>
        <v>6101823552</v>
      </c>
      <c r="L209" s="134">
        <f>(J209-K209)/K209</f>
        <v>4.5900386271936565E-2</v>
      </c>
      <c r="M209" s="133">
        <f>SUM(M7:M172)</f>
        <v>4415699132</v>
      </c>
      <c r="N209" s="133">
        <f>SUM(N7:N172)</f>
        <v>4069597715</v>
      </c>
      <c r="O209" s="134">
        <f>(M209-N209)/N209</f>
        <v>8.5045609231673161E-2</v>
      </c>
    </row>
    <row r="210" spans="1:15" x14ac:dyDescent="0.25">
      <c r="A210" s="133" t="s">
        <v>398</v>
      </c>
      <c r="B210" s="133"/>
      <c r="C210" s="133"/>
      <c r="D210" s="133">
        <f>D209/10000000</f>
        <v>1257.0505252999999</v>
      </c>
      <c r="E210" s="133">
        <f>E209/10000000</f>
        <v>1197.6410476999999</v>
      </c>
      <c r="F210" s="134">
        <f>(D210-E210)/E210</f>
        <v>4.9605412000609361E-2</v>
      </c>
      <c r="G210" s="133">
        <f>G209/10000000</f>
        <v>177.29065109999999</v>
      </c>
      <c r="H210" s="133">
        <f>H209/10000000</f>
        <v>180.498921</v>
      </c>
      <c r="I210" s="134">
        <f>(G210-H210)/H210</f>
        <v>-1.7774454729288961E-2</v>
      </c>
      <c r="J210" s="133">
        <f>J209/10000000</f>
        <v>638.18996100000004</v>
      </c>
      <c r="K210" s="133">
        <f>K209/10000000</f>
        <v>610.18235519999996</v>
      </c>
      <c r="L210" s="134">
        <f>(J210-K210)/K210</f>
        <v>4.5900386271936697E-2</v>
      </c>
      <c r="M210" s="133">
        <f>M209/10000000</f>
        <v>441.56991319999997</v>
      </c>
      <c r="N210" s="133">
        <f>N209/10000000</f>
        <v>406.95977149999999</v>
      </c>
      <c r="O210" s="134">
        <f>(M210-N210)/N210</f>
        <v>8.5045609231673133E-2</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68" activePane="bottomLeft" state="frozen"/>
      <selection pane="bottomLeft" activeCell="H187" sqref="H187:M187"/>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45860</v>
      </c>
      <c r="C6" s="76" t="s">
        <v>322</v>
      </c>
      <c r="D6" s="76" t="s">
        <v>328</v>
      </c>
      <c r="E6" s="3">
        <f>B6</f>
        <v>45860</v>
      </c>
      <c r="F6" s="76" t="s">
        <v>322</v>
      </c>
      <c r="G6" s="76" t="s">
        <v>328</v>
      </c>
      <c r="H6" s="3">
        <f>E6</f>
        <v>45860</v>
      </c>
      <c r="I6" s="76" t="s">
        <v>333</v>
      </c>
      <c r="J6" s="3">
        <f>E6</f>
        <v>45860</v>
      </c>
      <c r="K6" s="76" t="s">
        <v>333</v>
      </c>
      <c r="L6" s="3">
        <f>E6</f>
        <v>45860</v>
      </c>
      <c r="M6" s="76" t="s">
        <v>333</v>
      </c>
      <c r="N6" s="3">
        <f>E6</f>
        <v>45860</v>
      </c>
      <c r="O6" s="76" t="s">
        <v>333</v>
      </c>
    </row>
    <row r="7" spans="1:19" x14ac:dyDescent="0.25">
      <c r="A7" s="105" t="str">
        <f>'Data shares'!C2</f>
        <v>360ONE</v>
      </c>
      <c r="B7" s="143">
        <f>VLOOKUP($A7,'Data shares'!$C:$FA,118)</f>
        <v>0.59</v>
      </c>
      <c r="C7" s="143">
        <f>VLOOKUP($A7,'Data shares'!$C:$FA,119)</f>
        <v>0.55000000000000004</v>
      </c>
      <c r="D7" s="143">
        <f>VLOOKUP($A7,'Data shares'!$C:$FA,121)*100</f>
        <v>7.2700000000000005</v>
      </c>
      <c r="E7" s="143">
        <f>VLOOKUP($A7,'Data shares'!$C:$FA,124)</f>
        <v>0.77</v>
      </c>
      <c r="F7" s="143">
        <f>VLOOKUP($A7,'Data shares'!$C:$FA,125)</f>
        <v>0.27</v>
      </c>
      <c r="G7" s="143">
        <f>VLOOKUP($A7,'Data shares'!$C:$FA,127)*100</f>
        <v>185.19</v>
      </c>
      <c r="H7" s="103">
        <f>VLOOKUP($A7,'OI(Volume)'!$A$7:$O$427,8)</f>
        <v>2704500</v>
      </c>
      <c r="I7" s="103">
        <f>VLOOKUP($A7,'OI(Volume)'!$A$7:$O$427,9)</f>
        <v>1693500</v>
      </c>
      <c r="J7" s="103">
        <f>VLOOKUP($A7,'OI(Volume)'!$A$7:$O$427,11)</f>
        <v>1607000</v>
      </c>
      <c r="K7" s="103">
        <f>VLOOKUP($A7,'OI(Volume)'!$A$7:$O$427,12)</f>
        <v>1053500</v>
      </c>
      <c r="L7" s="103">
        <f>VLOOKUP($A7,'OI(Value)'!$A$7:$O$306,8,0)</f>
        <v>309</v>
      </c>
      <c r="M7" s="103">
        <f>VLOOKUP($A7,'OI(Value)'!$A$7:$O$306,9,0)</f>
        <v>194</v>
      </c>
      <c r="N7" s="103">
        <f>VLOOKUP($A7,'OI(Value)'!$A$7:$O$306,11,0)</f>
        <v>184</v>
      </c>
      <c r="O7" s="103">
        <f>VLOOKUP($A7,'OI(Value)'!$A$7:$O$306,12,0)</f>
        <v>120</v>
      </c>
      <c r="P7" s="179">
        <f>VLOOKUP(A7,'OI(Value)'!A7:O182,8,0)</f>
        <v>309</v>
      </c>
      <c r="Q7" s="179">
        <f>VLOOKUP(A7,'OI(Value)'!A7:O182,9,0)</f>
        <v>194</v>
      </c>
      <c r="R7" s="179">
        <f>VLOOKUP(A7,'OI(Value)'!A7:O182,11,0)</f>
        <v>184</v>
      </c>
      <c r="S7" s="179">
        <f>VLOOKUP(A7,'OI(Value)'!A7:O182,12,0)</f>
        <v>120</v>
      </c>
    </row>
    <row r="8" spans="1:19" x14ac:dyDescent="0.25">
      <c r="A8" s="105" t="str">
        <f>'Data shares'!C3</f>
        <v>AARTIIND</v>
      </c>
      <c r="B8" s="143">
        <f>VLOOKUP($A8,'Data shares'!$C:$FA,118)</f>
        <v>0.25</v>
      </c>
      <c r="C8" s="143">
        <f>VLOOKUP($A8,'Data shares'!$C:$FA,119)</f>
        <v>0.34</v>
      </c>
      <c r="D8" s="143">
        <f>VLOOKUP($A8,'Data shares'!$C:$FA,121)*100</f>
        <v>-26.47</v>
      </c>
      <c r="E8" s="143">
        <f>VLOOKUP($A8,'Data shares'!$C:$FA,124)</f>
        <v>0.51</v>
      </c>
      <c r="F8" s="143">
        <f>VLOOKUP($A8,'Data shares'!$C:$FA,125)</f>
        <v>0.21</v>
      </c>
      <c r="G8" s="143">
        <f>VLOOKUP($A8,'Data shares'!$C:$FA,127)*100</f>
        <v>142.86000000000001</v>
      </c>
      <c r="H8" s="103">
        <f>VLOOKUP($A8,'OI(Volume)'!$A$7:$O$427,8)</f>
        <v>18820300</v>
      </c>
      <c r="I8" s="103">
        <f>VLOOKUP($A8,'OI(Volume)'!$A$7:$O$427,9)</f>
        <v>6884700</v>
      </c>
      <c r="J8" s="103">
        <f>VLOOKUP($A8,'OI(Volume)'!$A$7:$O$427,11)</f>
        <v>4779275</v>
      </c>
      <c r="K8" s="103">
        <f>VLOOKUP($A8,'OI(Volume)'!$A$7:$O$427,12)</f>
        <v>699600</v>
      </c>
      <c r="L8" s="103">
        <f>VLOOKUP($A8,'OI(Value)'!$A$7:$O$306,8,0)</f>
        <v>797</v>
      </c>
      <c r="M8" s="103">
        <f>VLOOKUP($A8,'OI(Value)'!$A$7:$O$306,9,0)</f>
        <v>292</v>
      </c>
      <c r="N8" s="103">
        <f>VLOOKUP($A8,'OI(Value)'!$A$7:$O$306,11,0)</f>
        <v>202</v>
      </c>
      <c r="O8" s="103">
        <f>VLOOKUP($A8,'OI(Value)'!$A$7:$O$306,12,0)</f>
        <v>30</v>
      </c>
      <c r="P8" s="179">
        <f>VLOOKUP(A8,'OI(Value)'!A8:O209,8,0)</f>
        <v>797</v>
      </c>
      <c r="Q8" s="179">
        <f>VLOOKUP(A8,'OI(Value)'!A8:O209,9,0)</f>
        <v>292</v>
      </c>
      <c r="R8" s="179">
        <f>VLOOKUP(A8,'OI(Value)'!A8:O209,11,0)</f>
        <v>202</v>
      </c>
      <c r="S8" s="179">
        <f>VLOOKUP(A8,'OI(Value)'!A8:O209,11,0)</f>
        <v>202</v>
      </c>
    </row>
    <row r="9" spans="1:19" x14ac:dyDescent="0.25">
      <c r="A9" s="105" t="str">
        <f>'Data shares'!C4</f>
        <v>ABB</v>
      </c>
      <c r="B9" s="143">
        <f>VLOOKUP($A9,'Data shares'!$C:$FA,118)</f>
        <v>0.56000000000000005</v>
      </c>
      <c r="C9" s="143">
        <f>VLOOKUP($A9,'Data shares'!$C:$FA,119)</f>
        <v>0.62</v>
      </c>
      <c r="D9" s="143">
        <f>VLOOKUP($A9,'Data shares'!$C:$FA,121)*100</f>
        <v>-9.68</v>
      </c>
      <c r="E9" s="143">
        <f>VLOOKUP($A9,'Data shares'!$C:$FA,124)</f>
        <v>0.61</v>
      </c>
      <c r="F9" s="143">
        <f>VLOOKUP($A9,'Data shares'!$C:$FA,125)</f>
        <v>0.4</v>
      </c>
      <c r="G9" s="143">
        <f>VLOOKUP($A9,'Data shares'!$C:$FA,127)*100</f>
        <v>52.5</v>
      </c>
      <c r="H9" s="103">
        <f>VLOOKUP($A9,'OI(Volume)'!$A$7:$O$427,8)</f>
        <v>1765500</v>
      </c>
      <c r="I9" s="103">
        <f>VLOOKUP($A9,'OI(Volume)'!$A$7:$O$427,9)</f>
        <v>93000</v>
      </c>
      <c r="J9" s="103">
        <f>VLOOKUP($A9,'OI(Volume)'!$A$7:$O$427,11)</f>
        <v>982500</v>
      </c>
      <c r="K9" s="103">
        <f>VLOOKUP($A9,'OI(Volume)'!$A$7:$O$427,12)</f>
        <v>-53875</v>
      </c>
      <c r="L9" s="103">
        <f>VLOOKUP($A9,'OI(Value)'!$A$7:$O$306,8,0)</f>
        <v>1018</v>
      </c>
      <c r="M9" s="103">
        <f>VLOOKUP($A9,'OI(Value)'!$A$7:$O$306,9,0)</f>
        <v>54</v>
      </c>
      <c r="N9" s="103">
        <f>VLOOKUP($A9,'OI(Value)'!$A$7:$O$306,11,0)</f>
        <v>567</v>
      </c>
      <c r="O9" s="103">
        <f>VLOOKUP($A9,'OI(Value)'!$A$7:$O$306,12,0)</f>
        <v>-31</v>
      </c>
      <c r="P9" s="179">
        <f>VLOOKUP(A9,'OI(Value)'!A9:O210,8,0)</f>
        <v>1018</v>
      </c>
      <c r="Q9" s="179">
        <f>VLOOKUP(A9,'OI(Value)'!A9:O210,9,0)</f>
        <v>54</v>
      </c>
      <c r="R9" s="179">
        <f>VLOOKUP(A9,'OI(Value)'!A9:O210,11,0)</f>
        <v>567</v>
      </c>
      <c r="S9" s="179">
        <f>VLOOKUP(A9,'OI(Value)'!A9:O210,11,0)</f>
        <v>567</v>
      </c>
    </row>
    <row r="10" spans="1:19" x14ac:dyDescent="0.25">
      <c r="A10" s="105" t="str">
        <f>'Data shares'!C5</f>
        <v>ABCAPITAL</v>
      </c>
      <c r="B10" s="143">
        <f>VLOOKUP($A10,'Data shares'!$C:$FA,118)</f>
        <v>0.6</v>
      </c>
      <c r="C10" s="143">
        <f>VLOOKUP($A10,'Data shares'!$C:$FA,119)</f>
        <v>0.6</v>
      </c>
      <c r="D10" s="143">
        <f>VLOOKUP($A10,'Data shares'!$C:$FA,121)*100</f>
        <v>0</v>
      </c>
      <c r="E10" s="143">
        <f>VLOOKUP($A10,'Data shares'!$C:$FA,124)</f>
        <v>0.56000000000000005</v>
      </c>
      <c r="F10" s="143">
        <f>VLOOKUP($A10,'Data shares'!$C:$FA,125)</f>
        <v>0.64</v>
      </c>
      <c r="G10" s="143">
        <f>VLOOKUP($A10,'Data shares'!$C:$FA,127)*100</f>
        <v>-12.5</v>
      </c>
      <c r="H10" s="103">
        <f>VLOOKUP($A10,'OI(Volume)'!$A$7:$O$427,8)</f>
        <v>23184900</v>
      </c>
      <c r="I10" s="103">
        <f>VLOOKUP($A10,'OI(Volume)'!$A$7:$O$427,9)</f>
        <v>-145700</v>
      </c>
      <c r="J10" s="103">
        <f>VLOOKUP($A10,'OI(Volume)'!$A$7:$O$427,11)</f>
        <v>14024400</v>
      </c>
      <c r="K10" s="103">
        <f>VLOOKUP($A10,'OI(Volume)'!$A$7:$O$427,12)</f>
        <v>-40300</v>
      </c>
      <c r="L10" s="103">
        <f>VLOOKUP($A10,'OI(Value)'!$A$7:$O$306,8,0)</f>
        <v>625</v>
      </c>
      <c r="M10" s="103">
        <f>VLOOKUP($A10,'OI(Value)'!$A$7:$O$306,9,0)</f>
        <v>-4</v>
      </c>
      <c r="N10" s="103">
        <f>VLOOKUP($A10,'OI(Value)'!$A$7:$O$306,11,0)</f>
        <v>378</v>
      </c>
      <c r="O10" s="103">
        <f>VLOOKUP($A10,'OI(Value)'!$A$7:$O$306,12,0)</f>
        <v>-1</v>
      </c>
      <c r="P10" s="179">
        <f>VLOOKUP(A10,'OI(Value)'!A10:O211,8,0)</f>
        <v>625</v>
      </c>
      <c r="Q10" s="179">
        <f>VLOOKUP(A10,'OI(Value)'!A10:O211,9,0)</f>
        <v>-4</v>
      </c>
      <c r="R10" s="179">
        <f>VLOOKUP(A10,'OI(Value)'!A10:O211,11,0)</f>
        <v>378</v>
      </c>
      <c r="S10" s="179">
        <f>VLOOKUP(A10,'OI(Value)'!A10:O211,11,0)</f>
        <v>378</v>
      </c>
    </row>
    <row r="11" spans="1:19" x14ac:dyDescent="0.25">
      <c r="A11" s="105" t="str">
        <f>'Data shares'!C6</f>
        <v>ABFRL</v>
      </c>
      <c r="B11" s="143">
        <f>VLOOKUP($A11,'Data shares'!$C:$FA,118)</f>
        <v>0.7</v>
      </c>
      <c r="C11" s="143">
        <f>VLOOKUP($A11,'Data shares'!$C:$FA,119)</f>
        <v>0.68</v>
      </c>
      <c r="D11" s="143">
        <f>VLOOKUP($A11,'Data shares'!$C:$FA,121)*100</f>
        <v>2.94</v>
      </c>
      <c r="E11" s="143">
        <f>VLOOKUP($A11,'Data shares'!$C:$FA,124)</f>
        <v>0.26</v>
      </c>
      <c r="F11" s="143">
        <f>VLOOKUP($A11,'Data shares'!$C:$FA,125)</f>
        <v>0.31</v>
      </c>
      <c r="G11" s="143">
        <f>VLOOKUP($A11,'Data shares'!$C:$FA,127)*100</f>
        <v>-16.13</v>
      </c>
      <c r="H11" s="103">
        <f>VLOOKUP($A11,'OI(Volume)'!$A$7:$O$427,8)</f>
        <v>30040400</v>
      </c>
      <c r="I11" s="103">
        <f>VLOOKUP($A11,'OI(Volume)'!$A$7:$O$427,9)</f>
        <v>-626600</v>
      </c>
      <c r="J11" s="103">
        <f>VLOOKUP($A11,'OI(Volume)'!$A$7:$O$427,11)</f>
        <v>21101600</v>
      </c>
      <c r="K11" s="103">
        <f>VLOOKUP($A11,'OI(Volume)'!$A$7:$O$427,12)</f>
        <v>231400</v>
      </c>
      <c r="L11" s="103">
        <f>VLOOKUP($A11,'OI(Value)'!$A$7:$O$306,8,0)</f>
        <v>227</v>
      </c>
      <c r="M11" s="103">
        <f>VLOOKUP($A11,'OI(Value)'!$A$7:$O$306,9,0)</f>
        <v>-5</v>
      </c>
      <c r="N11" s="103">
        <f>VLOOKUP($A11,'OI(Value)'!$A$7:$O$306,11,0)</f>
        <v>160</v>
      </c>
      <c r="O11" s="103">
        <f>VLOOKUP($A11,'OI(Value)'!$A$7:$O$306,12,0)</f>
        <v>2</v>
      </c>
      <c r="P11" s="179">
        <f>VLOOKUP(A11,'OI(Value)'!A11:O212,8,0)</f>
        <v>227</v>
      </c>
      <c r="Q11" s="179">
        <f>VLOOKUP(A11,'OI(Value)'!A11:O212,9,0)</f>
        <v>-5</v>
      </c>
      <c r="R11" s="179">
        <f>VLOOKUP(A11,'OI(Value)'!A11:O212,11,0)</f>
        <v>160</v>
      </c>
      <c r="S11" s="179">
        <f>VLOOKUP(A11,'OI(Value)'!A11:O212,11,0)</f>
        <v>160</v>
      </c>
    </row>
    <row r="12" spans="1:19" x14ac:dyDescent="0.25">
      <c r="A12" s="105" t="str">
        <f>'Data shares'!C7</f>
        <v>ACC</v>
      </c>
      <c r="B12" s="143">
        <f>VLOOKUP($A12,'Data shares'!$C:$FA,118)</f>
        <v>0.63</v>
      </c>
      <c r="C12" s="143">
        <f>VLOOKUP($A12,'Data shares'!$C:$FA,119)</f>
        <v>0.62</v>
      </c>
      <c r="D12" s="143">
        <f>VLOOKUP($A12,'Data shares'!$C:$FA,121)*100</f>
        <v>1.6099999999999999</v>
      </c>
      <c r="E12" s="143">
        <f>VLOOKUP($A12,'Data shares'!$C:$FA,124)</f>
        <v>0.23</v>
      </c>
      <c r="F12" s="143">
        <f>VLOOKUP($A12,'Data shares'!$C:$FA,125)</f>
        <v>0.27</v>
      </c>
      <c r="G12" s="143">
        <f>VLOOKUP($A12,'Data shares'!$C:$FA,127)*100</f>
        <v>-14.81</v>
      </c>
      <c r="H12" s="103">
        <f>VLOOKUP($A12,'OI(Volume)'!$A$7:$O$427,8)</f>
        <v>1913100</v>
      </c>
      <c r="I12" s="103">
        <f>VLOOKUP($A12,'OI(Volume)'!$A$7:$O$427,9)</f>
        <v>78300</v>
      </c>
      <c r="J12" s="103">
        <f>VLOOKUP($A12,'OI(Volume)'!$A$7:$O$427,11)</f>
        <v>1206900</v>
      </c>
      <c r="K12" s="103">
        <f>VLOOKUP($A12,'OI(Volume)'!$A$7:$O$427,12)</f>
        <v>65100</v>
      </c>
      <c r="L12" s="103">
        <f>VLOOKUP($A12,'OI(Value)'!$A$7:$O$306,8,0)</f>
        <v>375</v>
      </c>
      <c r="M12" s="103">
        <f>VLOOKUP($A12,'OI(Value)'!$A$7:$O$306,9,0)</f>
        <v>15</v>
      </c>
      <c r="N12" s="103">
        <f>VLOOKUP($A12,'OI(Value)'!$A$7:$O$306,11,0)</f>
        <v>237</v>
      </c>
      <c r="O12" s="103">
        <f>VLOOKUP($A12,'OI(Value)'!$A$7:$O$306,12,0)</f>
        <v>13</v>
      </c>
      <c r="P12" s="179">
        <f>VLOOKUP(A12,'OI(Value)'!A12:O213,8,0)</f>
        <v>375</v>
      </c>
      <c r="Q12" s="179">
        <f>VLOOKUP(A12,'OI(Value)'!A12:O213,9,0)</f>
        <v>15</v>
      </c>
      <c r="R12" s="179">
        <f>VLOOKUP(A12,'OI(Value)'!A12:O213,11,0)</f>
        <v>237</v>
      </c>
      <c r="S12" s="179">
        <f>VLOOKUP(A12,'OI(Value)'!A12:O213,11,0)</f>
        <v>237</v>
      </c>
    </row>
    <row r="13" spans="1:19" x14ac:dyDescent="0.25">
      <c r="A13" s="105" t="str">
        <f>'Data shares'!C8</f>
        <v>ADANIENSOL</v>
      </c>
      <c r="B13" s="143">
        <f>VLOOKUP($A13,'Data shares'!$C:$FA,118)</f>
        <v>0.68</v>
      </c>
      <c r="C13" s="143">
        <f>VLOOKUP($A13,'Data shares'!$C:$FA,119)</f>
        <v>0.67</v>
      </c>
      <c r="D13" s="143">
        <f>VLOOKUP($A13,'Data shares'!$C:$FA,121)*100</f>
        <v>1.49</v>
      </c>
      <c r="E13" s="143">
        <f>VLOOKUP($A13,'Data shares'!$C:$FA,124)</f>
        <v>0.26</v>
      </c>
      <c r="F13" s="143">
        <f>VLOOKUP($A13,'Data shares'!$C:$FA,125)</f>
        <v>0.46</v>
      </c>
      <c r="G13" s="143">
        <f>VLOOKUP($A13,'Data shares'!$C:$FA,127)*100</f>
        <v>-43.480000000000004</v>
      </c>
      <c r="H13" s="103">
        <f>VLOOKUP($A13,'OI(Volume)'!$A$7:$O$427,8)</f>
        <v>3671325</v>
      </c>
      <c r="I13" s="103">
        <f>VLOOKUP($A13,'OI(Volume)'!$A$7:$O$427,9)</f>
        <v>-94500</v>
      </c>
      <c r="J13" s="103">
        <f>VLOOKUP($A13,'OI(Volume)'!$A$7:$O$427,11)</f>
        <v>2509650</v>
      </c>
      <c r="K13" s="103">
        <f>VLOOKUP($A13,'OI(Volume)'!$A$7:$O$427,12)</f>
        <v>-24975</v>
      </c>
      <c r="L13" s="103">
        <f>VLOOKUP($A13,'OI(Value)'!$A$7:$O$306,8,0)</f>
        <v>318</v>
      </c>
      <c r="M13" s="103">
        <f>VLOOKUP($A13,'OI(Value)'!$A$7:$O$306,9,0)</f>
        <v>-8</v>
      </c>
      <c r="N13" s="103">
        <f>VLOOKUP($A13,'OI(Value)'!$A$7:$O$306,11,0)</f>
        <v>218</v>
      </c>
      <c r="O13" s="103">
        <f>VLOOKUP($A13,'OI(Value)'!$A$7:$O$306,12,0)</f>
        <v>-2</v>
      </c>
      <c r="P13" s="179">
        <f>VLOOKUP(A13,'OI(Value)'!A13:O214,8,0)</f>
        <v>318</v>
      </c>
      <c r="Q13" s="179">
        <f>VLOOKUP(A13,'OI(Value)'!A13:O214,9,0)</f>
        <v>-8</v>
      </c>
      <c r="R13" s="179">
        <f>VLOOKUP(A13,'OI(Value)'!A13:O214,11,0)</f>
        <v>218</v>
      </c>
      <c r="S13" s="179">
        <f>VLOOKUP(A13,'OI(Value)'!A13:O214,11,0)</f>
        <v>218</v>
      </c>
    </row>
    <row r="14" spans="1:19" x14ac:dyDescent="0.25">
      <c r="A14" s="105" t="str">
        <f>'Data shares'!C9</f>
        <v>ADANIENT</v>
      </c>
      <c r="B14" s="143">
        <f>VLOOKUP($A14,'Data shares'!$C:$FA,118)</f>
        <v>0.82</v>
      </c>
      <c r="C14" s="143">
        <f>VLOOKUP($A14,'Data shares'!$C:$FA,119)</f>
        <v>0.84</v>
      </c>
      <c r="D14" s="143">
        <f>VLOOKUP($A14,'Data shares'!$C:$FA,121)*100</f>
        <v>-2.3800000000000003</v>
      </c>
      <c r="E14" s="143">
        <f>VLOOKUP($A14,'Data shares'!$C:$FA,124)</f>
        <v>0.46</v>
      </c>
      <c r="F14" s="143">
        <f>VLOOKUP($A14,'Data shares'!$C:$FA,125)</f>
        <v>0.55000000000000004</v>
      </c>
      <c r="G14" s="143">
        <f>VLOOKUP($A14,'Data shares'!$C:$FA,127)*100</f>
        <v>-16.36</v>
      </c>
      <c r="H14" s="103">
        <f>VLOOKUP($A14,'OI(Volume)'!$A$7:$O$427,8)</f>
        <v>8240700</v>
      </c>
      <c r="I14" s="103">
        <f>VLOOKUP($A14,'OI(Volume)'!$A$7:$O$427,9)</f>
        <v>172500</v>
      </c>
      <c r="J14" s="103">
        <f>VLOOKUP($A14,'OI(Volume)'!$A$7:$O$427,11)</f>
        <v>6735600</v>
      </c>
      <c r="K14" s="103">
        <f>VLOOKUP($A14,'OI(Volume)'!$A$7:$O$427,12)</f>
        <v>-52800</v>
      </c>
      <c r="L14" s="103">
        <f>VLOOKUP($A14,'OI(Value)'!$A$7:$O$306,8,0)</f>
        <v>2138</v>
      </c>
      <c r="M14" s="103">
        <f>VLOOKUP($A14,'OI(Value)'!$A$7:$O$306,9,0)</f>
        <v>45</v>
      </c>
      <c r="N14" s="103">
        <f>VLOOKUP($A14,'OI(Value)'!$A$7:$O$306,11,0)</f>
        <v>1748</v>
      </c>
      <c r="O14" s="103">
        <f>VLOOKUP($A14,'OI(Value)'!$A$7:$O$306,12,0)</f>
        <v>-14</v>
      </c>
      <c r="P14" s="179">
        <f>VLOOKUP(A14,'OI(Value)'!A14:O215,8,0)</f>
        <v>2138</v>
      </c>
      <c r="Q14" s="179">
        <f>VLOOKUP(A14,'OI(Value)'!A14:O215,9,0)</f>
        <v>45</v>
      </c>
      <c r="R14" s="179">
        <f>VLOOKUP(A14,'OI(Value)'!A14:O215,11,0)</f>
        <v>1748</v>
      </c>
      <c r="S14" s="179">
        <f>VLOOKUP(A14,'OI(Value)'!A14:O215,11,0)</f>
        <v>1748</v>
      </c>
    </row>
    <row r="15" spans="1:19" x14ac:dyDescent="0.25">
      <c r="A15" s="105" t="str">
        <f>'Data shares'!C10</f>
        <v>ADANIGREEN</v>
      </c>
      <c r="B15" s="143">
        <f>VLOOKUP($A15,'Data shares'!$C:$FA,118)</f>
        <v>0.61</v>
      </c>
      <c r="C15" s="143">
        <f>VLOOKUP($A15,'Data shares'!$C:$FA,119)</f>
        <v>0.55000000000000004</v>
      </c>
      <c r="D15" s="143">
        <f>VLOOKUP($A15,'Data shares'!$C:$FA,121)*100</f>
        <v>10.91</v>
      </c>
      <c r="E15" s="143">
        <f>VLOOKUP($A15,'Data shares'!$C:$FA,124)</f>
        <v>0.39</v>
      </c>
      <c r="F15" s="143">
        <f>VLOOKUP($A15,'Data shares'!$C:$FA,125)</f>
        <v>0.2</v>
      </c>
      <c r="G15" s="143">
        <f>VLOOKUP($A15,'Data shares'!$C:$FA,127)*100</f>
        <v>95</v>
      </c>
      <c r="H15" s="103">
        <f>VLOOKUP($A15,'OI(Volume)'!$A$7:$O$427,8)</f>
        <v>7718400</v>
      </c>
      <c r="I15" s="103">
        <f>VLOOKUP($A15,'OI(Volume)'!$A$7:$O$427,9)</f>
        <v>-661200</v>
      </c>
      <c r="J15" s="103">
        <f>VLOOKUP($A15,'OI(Volume)'!$A$7:$O$427,11)</f>
        <v>4669800</v>
      </c>
      <c r="K15" s="103">
        <f>VLOOKUP($A15,'OI(Volume)'!$A$7:$O$427,12)</f>
        <v>37200</v>
      </c>
      <c r="L15" s="103">
        <f>VLOOKUP($A15,'OI(Value)'!$A$7:$O$306,8,0)</f>
        <v>784</v>
      </c>
      <c r="M15" s="103">
        <f>VLOOKUP($A15,'OI(Value)'!$A$7:$O$306,9,0)</f>
        <v>-67</v>
      </c>
      <c r="N15" s="103">
        <f>VLOOKUP($A15,'OI(Value)'!$A$7:$O$306,11,0)</f>
        <v>475</v>
      </c>
      <c r="O15" s="103">
        <f>VLOOKUP($A15,'OI(Value)'!$A$7:$O$306,12,0)</f>
        <v>4</v>
      </c>
      <c r="P15" s="179">
        <f>VLOOKUP(A15,'OI(Value)'!A15:O216,8,0)</f>
        <v>784</v>
      </c>
      <c r="Q15" s="179">
        <f>VLOOKUP(A15,'OI(Value)'!A15:O216,9,0)</f>
        <v>-67</v>
      </c>
      <c r="R15" s="179">
        <f>VLOOKUP(A15,'OI(Value)'!A15:O216,11,0)</f>
        <v>475</v>
      </c>
      <c r="S15" s="179">
        <f>VLOOKUP(A15,'OI(Value)'!A15:O216,11,0)</f>
        <v>475</v>
      </c>
    </row>
    <row r="16" spans="1:19" x14ac:dyDescent="0.25">
      <c r="A16" s="105" t="str">
        <f>'Data shares'!C11</f>
        <v>ADANIPORTS</v>
      </c>
      <c r="B16" s="143">
        <f>VLOOKUP($A16,'Data shares'!$C:$FA,118)</f>
        <v>0.74</v>
      </c>
      <c r="C16" s="143">
        <f>VLOOKUP($A16,'Data shares'!$C:$FA,119)</f>
        <v>0.74</v>
      </c>
      <c r="D16" s="143">
        <f>VLOOKUP($A16,'Data shares'!$C:$FA,121)*100</f>
        <v>0</v>
      </c>
      <c r="E16" s="143">
        <f>VLOOKUP($A16,'Data shares'!$C:$FA,124)</f>
        <v>0.56999999999999995</v>
      </c>
      <c r="F16" s="143">
        <f>VLOOKUP($A16,'Data shares'!$C:$FA,125)</f>
        <v>0.39</v>
      </c>
      <c r="G16" s="143">
        <f>VLOOKUP($A16,'Data shares'!$C:$FA,127)*100</f>
        <v>46.150000000000006</v>
      </c>
      <c r="H16" s="103">
        <f>VLOOKUP($A16,'OI(Volume)'!$A$7:$O$427,8)</f>
        <v>8110150</v>
      </c>
      <c r="I16" s="103">
        <f>VLOOKUP($A16,'OI(Volume)'!$A$7:$O$427,9)</f>
        <v>223250</v>
      </c>
      <c r="J16" s="103">
        <f>VLOOKUP($A16,'OI(Volume)'!$A$7:$O$427,11)</f>
        <v>6031075</v>
      </c>
      <c r="K16" s="103">
        <f>VLOOKUP($A16,'OI(Volume)'!$A$7:$O$427,12)</f>
        <v>171000</v>
      </c>
      <c r="L16" s="103">
        <f>VLOOKUP($A16,'OI(Value)'!$A$7:$O$306,8,0)</f>
        <v>1156</v>
      </c>
      <c r="M16" s="103">
        <f>VLOOKUP($A16,'OI(Value)'!$A$7:$O$306,9,0)</f>
        <v>32</v>
      </c>
      <c r="N16" s="103">
        <f>VLOOKUP($A16,'OI(Value)'!$A$7:$O$306,11,0)</f>
        <v>860</v>
      </c>
      <c r="O16" s="103">
        <f>VLOOKUP($A16,'OI(Value)'!$A$7:$O$306,12,0)</f>
        <v>24</v>
      </c>
      <c r="P16" s="179">
        <f>VLOOKUP(A16,'OI(Value)'!A16:O217,8,0)</f>
        <v>1156</v>
      </c>
      <c r="Q16" s="179">
        <f>VLOOKUP(A16,'OI(Value)'!A16:O217,9,0)</f>
        <v>32</v>
      </c>
      <c r="R16" s="179">
        <f>VLOOKUP(A16,'OI(Value)'!A16:O217,11,0)</f>
        <v>860</v>
      </c>
      <c r="S16" s="179">
        <f>VLOOKUP(A16,'OI(Value)'!A16:O217,11,0)</f>
        <v>860</v>
      </c>
    </row>
    <row r="17" spans="1:19" x14ac:dyDescent="0.25">
      <c r="A17" s="105" t="str">
        <f>'Data shares'!C12</f>
        <v>ALKEM</v>
      </c>
      <c r="B17" s="143">
        <f>VLOOKUP($A17,'Data shares'!$C:$FA,118)</f>
        <v>0.56999999999999995</v>
      </c>
      <c r="C17" s="143">
        <f>VLOOKUP($A17,'Data shares'!$C:$FA,119)</f>
        <v>0.6</v>
      </c>
      <c r="D17" s="143">
        <f>VLOOKUP($A17,'Data shares'!$C:$FA,121)*100</f>
        <v>-5</v>
      </c>
      <c r="E17" s="143">
        <f>VLOOKUP($A17,'Data shares'!$C:$FA,124)</f>
        <v>0.33</v>
      </c>
      <c r="F17" s="143">
        <f>VLOOKUP($A17,'Data shares'!$C:$FA,125)</f>
        <v>0.67</v>
      </c>
      <c r="G17" s="143">
        <f>VLOOKUP($A17,'Data shares'!$C:$FA,127)*100</f>
        <v>-50.749999999999993</v>
      </c>
      <c r="H17" s="103">
        <f>VLOOKUP($A17,'OI(Volume)'!$A$7:$O$427,8)</f>
        <v>349500</v>
      </c>
      <c r="I17" s="103">
        <f>VLOOKUP($A17,'OI(Volume)'!$A$7:$O$427,9)</f>
        <v>17250</v>
      </c>
      <c r="J17" s="103">
        <f>VLOOKUP($A17,'OI(Volume)'!$A$7:$O$427,11)</f>
        <v>200750</v>
      </c>
      <c r="K17" s="103">
        <f>VLOOKUP($A17,'OI(Volume)'!$A$7:$O$427,12)</f>
        <v>2000</v>
      </c>
      <c r="L17" s="103">
        <f>VLOOKUP($A17,'OI(Value)'!$A$7:$O$306,8,0)</f>
        <v>174</v>
      </c>
      <c r="M17" s="103">
        <f>VLOOKUP($A17,'OI(Value)'!$A$7:$O$306,9,0)</f>
        <v>9</v>
      </c>
      <c r="N17" s="103">
        <f>VLOOKUP($A17,'OI(Value)'!$A$7:$O$306,11,0)</f>
        <v>100</v>
      </c>
      <c r="O17" s="103">
        <f>VLOOKUP($A17,'OI(Value)'!$A$7:$O$306,12,0)</f>
        <v>1</v>
      </c>
      <c r="P17" s="179">
        <f>VLOOKUP(A17,'OI(Value)'!A17:O218,8,0)</f>
        <v>174</v>
      </c>
      <c r="Q17" s="179">
        <f>VLOOKUP(A17,'OI(Value)'!A17:O218,9,0)</f>
        <v>9</v>
      </c>
      <c r="R17" s="179">
        <f>VLOOKUP(A17,'OI(Value)'!A17:O218,11,0)</f>
        <v>100</v>
      </c>
      <c r="S17" s="179">
        <f>VLOOKUP(A17,'OI(Value)'!A17:O218,11,0)</f>
        <v>100</v>
      </c>
    </row>
    <row r="18" spans="1:19" x14ac:dyDescent="0.25">
      <c r="A18" s="105" t="str">
        <f>'Data shares'!C13</f>
        <v>AMBER</v>
      </c>
      <c r="B18" s="143">
        <f>VLOOKUP($A18,'Data shares'!$C:$FA,118)</f>
        <v>0.57999999999999996</v>
      </c>
      <c r="C18" s="143">
        <f>VLOOKUP($A18,'Data shares'!$C:$FA,119)</f>
        <v>0.56999999999999995</v>
      </c>
      <c r="D18" s="143">
        <f>VLOOKUP($A18,'Data shares'!$C:$FA,121)*100</f>
        <v>1.7500000000000002</v>
      </c>
      <c r="E18" s="143">
        <f>VLOOKUP($A18,'Data shares'!$C:$FA,124)</f>
        <v>0.2</v>
      </c>
      <c r="F18" s="143">
        <f>VLOOKUP($A18,'Data shares'!$C:$FA,125)</f>
        <v>0.37</v>
      </c>
      <c r="G18" s="143">
        <f>VLOOKUP($A18,'Data shares'!$C:$FA,127)*100</f>
        <v>-45.95</v>
      </c>
      <c r="H18" s="103">
        <f>VLOOKUP($A18,'OI(Volume)'!$A$7:$O$427,8)</f>
        <v>306500</v>
      </c>
      <c r="I18" s="103">
        <f>VLOOKUP($A18,'OI(Volume)'!$A$7:$O$427,9)</f>
        <v>-8400</v>
      </c>
      <c r="J18" s="103">
        <f>VLOOKUP($A18,'OI(Volume)'!$A$7:$O$427,11)</f>
        <v>179200</v>
      </c>
      <c r="K18" s="103">
        <f>VLOOKUP($A18,'OI(Volume)'!$A$7:$O$427,12)</f>
        <v>600</v>
      </c>
      <c r="L18" s="103">
        <f>VLOOKUP($A18,'OI(Value)'!$A$7:$O$306,8,0)</f>
        <v>226</v>
      </c>
      <c r="M18" s="103">
        <f>VLOOKUP($A18,'OI(Value)'!$A$7:$O$306,9,0)</f>
        <v>-6</v>
      </c>
      <c r="N18" s="103">
        <f>VLOOKUP($A18,'OI(Value)'!$A$7:$O$306,11,0)</f>
        <v>132</v>
      </c>
      <c r="O18" s="103">
        <f>VLOOKUP($A18,'OI(Value)'!$A$7:$O$306,12,0)</f>
        <v>0</v>
      </c>
      <c r="P18" s="179">
        <f>VLOOKUP(A18,'OI(Value)'!A18:O219,8,0)</f>
        <v>226</v>
      </c>
      <c r="Q18" s="179">
        <f>VLOOKUP(A18,'OI(Value)'!A18:O219,9,0)</f>
        <v>-6</v>
      </c>
      <c r="R18" s="179">
        <f>VLOOKUP(A18,'OI(Value)'!A18:O219,11,0)</f>
        <v>132</v>
      </c>
      <c r="S18" s="179">
        <f>VLOOKUP(A18,'OI(Value)'!A18:O219,11,0)</f>
        <v>132</v>
      </c>
    </row>
    <row r="19" spans="1:19" x14ac:dyDescent="0.25">
      <c r="A19" s="105" t="str">
        <f>'Data shares'!C14</f>
        <v>AMBUJACEM</v>
      </c>
      <c r="B19" s="143">
        <f>VLOOKUP($A19,'Data shares'!$C:$FA,118)</f>
        <v>0.86</v>
      </c>
      <c r="C19" s="143">
        <f>VLOOKUP($A19,'Data shares'!$C:$FA,119)</f>
        <v>0.74</v>
      </c>
      <c r="D19" s="143">
        <f>VLOOKUP($A19,'Data shares'!$C:$FA,121)*100</f>
        <v>16.220000000000002</v>
      </c>
      <c r="E19" s="143">
        <f>VLOOKUP($A19,'Data shares'!$C:$FA,124)</f>
        <v>0.39</v>
      </c>
      <c r="F19" s="143">
        <f>VLOOKUP($A19,'Data shares'!$C:$FA,125)</f>
        <v>0.27</v>
      </c>
      <c r="G19" s="143">
        <f>VLOOKUP($A19,'Data shares'!$C:$FA,127)*100</f>
        <v>44.440000000000005</v>
      </c>
      <c r="H19" s="103">
        <f>VLOOKUP($A19,'OI(Volume)'!$A$7:$O$427,8)</f>
        <v>9138150</v>
      </c>
      <c r="I19" s="103">
        <f>VLOOKUP($A19,'OI(Volume)'!$A$7:$O$427,9)</f>
        <v>-559650</v>
      </c>
      <c r="J19" s="103">
        <f>VLOOKUP($A19,'OI(Volume)'!$A$7:$O$427,11)</f>
        <v>7875000</v>
      </c>
      <c r="K19" s="103">
        <f>VLOOKUP($A19,'OI(Volume)'!$A$7:$O$427,12)</f>
        <v>723450</v>
      </c>
      <c r="L19" s="103">
        <f>VLOOKUP($A19,'OI(Value)'!$A$7:$O$306,8,0)</f>
        <v>567</v>
      </c>
      <c r="M19" s="103">
        <f>VLOOKUP($A19,'OI(Value)'!$A$7:$O$306,9,0)</f>
        <v>-35</v>
      </c>
      <c r="N19" s="103">
        <f>VLOOKUP($A19,'OI(Value)'!$A$7:$O$306,11,0)</f>
        <v>489</v>
      </c>
      <c r="O19" s="103">
        <f>VLOOKUP($A19,'OI(Value)'!$A$7:$O$306,12,0)</f>
        <v>45</v>
      </c>
      <c r="P19" s="179">
        <f>VLOOKUP(A19,'OI(Value)'!A19:O220,8,0)</f>
        <v>567</v>
      </c>
      <c r="Q19" s="179">
        <f>VLOOKUP(A19,'OI(Value)'!A19:O220,9,0)</f>
        <v>-35</v>
      </c>
      <c r="R19" s="179">
        <f>VLOOKUP(A19,'OI(Value)'!A19:O220,11,0)</f>
        <v>489</v>
      </c>
      <c r="S19" s="179">
        <f>VLOOKUP(A19,'OI(Value)'!A19:O220,11,0)</f>
        <v>489</v>
      </c>
    </row>
    <row r="20" spans="1:19" x14ac:dyDescent="0.25">
      <c r="A20" s="105" t="str">
        <f>'Data shares'!C15</f>
        <v>ANGELONE</v>
      </c>
      <c r="B20" s="143">
        <f>VLOOKUP($A20,'Data shares'!$C:$FA,118)</f>
        <v>0.57999999999999996</v>
      </c>
      <c r="C20" s="143">
        <f>VLOOKUP($A20,'Data shares'!$C:$FA,119)</f>
        <v>0.67</v>
      </c>
      <c r="D20" s="143">
        <f>VLOOKUP($A20,'Data shares'!$C:$FA,121)*100</f>
        <v>-13.43</v>
      </c>
      <c r="E20" s="143">
        <f>VLOOKUP($A20,'Data shares'!$C:$FA,124)</f>
        <v>0.34</v>
      </c>
      <c r="F20" s="143">
        <f>VLOOKUP($A20,'Data shares'!$C:$FA,125)</f>
        <v>1.35</v>
      </c>
      <c r="G20" s="143">
        <f>VLOOKUP($A20,'Data shares'!$C:$FA,127)*100</f>
        <v>-74.81</v>
      </c>
      <c r="H20" s="103">
        <f>VLOOKUP($A20,'OI(Volume)'!$A$7:$O$427,8)</f>
        <v>3855250</v>
      </c>
      <c r="I20" s="103">
        <f>VLOOKUP($A20,'OI(Volume)'!$A$7:$O$427,9)</f>
        <v>211250</v>
      </c>
      <c r="J20" s="103">
        <f>VLOOKUP($A20,'OI(Volume)'!$A$7:$O$427,11)</f>
        <v>2222000</v>
      </c>
      <c r="K20" s="103">
        <f>VLOOKUP($A20,'OI(Volume)'!$A$7:$O$427,12)</f>
        <v>-215750</v>
      </c>
      <c r="L20" s="103">
        <f>VLOOKUP($A20,'OI(Value)'!$A$7:$O$306,8,0)</f>
        <v>1086</v>
      </c>
      <c r="M20" s="103">
        <f>VLOOKUP($A20,'OI(Value)'!$A$7:$O$306,9,0)</f>
        <v>60</v>
      </c>
      <c r="N20" s="103">
        <f>VLOOKUP($A20,'OI(Value)'!$A$7:$O$306,11,0)</f>
        <v>626</v>
      </c>
      <c r="O20" s="103">
        <f>VLOOKUP($A20,'OI(Value)'!$A$7:$O$306,12,0)</f>
        <v>-61</v>
      </c>
      <c r="P20" s="179">
        <f>VLOOKUP(A20,'OI(Value)'!A20:O221,8,0)</f>
        <v>1086</v>
      </c>
      <c r="Q20" s="179">
        <f>VLOOKUP(A20,'OI(Value)'!A20:O221,9,0)</f>
        <v>60</v>
      </c>
      <c r="R20" s="179">
        <f>VLOOKUP(A20,'OI(Value)'!A20:O221,11,0)</f>
        <v>626</v>
      </c>
      <c r="S20" s="179">
        <f>VLOOKUP(A20,'OI(Value)'!A20:O221,11,0)</f>
        <v>626</v>
      </c>
    </row>
    <row r="21" spans="1:19" x14ac:dyDescent="0.25">
      <c r="A21" s="105" t="str">
        <f>'Data shares'!C16</f>
        <v>APLAPOLLO</v>
      </c>
      <c r="B21" s="143">
        <f>VLOOKUP($A21,'Data shares'!$C:$FA,118)</f>
        <v>0.67</v>
      </c>
      <c r="C21" s="143">
        <f>VLOOKUP($A21,'Data shares'!$C:$FA,119)</f>
        <v>0.7</v>
      </c>
      <c r="D21" s="143">
        <f>VLOOKUP($A21,'Data shares'!$C:$FA,121)*100</f>
        <v>-4.29</v>
      </c>
      <c r="E21" s="143">
        <f>VLOOKUP($A21,'Data shares'!$C:$FA,124)</f>
        <v>0.54</v>
      </c>
      <c r="F21" s="143">
        <f>VLOOKUP($A21,'Data shares'!$C:$FA,125)</f>
        <v>0.54</v>
      </c>
      <c r="G21" s="143">
        <f>VLOOKUP($A21,'Data shares'!$C:$FA,127)*100</f>
        <v>0</v>
      </c>
      <c r="H21" s="103">
        <f>VLOOKUP($A21,'OI(Volume)'!$A$7:$O$427,8)</f>
        <v>2592100</v>
      </c>
      <c r="I21" s="103">
        <f>VLOOKUP($A21,'OI(Volume)'!$A$7:$O$427,9)</f>
        <v>126350</v>
      </c>
      <c r="J21" s="103">
        <f>VLOOKUP($A21,'OI(Volume)'!$A$7:$O$427,11)</f>
        <v>1729000</v>
      </c>
      <c r="K21" s="103">
        <f>VLOOKUP($A21,'OI(Volume)'!$A$7:$O$427,12)</f>
        <v>13650</v>
      </c>
      <c r="L21" s="103">
        <f>VLOOKUP($A21,'OI(Value)'!$A$7:$O$306,8,0)</f>
        <v>431</v>
      </c>
      <c r="M21" s="103">
        <f>VLOOKUP($A21,'OI(Value)'!$A$7:$O$306,9,0)</f>
        <v>21</v>
      </c>
      <c r="N21" s="103">
        <f>VLOOKUP($A21,'OI(Value)'!$A$7:$O$306,11,0)</f>
        <v>287</v>
      </c>
      <c r="O21" s="103">
        <f>VLOOKUP($A21,'OI(Value)'!$A$7:$O$306,12,0)</f>
        <v>2</v>
      </c>
      <c r="P21" s="179">
        <f>VLOOKUP(A21,'OI(Value)'!A21:O222,8,0)</f>
        <v>431</v>
      </c>
      <c r="Q21" s="179">
        <f>VLOOKUP(A21,'OI(Value)'!A21:O222,9,0)</f>
        <v>21</v>
      </c>
      <c r="R21" s="179">
        <f>VLOOKUP(A21,'OI(Value)'!A21:O222,11,0)</f>
        <v>287</v>
      </c>
      <c r="S21" s="179">
        <f>VLOOKUP(A21,'OI(Value)'!A21:O222,11,0)</f>
        <v>287</v>
      </c>
    </row>
    <row r="22" spans="1:19" x14ac:dyDescent="0.25">
      <c r="A22" s="105" t="str">
        <f>'Data shares'!C17</f>
        <v>APOLLOHOSP</v>
      </c>
      <c r="B22" s="143">
        <f>VLOOKUP($A22,'Data shares'!$C:$FA,118)</f>
        <v>0.48</v>
      </c>
      <c r="C22" s="143">
        <f>VLOOKUP($A22,'Data shares'!$C:$FA,119)</f>
        <v>0.49</v>
      </c>
      <c r="D22" s="143">
        <f>VLOOKUP($A22,'Data shares'!$C:$FA,121)*100</f>
        <v>-2.04</v>
      </c>
      <c r="E22" s="143">
        <f>VLOOKUP($A22,'Data shares'!$C:$FA,124)</f>
        <v>0.46</v>
      </c>
      <c r="F22" s="143">
        <f>VLOOKUP($A22,'Data shares'!$C:$FA,125)</f>
        <v>0.61</v>
      </c>
      <c r="G22" s="143">
        <f>VLOOKUP($A22,'Data shares'!$C:$FA,127)*100</f>
        <v>-24.59</v>
      </c>
      <c r="H22" s="103">
        <f>VLOOKUP($A22,'OI(Volume)'!$A$7:$O$427,8)</f>
        <v>2003875</v>
      </c>
      <c r="I22" s="103">
        <f>VLOOKUP($A22,'OI(Volume)'!$A$7:$O$427,9)</f>
        <v>41500</v>
      </c>
      <c r="J22" s="103">
        <f>VLOOKUP($A22,'OI(Volume)'!$A$7:$O$427,11)</f>
        <v>957250</v>
      </c>
      <c r="K22" s="103">
        <f>VLOOKUP($A22,'OI(Volume)'!$A$7:$O$427,12)</f>
        <v>-12500</v>
      </c>
      <c r="L22" s="103">
        <f>VLOOKUP($A22,'OI(Value)'!$A$7:$O$306,8,0)</f>
        <v>1454</v>
      </c>
      <c r="M22" s="103">
        <f>VLOOKUP($A22,'OI(Value)'!$A$7:$O$306,9,0)</f>
        <v>30</v>
      </c>
      <c r="N22" s="103">
        <f>VLOOKUP($A22,'OI(Value)'!$A$7:$O$306,11,0)</f>
        <v>695</v>
      </c>
      <c r="O22" s="103">
        <f>VLOOKUP($A22,'OI(Value)'!$A$7:$O$306,12,0)</f>
        <v>-9</v>
      </c>
      <c r="P22" s="179">
        <f>VLOOKUP(A22,'OI(Value)'!A22:O223,8,0)</f>
        <v>1454</v>
      </c>
      <c r="Q22" s="179">
        <f>VLOOKUP(A22,'OI(Value)'!A22:O223,9,0)</f>
        <v>30</v>
      </c>
      <c r="R22" s="179">
        <f>VLOOKUP(A22,'OI(Value)'!A22:O223,11,0)</f>
        <v>695</v>
      </c>
      <c r="S22" s="179">
        <f>VLOOKUP(A22,'OI(Value)'!A22:O223,11,0)</f>
        <v>695</v>
      </c>
    </row>
    <row r="23" spans="1:19" x14ac:dyDescent="0.25">
      <c r="A23" s="105" t="str">
        <f>'Data shares'!C18</f>
        <v>ASHOKLEY</v>
      </c>
      <c r="B23" s="143">
        <f>VLOOKUP($A23,'Data shares'!$C:$FA,118)</f>
        <v>0.69</v>
      </c>
      <c r="C23" s="143">
        <f>VLOOKUP($A23,'Data shares'!$C:$FA,119)</f>
        <v>0.69</v>
      </c>
      <c r="D23" s="143">
        <f>VLOOKUP($A23,'Data shares'!$C:$FA,121)*100</f>
        <v>0</v>
      </c>
      <c r="E23" s="143">
        <f>VLOOKUP($A23,'Data shares'!$C:$FA,124)</f>
        <v>0.67</v>
      </c>
      <c r="F23" s="143">
        <f>VLOOKUP($A23,'Data shares'!$C:$FA,125)</f>
        <v>0.59</v>
      </c>
      <c r="G23" s="143">
        <f>VLOOKUP($A23,'Data shares'!$C:$FA,127)*100</f>
        <v>13.56</v>
      </c>
      <c r="H23" s="103">
        <f>VLOOKUP($A23,'OI(Volume)'!$A$7:$O$427,8)</f>
        <v>33525000</v>
      </c>
      <c r="I23" s="103">
        <f>VLOOKUP($A23,'OI(Volume)'!$A$7:$O$427,9)</f>
        <v>315000</v>
      </c>
      <c r="J23" s="103">
        <f>VLOOKUP($A23,'OI(Volume)'!$A$7:$O$427,11)</f>
        <v>22970000</v>
      </c>
      <c r="K23" s="103">
        <f>VLOOKUP($A23,'OI(Volume)'!$A$7:$O$427,12)</f>
        <v>-110000</v>
      </c>
      <c r="L23" s="103">
        <f>VLOOKUP($A23,'OI(Value)'!$A$7:$O$306,8,0)</f>
        <v>416</v>
      </c>
      <c r="M23" s="103">
        <f>VLOOKUP($A23,'OI(Value)'!$A$7:$O$306,9,0)</f>
        <v>4</v>
      </c>
      <c r="N23" s="103">
        <f>VLOOKUP($A23,'OI(Value)'!$A$7:$O$306,11,0)</f>
        <v>285</v>
      </c>
      <c r="O23" s="103">
        <f>VLOOKUP($A23,'OI(Value)'!$A$7:$O$306,12,0)</f>
        <v>-1</v>
      </c>
      <c r="P23" s="179">
        <f>VLOOKUP(A23,'OI(Value)'!A23:O224,8,0)</f>
        <v>416</v>
      </c>
      <c r="Q23" s="179">
        <f>VLOOKUP(A23,'OI(Value)'!A23:O224,9,0)</f>
        <v>4</v>
      </c>
      <c r="R23" s="179">
        <f>VLOOKUP(A23,'OI(Value)'!A23:O224,11,0)</f>
        <v>285</v>
      </c>
      <c r="S23" s="179">
        <f>VLOOKUP(A23,'OI(Value)'!A23:O224,11,0)</f>
        <v>285</v>
      </c>
    </row>
    <row r="24" spans="1:19" x14ac:dyDescent="0.25">
      <c r="A24" s="105" t="str">
        <f>'Data shares'!C19</f>
        <v>ASIANPAINT</v>
      </c>
      <c r="B24" s="143">
        <f>VLOOKUP($A24,'Data shares'!$C:$FA,118)</f>
        <v>0.49</v>
      </c>
      <c r="C24" s="143">
        <f>VLOOKUP($A24,'Data shares'!$C:$FA,119)</f>
        <v>0.48</v>
      </c>
      <c r="D24" s="143">
        <f>VLOOKUP($A24,'Data shares'!$C:$FA,121)*100</f>
        <v>2.08</v>
      </c>
      <c r="E24" s="143">
        <f>VLOOKUP($A24,'Data shares'!$C:$FA,124)</f>
        <v>0.39</v>
      </c>
      <c r="F24" s="143">
        <f>VLOOKUP($A24,'Data shares'!$C:$FA,125)</f>
        <v>0.42</v>
      </c>
      <c r="G24" s="143">
        <f>VLOOKUP($A24,'Data shares'!$C:$FA,127)*100</f>
        <v>-7.1400000000000006</v>
      </c>
      <c r="H24" s="103">
        <f>VLOOKUP($A24,'OI(Volume)'!$A$7:$O$427,8)</f>
        <v>9227250</v>
      </c>
      <c r="I24" s="103">
        <f>VLOOKUP($A24,'OI(Volume)'!$A$7:$O$427,9)</f>
        <v>-141250</v>
      </c>
      <c r="J24" s="103">
        <f>VLOOKUP($A24,'OI(Volume)'!$A$7:$O$427,11)</f>
        <v>4494000</v>
      </c>
      <c r="K24" s="103">
        <f>VLOOKUP($A24,'OI(Volume)'!$A$7:$O$427,12)</f>
        <v>750</v>
      </c>
      <c r="L24" s="103">
        <f>VLOOKUP($A24,'OI(Value)'!$A$7:$O$306,8,0)</f>
        <v>2183</v>
      </c>
      <c r="M24" s="103">
        <f>VLOOKUP($A24,'OI(Value)'!$A$7:$O$306,9,0)</f>
        <v>-33</v>
      </c>
      <c r="N24" s="103">
        <f>VLOOKUP($A24,'OI(Value)'!$A$7:$O$306,11,0)</f>
        <v>1063</v>
      </c>
      <c r="O24" s="103">
        <f>VLOOKUP($A24,'OI(Value)'!$A$7:$O$306,12,0)</f>
        <v>0</v>
      </c>
      <c r="P24" s="179">
        <f>VLOOKUP(A24,'OI(Value)'!A24:O225,8,0)</f>
        <v>2183</v>
      </c>
      <c r="Q24" s="179">
        <f>VLOOKUP(A24,'OI(Value)'!A24:O225,9,0)</f>
        <v>-33</v>
      </c>
      <c r="R24" s="179">
        <f>VLOOKUP(A24,'OI(Value)'!A24:O225,11,0)</f>
        <v>1063</v>
      </c>
      <c r="S24" s="179">
        <f>VLOOKUP(A24,'OI(Value)'!A24:O225,11,0)</f>
        <v>1063</v>
      </c>
    </row>
    <row r="25" spans="1:19" x14ac:dyDescent="0.25">
      <c r="A25" s="105" t="str">
        <f>'Data shares'!C20</f>
        <v>ASTRAL</v>
      </c>
      <c r="B25" s="143">
        <f>VLOOKUP($A25,'Data shares'!$C:$FA,118)</f>
        <v>0.41</v>
      </c>
      <c r="C25" s="143">
        <f>VLOOKUP($A25,'Data shares'!$C:$FA,119)</f>
        <v>0.38</v>
      </c>
      <c r="D25" s="143">
        <f>VLOOKUP($A25,'Data shares'!$C:$FA,121)*100</f>
        <v>7.89</v>
      </c>
      <c r="E25" s="143">
        <f>VLOOKUP($A25,'Data shares'!$C:$FA,124)</f>
        <v>0.34</v>
      </c>
      <c r="F25" s="143">
        <f>VLOOKUP($A25,'Data shares'!$C:$FA,125)</f>
        <v>0.39</v>
      </c>
      <c r="G25" s="143">
        <f>VLOOKUP($A25,'Data shares'!$C:$FA,127)*100</f>
        <v>-12.82</v>
      </c>
      <c r="H25" s="103">
        <f>VLOOKUP($A25,'OI(Volume)'!$A$7:$O$427,8)</f>
        <v>3462475</v>
      </c>
      <c r="I25" s="103">
        <f>VLOOKUP($A25,'OI(Volume)'!$A$7:$O$427,9)</f>
        <v>-42075</v>
      </c>
      <c r="J25" s="103">
        <f>VLOOKUP($A25,'OI(Volume)'!$A$7:$O$427,11)</f>
        <v>1424600</v>
      </c>
      <c r="K25" s="103">
        <f>VLOOKUP($A25,'OI(Volume)'!$A$7:$O$427,12)</f>
        <v>95200</v>
      </c>
      <c r="L25" s="103">
        <f>VLOOKUP($A25,'OI(Value)'!$A$7:$O$306,8,0)</f>
        <v>510</v>
      </c>
      <c r="M25" s="103">
        <f>VLOOKUP($A25,'OI(Value)'!$A$7:$O$306,9,0)</f>
        <v>-6</v>
      </c>
      <c r="N25" s="103">
        <f>VLOOKUP($A25,'OI(Value)'!$A$7:$O$306,11,0)</f>
        <v>210</v>
      </c>
      <c r="O25" s="103">
        <f>VLOOKUP($A25,'OI(Value)'!$A$7:$O$306,12,0)</f>
        <v>14</v>
      </c>
      <c r="P25" s="179">
        <f>VLOOKUP(A25,'OI(Value)'!A25:O226,8,0)</f>
        <v>510</v>
      </c>
      <c r="Q25" s="179">
        <f>VLOOKUP(A25,'OI(Value)'!A25:O226,9,0)</f>
        <v>-6</v>
      </c>
      <c r="R25" s="179">
        <f>VLOOKUP(A25,'OI(Value)'!A25:O226,11,0)</f>
        <v>210</v>
      </c>
      <c r="S25" s="179">
        <f>VLOOKUP(A25,'OI(Value)'!A25:O226,11,0)</f>
        <v>210</v>
      </c>
    </row>
    <row r="26" spans="1:19" x14ac:dyDescent="0.25">
      <c r="A26" s="105" t="str">
        <f>'Data shares'!C21</f>
        <v>ATGL</v>
      </c>
      <c r="B26" s="143">
        <f>VLOOKUP($A26,'Data shares'!$C:$FA,118)</f>
        <v>0.45</v>
      </c>
      <c r="C26" s="143">
        <f>VLOOKUP($A26,'Data shares'!$C:$FA,119)</f>
        <v>0.46</v>
      </c>
      <c r="D26" s="143">
        <f>VLOOKUP($A26,'Data shares'!$C:$FA,121)*100</f>
        <v>-2.17</v>
      </c>
      <c r="E26" s="143">
        <f>VLOOKUP($A26,'Data shares'!$C:$FA,124)</f>
        <v>0.26</v>
      </c>
      <c r="F26" s="143">
        <f>VLOOKUP($A26,'Data shares'!$C:$FA,125)</f>
        <v>0.35</v>
      </c>
      <c r="G26" s="143">
        <f>VLOOKUP($A26,'Data shares'!$C:$FA,127)*100</f>
        <v>-25.71</v>
      </c>
      <c r="H26" s="103">
        <f>VLOOKUP($A26,'OI(Volume)'!$A$7:$O$427,8)</f>
        <v>4242000</v>
      </c>
      <c r="I26" s="103">
        <f>VLOOKUP($A26,'OI(Volume)'!$A$7:$O$427,9)</f>
        <v>76125</v>
      </c>
      <c r="J26" s="103">
        <f>VLOOKUP($A26,'OI(Volume)'!$A$7:$O$427,11)</f>
        <v>1913625</v>
      </c>
      <c r="K26" s="103">
        <f>VLOOKUP($A26,'OI(Volume)'!$A$7:$O$427,12)</f>
        <v>-1750</v>
      </c>
      <c r="L26" s="103">
        <f>VLOOKUP($A26,'OI(Value)'!$A$7:$O$306,8,0)</f>
        <v>275</v>
      </c>
      <c r="M26" s="103">
        <f>VLOOKUP($A26,'OI(Value)'!$A$7:$O$306,9,0)</f>
        <v>5</v>
      </c>
      <c r="N26" s="103">
        <f>VLOOKUP($A26,'OI(Value)'!$A$7:$O$306,11,0)</f>
        <v>124</v>
      </c>
      <c r="O26" s="103">
        <f>VLOOKUP($A26,'OI(Value)'!$A$7:$O$306,12,0)</f>
        <v>0</v>
      </c>
      <c r="P26" s="179">
        <f>VLOOKUP(A26,'OI(Value)'!A26:O227,8,0)</f>
        <v>275</v>
      </c>
      <c r="Q26" s="179">
        <f>VLOOKUP(A26,'OI(Value)'!A26:O227,9,0)</f>
        <v>5</v>
      </c>
      <c r="R26" s="179">
        <f>VLOOKUP(A26,'OI(Value)'!A26:O227,11,0)</f>
        <v>124</v>
      </c>
      <c r="S26" s="179">
        <f>VLOOKUP(A26,'OI(Value)'!A26:O227,11,0)</f>
        <v>124</v>
      </c>
    </row>
    <row r="27" spans="1:19" x14ac:dyDescent="0.25">
      <c r="A27" s="105" t="str">
        <f>'Data shares'!C22</f>
        <v>AUBANK</v>
      </c>
      <c r="B27" s="143">
        <f>VLOOKUP($A27,'Data shares'!$C:$FA,118)</f>
        <v>0.45</v>
      </c>
      <c r="C27" s="143">
        <f>VLOOKUP($A27,'Data shares'!$C:$FA,119)</f>
        <v>0.6</v>
      </c>
      <c r="D27" s="143">
        <f>VLOOKUP($A27,'Data shares'!$C:$FA,121)*100</f>
        <v>-25</v>
      </c>
      <c r="E27" s="143">
        <f>VLOOKUP($A27,'Data shares'!$C:$FA,124)</f>
        <v>0.61</v>
      </c>
      <c r="F27" s="143">
        <f>VLOOKUP($A27,'Data shares'!$C:$FA,125)</f>
        <v>0.63</v>
      </c>
      <c r="G27" s="143">
        <f>VLOOKUP($A27,'Data shares'!$C:$FA,127)*100</f>
        <v>-3.17</v>
      </c>
      <c r="H27" s="103">
        <f>VLOOKUP($A27,'OI(Volume)'!$A$7:$O$427,8)</f>
        <v>13363000</v>
      </c>
      <c r="I27" s="103">
        <f>VLOOKUP($A27,'OI(Volume)'!$A$7:$O$427,9)</f>
        <v>3080000</v>
      </c>
      <c r="J27" s="103">
        <f>VLOOKUP($A27,'OI(Volume)'!$A$7:$O$427,11)</f>
        <v>6033000</v>
      </c>
      <c r="K27" s="103">
        <f>VLOOKUP($A27,'OI(Volume)'!$A$7:$O$427,12)</f>
        <v>-148000</v>
      </c>
      <c r="L27" s="103">
        <f>VLOOKUP($A27,'OI(Value)'!$A$7:$O$306,8,0)</f>
        <v>973</v>
      </c>
      <c r="M27" s="103">
        <f>VLOOKUP($A27,'OI(Value)'!$A$7:$O$306,9,0)</f>
        <v>224</v>
      </c>
      <c r="N27" s="103">
        <f>VLOOKUP($A27,'OI(Value)'!$A$7:$O$306,11,0)</f>
        <v>439</v>
      </c>
      <c r="O27" s="103">
        <f>VLOOKUP($A27,'OI(Value)'!$A$7:$O$306,12,0)</f>
        <v>-11</v>
      </c>
      <c r="P27" s="179">
        <f>VLOOKUP(A27,'OI(Value)'!A27:O228,8,0)</f>
        <v>973</v>
      </c>
      <c r="Q27" s="179">
        <f>VLOOKUP(A27,'OI(Value)'!A27:O228,9,0)</f>
        <v>224</v>
      </c>
      <c r="R27" s="179">
        <f>VLOOKUP(A27,'OI(Value)'!A27:O228,11,0)</f>
        <v>439</v>
      </c>
      <c r="S27" s="179">
        <f>VLOOKUP(A27,'OI(Value)'!A27:O228,11,0)</f>
        <v>439</v>
      </c>
    </row>
    <row r="28" spans="1:19" x14ac:dyDescent="0.25">
      <c r="A28" s="105" t="str">
        <f>'Data shares'!C23</f>
        <v>AUROPHARMA</v>
      </c>
      <c r="B28" s="143">
        <f>VLOOKUP($A28,'Data shares'!$C:$FA,118)</f>
        <v>0.66</v>
      </c>
      <c r="C28" s="143">
        <f>VLOOKUP($A28,'Data shares'!$C:$FA,119)</f>
        <v>0.68</v>
      </c>
      <c r="D28" s="143">
        <f>VLOOKUP($A28,'Data shares'!$C:$FA,121)*100</f>
        <v>-2.94</v>
      </c>
      <c r="E28" s="143">
        <f>VLOOKUP($A28,'Data shares'!$C:$FA,124)</f>
        <v>0.66</v>
      </c>
      <c r="F28" s="143">
        <f>VLOOKUP($A28,'Data shares'!$C:$FA,125)</f>
        <v>0.36</v>
      </c>
      <c r="G28" s="143">
        <f>VLOOKUP($A28,'Data shares'!$C:$FA,127)*100</f>
        <v>83.33</v>
      </c>
      <c r="H28" s="103">
        <f>VLOOKUP($A28,'OI(Volume)'!$A$7:$O$427,8)</f>
        <v>4891150</v>
      </c>
      <c r="I28" s="103">
        <f>VLOOKUP($A28,'OI(Volume)'!$A$7:$O$427,9)</f>
        <v>534600</v>
      </c>
      <c r="J28" s="103">
        <f>VLOOKUP($A28,'OI(Volume)'!$A$7:$O$427,11)</f>
        <v>3229600</v>
      </c>
      <c r="K28" s="103">
        <f>VLOOKUP($A28,'OI(Volume)'!$A$7:$O$427,12)</f>
        <v>281600</v>
      </c>
      <c r="L28" s="103">
        <f>VLOOKUP($A28,'OI(Value)'!$A$7:$O$306,8,0)</f>
        <v>540</v>
      </c>
      <c r="M28" s="103">
        <f>VLOOKUP($A28,'OI(Value)'!$A$7:$O$306,9,0)</f>
        <v>59</v>
      </c>
      <c r="N28" s="103">
        <f>VLOOKUP($A28,'OI(Value)'!$A$7:$O$306,11,0)</f>
        <v>357</v>
      </c>
      <c r="O28" s="103">
        <f>VLOOKUP($A28,'OI(Value)'!$A$7:$O$306,12,0)</f>
        <v>31</v>
      </c>
      <c r="P28" s="179">
        <f>VLOOKUP(A28,'OI(Value)'!A28:O229,8,0)</f>
        <v>540</v>
      </c>
      <c r="Q28" s="179">
        <f>VLOOKUP(A28,'OI(Value)'!A28:O229,9,0)</f>
        <v>59</v>
      </c>
      <c r="R28" s="179">
        <f>VLOOKUP(A28,'OI(Value)'!A28:O229,11,0)</f>
        <v>357</v>
      </c>
      <c r="S28" s="179">
        <f>VLOOKUP(A28,'OI(Value)'!A28:O229,11,0)</f>
        <v>357</v>
      </c>
    </row>
    <row r="29" spans="1:19" x14ac:dyDescent="0.25">
      <c r="A29" s="105" t="str">
        <f>'Data shares'!C24</f>
        <v>AXISBANK</v>
      </c>
      <c r="B29" s="143">
        <f>VLOOKUP($A29,'Data shares'!$C:$FA,118)</f>
        <v>0.37</v>
      </c>
      <c r="C29" s="143">
        <f>VLOOKUP($A29,'Data shares'!$C:$FA,119)</f>
        <v>0.38</v>
      </c>
      <c r="D29" s="143">
        <f>VLOOKUP($A29,'Data shares'!$C:$FA,121)*100</f>
        <v>-2.63</v>
      </c>
      <c r="E29" s="143">
        <f>VLOOKUP($A29,'Data shares'!$C:$FA,124)</f>
        <v>0.45</v>
      </c>
      <c r="F29" s="143">
        <f>VLOOKUP($A29,'Data shares'!$C:$FA,125)</f>
        <v>0.6</v>
      </c>
      <c r="G29" s="143">
        <f>VLOOKUP($A29,'Data shares'!$C:$FA,127)*100</f>
        <v>-25</v>
      </c>
      <c r="H29" s="103">
        <f>VLOOKUP($A29,'OI(Volume)'!$A$7:$O$427,8)</f>
        <v>55954375</v>
      </c>
      <c r="I29" s="103">
        <f>VLOOKUP($A29,'OI(Volume)'!$A$7:$O$427,9)</f>
        <v>-694375</v>
      </c>
      <c r="J29" s="103">
        <f>VLOOKUP($A29,'OI(Volume)'!$A$7:$O$427,11)</f>
        <v>20903750</v>
      </c>
      <c r="K29" s="103">
        <f>VLOOKUP($A29,'OI(Volume)'!$A$7:$O$427,12)</f>
        <v>-795625</v>
      </c>
      <c r="L29" s="103">
        <f>VLOOKUP($A29,'OI(Value)'!$A$7:$O$306,8,0)</f>
        <v>6163</v>
      </c>
      <c r="M29" s="103">
        <f>VLOOKUP($A29,'OI(Value)'!$A$7:$O$306,9,0)</f>
        <v>-76</v>
      </c>
      <c r="N29" s="103">
        <f>VLOOKUP($A29,'OI(Value)'!$A$7:$O$306,11,0)</f>
        <v>2303</v>
      </c>
      <c r="O29" s="103">
        <f>VLOOKUP($A29,'OI(Value)'!$A$7:$O$306,12,0)</f>
        <v>-88</v>
      </c>
      <c r="P29" s="179">
        <f>VLOOKUP(A29,'OI(Value)'!A29:O230,8,0)</f>
        <v>6163</v>
      </c>
      <c r="Q29" s="179">
        <f>VLOOKUP(A29,'OI(Value)'!A29:O230,9,0)</f>
        <v>-76</v>
      </c>
      <c r="R29" s="179">
        <f>VLOOKUP(A29,'OI(Value)'!A29:O230,11,0)</f>
        <v>2303</v>
      </c>
      <c r="S29" s="179">
        <f>VLOOKUP(A29,'OI(Value)'!A29:O230,11,0)</f>
        <v>2303</v>
      </c>
    </row>
    <row r="30" spans="1:19" x14ac:dyDescent="0.25">
      <c r="A30" s="105" t="str">
        <f>'Data shares'!C25</f>
        <v>BAJAJ-AUTO</v>
      </c>
      <c r="B30" s="143">
        <f>VLOOKUP($A30,'Data shares'!$C:$FA,118)</f>
        <v>0.63</v>
      </c>
      <c r="C30" s="143">
        <f>VLOOKUP($A30,'Data shares'!$C:$FA,119)</f>
        <v>0.69</v>
      </c>
      <c r="D30" s="143">
        <f>VLOOKUP($A30,'Data shares'!$C:$FA,121)*100</f>
        <v>-8.6999999999999993</v>
      </c>
      <c r="E30" s="143">
        <f>VLOOKUP($A30,'Data shares'!$C:$FA,124)</f>
        <v>0.66</v>
      </c>
      <c r="F30" s="143">
        <f>VLOOKUP($A30,'Data shares'!$C:$FA,125)</f>
        <v>0.52</v>
      </c>
      <c r="G30" s="143">
        <f>VLOOKUP($A30,'Data shares'!$C:$FA,127)*100</f>
        <v>26.919999999999998</v>
      </c>
      <c r="H30" s="103">
        <f>VLOOKUP($A30,'OI(Volume)'!$A$7:$O$427,8)</f>
        <v>1512075</v>
      </c>
      <c r="I30" s="103">
        <f>VLOOKUP($A30,'OI(Volume)'!$A$7:$O$427,9)</f>
        <v>157050</v>
      </c>
      <c r="J30" s="103">
        <f>VLOOKUP($A30,'OI(Volume)'!$A$7:$O$427,11)</f>
        <v>958650</v>
      </c>
      <c r="K30" s="103">
        <f>VLOOKUP($A30,'OI(Volume)'!$A$7:$O$427,12)</f>
        <v>18675</v>
      </c>
      <c r="L30" s="103">
        <f>VLOOKUP($A30,'OI(Value)'!$A$7:$O$306,8,0)</f>
        <v>1255</v>
      </c>
      <c r="M30" s="103">
        <f>VLOOKUP($A30,'OI(Value)'!$A$7:$O$306,9,0)</f>
        <v>130</v>
      </c>
      <c r="N30" s="103">
        <f>VLOOKUP($A30,'OI(Value)'!$A$7:$O$306,11,0)</f>
        <v>796</v>
      </c>
      <c r="O30" s="103">
        <f>VLOOKUP($A30,'OI(Value)'!$A$7:$O$306,12,0)</f>
        <v>16</v>
      </c>
      <c r="P30" s="179">
        <f>VLOOKUP(A30,'OI(Value)'!A30:O231,8,0)</f>
        <v>1255</v>
      </c>
      <c r="Q30" s="179">
        <f>VLOOKUP(A30,'OI(Value)'!A30:O231,9,0)</f>
        <v>130</v>
      </c>
      <c r="R30" s="179">
        <f>VLOOKUP(A30,'OI(Value)'!A30:O231,11,0)</f>
        <v>796</v>
      </c>
      <c r="S30" s="179">
        <f>VLOOKUP(A30,'OI(Value)'!A30:O231,11,0)</f>
        <v>796</v>
      </c>
    </row>
    <row r="31" spans="1:19" x14ac:dyDescent="0.25">
      <c r="A31" s="105" t="str">
        <f>'Data shares'!C26</f>
        <v>BAJAJFINSV</v>
      </c>
      <c r="B31" s="143">
        <f>VLOOKUP($A31,'Data shares'!$C:$FA,118)</f>
        <v>0.55000000000000004</v>
      </c>
      <c r="C31" s="143">
        <f>VLOOKUP($A31,'Data shares'!$C:$FA,119)</f>
        <v>0.56000000000000005</v>
      </c>
      <c r="D31" s="143">
        <f>VLOOKUP($A31,'Data shares'!$C:$FA,121)*100</f>
        <v>-1.79</v>
      </c>
      <c r="E31" s="143">
        <f>VLOOKUP($A31,'Data shares'!$C:$FA,124)</f>
        <v>0.59</v>
      </c>
      <c r="F31" s="143">
        <f>VLOOKUP($A31,'Data shares'!$C:$FA,125)</f>
        <v>0.56000000000000005</v>
      </c>
      <c r="G31" s="143">
        <f>VLOOKUP($A31,'Data shares'!$C:$FA,127)*100</f>
        <v>5.36</v>
      </c>
      <c r="H31" s="103">
        <f>VLOOKUP($A31,'OI(Volume)'!$A$7:$O$427,8)</f>
        <v>7963000</v>
      </c>
      <c r="I31" s="103">
        <f>VLOOKUP($A31,'OI(Volume)'!$A$7:$O$427,9)</f>
        <v>18500</v>
      </c>
      <c r="J31" s="103">
        <f>VLOOKUP($A31,'OI(Volume)'!$A$7:$O$427,11)</f>
        <v>4393500</v>
      </c>
      <c r="K31" s="103">
        <f>VLOOKUP($A31,'OI(Volume)'!$A$7:$O$427,12)</f>
        <v>-89000</v>
      </c>
      <c r="L31" s="103">
        <f>VLOOKUP($A31,'OI(Value)'!$A$7:$O$306,8,0)</f>
        <v>1627</v>
      </c>
      <c r="M31" s="103">
        <f>VLOOKUP($A31,'OI(Value)'!$A$7:$O$306,9,0)</f>
        <v>4</v>
      </c>
      <c r="N31" s="103">
        <f>VLOOKUP($A31,'OI(Value)'!$A$7:$O$306,11,0)</f>
        <v>898</v>
      </c>
      <c r="O31" s="103">
        <f>VLOOKUP($A31,'OI(Value)'!$A$7:$O$306,12,0)</f>
        <v>-18</v>
      </c>
      <c r="P31" s="179">
        <f>VLOOKUP(A31,'OI(Value)'!A31:O232,8,0)</f>
        <v>1627</v>
      </c>
      <c r="Q31" s="179">
        <f>VLOOKUP(A31,'OI(Value)'!A31:O232,9,0)</f>
        <v>4</v>
      </c>
      <c r="R31" s="179">
        <f>VLOOKUP(A31,'OI(Value)'!A31:O232,11,0)</f>
        <v>898</v>
      </c>
      <c r="S31" s="179">
        <f>VLOOKUP(A31,'OI(Value)'!A31:O232,11,0)</f>
        <v>898</v>
      </c>
    </row>
    <row r="32" spans="1:19" x14ac:dyDescent="0.25">
      <c r="A32" s="105" t="str">
        <f>'Data shares'!C27</f>
        <v>BAJFINANCE</v>
      </c>
      <c r="B32" s="143">
        <f>VLOOKUP($A32,'Data shares'!$C:$FA,118)</f>
        <v>0.88</v>
      </c>
      <c r="C32" s="143">
        <f>VLOOKUP($A32,'Data shares'!$C:$FA,119)</f>
        <v>0.85</v>
      </c>
      <c r="D32" s="143">
        <f>VLOOKUP($A32,'Data shares'!$C:$FA,121)*100</f>
        <v>3.53</v>
      </c>
      <c r="E32" s="143">
        <f>VLOOKUP($A32,'Data shares'!$C:$FA,124)</f>
        <v>0.6</v>
      </c>
      <c r="F32" s="143">
        <f>VLOOKUP($A32,'Data shares'!$C:$FA,125)</f>
        <v>0.6</v>
      </c>
      <c r="G32" s="143">
        <f>VLOOKUP($A32,'Data shares'!$C:$FA,127)*100</f>
        <v>0</v>
      </c>
      <c r="H32" s="103">
        <f>VLOOKUP($A32,'OI(Volume)'!$A$7:$O$427,8)</f>
        <v>20360250</v>
      </c>
      <c r="I32" s="103">
        <f>VLOOKUP($A32,'OI(Volume)'!$A$7:$O$427,9)</f>
        <v>-61500</v>
      </c>
      <c r="J32" s="103">
        <f>VLOOKUP($A32,'OI(Volume)'!$A$7:$O$427,11)</f>
        <v>17978250</v>
      </c>
      <c r="K32" s="103">
        <f>VLOOKUP($A32,'OI(Volume)'!$A$7:$O$427,12)</f>
        <v>609000</v>
      </c>
      <c r="L32" s="103">
        <f>VLOOKUP($A32,'OI(Value)'!$A$7:$O$306,8,0)</f>
        <v>1946</v>
      </c>
      <c r="M32" s="103">
        <f>VLOOKUP($A32,'OI(Value)'!$A$7:$O$306,9,0)</f>
        <v>-6</v>
      </c>
      <c r="N32" s="103">
        <f>VLOOKUP($A32,'OI(Value)'!$A$7:$O$306,11,0)</f>
        <v>1719</v>
      </c>
      <c r="O32" s="103">
        <f>VLOOKUP($A32,'OI(Value)'!$A$7:$O$306,12,0)</f>
        <v>58</v>
      </c>
      <c r="P32" s="179">
        <f>VLOOKUP(A32,'OI(Value)'!A32:O233,8,0)</f>
        <v>1946</v>
      </c>
      <c r="Q32" s="179">
        <f>VLOOKUP(A32,'OI(Value)'!A32:O233,9,0)</f>
        <v>-6</v>
      </c>
      <c r="R32" s="179">
        <f>VLOOKUP(A32,'OI(Value)'!A32:O233,11,0)</f>
        <v>1719</v>
      </c>
      <c r="S32" s="179">
        <f>VLOOKUP(A32,'OI(Value)'!A32:O233,11,0)</f>
        <v>1719</v>
      </c>
    </row>
    <row r="33" spans="1:19" x14ac:dyDescent="0.25">
      <c r="A33" s="105" t="str">
        <f>'Data shares'!C28</f>
        <v>BALKRISIND</v>
      </c>
      <c r="B33" s="143">
        <f>VLOOKUP($A33,'Data shares'!$C:$FA,118)</f>
        <v>0.65</v>
      </c>
      <c r="C33" s="143">
        <f>VLOOKUP($A33,'Data shares'!$C:$FA,119)</f>
        <v>0.63</v>
      </c>
      <c r="D33" s="143">
        <f>VLOOKUP($A33,'Data shares'!$C:$FA,121)*100</f>
        <v>3.17</v>
      </c>
      <c r="E33" s="143">
        <f>VLOOKUP($A33,'Data shares'!$C:$FA,124)</f>
        <v>0.49</v>
      </c>
      <c r="F33" s="143">
        <f>VLOOKUP($A33,'Data shares'!$C:$FA,125)</f>
        <v>0.54</v>
      </c>
      <c r="G33" s="143">
        <f>VLOOKUP($A33,'Data shares'!$C:$FA,127)*100</f>
        <v>-9.26</v>
      </c>
      <c r="H33" s="103">
        <f>VLOOKUP($A33,'OI(Volume)'!$A$7:$O$427,8)</f>
        <v>1473000</v>
      </c>
      <c r="I33" s="103">
        <f>VLOOKUP($A33,'OI(Volume)'!$A$7:$O$427,9)</f>
        <v>-52800</v>
      </c>
      <c r="J33" s="103">
        <f>VLOOKUP($A33,'OI(Volume)'!$A$7:$O$427,11)</f>
        <v>963300</v>
      </c>
      <c r="K33" s="103">
        <f>VLOOKUP($A33,'OI(Volume)'!$A$7:$O$427,12)</f>
        <v>-600</v>
      </c>
      <c r="L33" s="103">
        <f>VLOOKUP($A33,'OI(Value)'!$A$7:$O$306,8,0)</f>
        <v>407</v>
      </c>
      <c r="M33" s="103">
        <f>VLOOKUP($A33,'OI(Value)'!$A$7:$O$306,9,0)</f>
        <v>-15</v>
      </c>
      <c r="N33" s="103">
        <f>VLOOKUP($A33,'OI(Value)'!$A$7:$O$306,11,0)</f>
        <v>266</v>
      </c>
      <c r="O33" s="103">
        <f>VLOOKUP($A33,'OI(Value)'!$A$7:$O$306,12,0)</f>
        <v>0</v>
      </c>
      <c r="P33" s="179">
        <f>VLOOKUP(A33,'OI(Value)'!A33:O234,8,0)</f>
        <v>407</v>
      </c>
      <c r="Q33" s="179">
        <f>VLOOKUP(A33,'OI(Value)'!A33:O234,9,0)</f>
        <v>-15</v>
      </c>
      <c r="R33" s="179">
        <f>VLOOKUP(A33,'OI(Value)'!A33:O234,11,0)</f>
        <v>266</v>
      </c>
      <c r="S33" s="179">
        <f>VLOOKUP(A33,'OI(Value)'!A33:O234,11,0)</f>
        <v>266</v>
      </c>
    </row>
    <row r="34" spans="1:19" x14ac:dyDescent="0.25">
      <c r="A34" s="105" t="str">
        <f>'Data shares'!C29</f>
        <v>BANDHANBNK</v>
      </c>
      <c r="B34" s="143">
        <f>VLOOKUP($A34,'Data shares'!$C:$FA,118)</f>
        <v>0.56000000000000005</v>
      </c>
      <c r="C34" s="143">
        <f>VLOOKUP($A34,'Data shares'!$C:$FA,119)</f>
        <v>0.55000000000000004</v>
      </c>
      <c r="D34" s="143">
        <f>VLOOKUP($A34,'Data shares'!$C:$FA,121)*100</f>
        <v>1.82</v>
      </c>
      <c r="E34" s="143">
        <f>VLOOKUP($A34,'Data shares'!$C:$FA,124)</f>
        <v>0.34</v>
      </c>
      <c r="F34" s="143">
        <f>VLOOKUP($A34,'Data shares'!$C:$FA,125)</f>
        <v>0.54</v>
      </c>
      <c r="G34" s="143">
        <f>VLOOKUP($A34,'Data shares'!$C:$FA,127)*100</f>
        <v>-37.04</v>
      </c>
      <c r="H34" s="103">
        <f>VLOOKUP($A34,'OI(Volume)'!$A$7:$O$427,8)</f>
        <v>38707200</v>
      </c>
      <c r="I34" s="103">
        <f>VLOOKUP($A34,'OI(Volume)'!$A$7:$O$427,9)</f>
        <v>-2437200</v>
      </c>
      <c r="J34" s="103">
        <f>VLOOKUP($A34,'OI(Volume)'!$A$7:$O$427,11)</f>
        <v>21740400</v>
      </c>
      <c r="K34" s="103">
        <f>VLOOKUP($A34,'OI(Volume)'!$A$7:$O$427,12)</f>
        <v>-828000</v>
      </c>
      <c r="L34" s="103">
        <f>VLOOKUP($A34,'OI(Value)'!$A$7:$O$306,8,0)</f>
        <v>702</v>
      </c>
      <c r="M34" s="103">
        <f>VLOOKUP($A34,'OI(Value)'!$A$7:$O$306,9,0)</f>
        <v>-44</v>
      </c>
      <c r="N34" s="103">
        <f>VLOOKUP($A34,'OI(Value)'!$A$7:$O$306,11,0)</f>
        <v>394</v>
      </c>
      <c r="O34" s="103">
        <f>VLOOKUP($A34,'OI(Value)'!$A$7:$O$306,12,0)</f>
        <v>-15</v>
      </c>
      <c r="P34" s="179">
        <f>VLOOKUP(A34,'OI(Value)'!A34:O235,8,0)</f>
        <v>702</v>
      </c>
      <c r="Q34" s="179">
        <f>VLOOKUP(A34,'OI(Value)'!A34:O235,9,0)</f>
        <v>-44</v>
      </c>
      <c r="R34" s="179">
        <f>VLOOKUP(A34,'OI(Value)'!A34:O235,11,0)</f>
        <v>394</v>
      </c>
      <c r="S34" s="179">
        <f>VLOOKUP(A34,'OI(Value)'!A34:O235,11,0)</f>
        <v>394</v>
      </c>
    </row>
    <row r="35" spans="1:19" x14ac:dyDescent="0.25">
      <c r="A35" s="105" t="str">
        <f>'Data shares'!C30</f>
        <v>BANKBARODA</v>
      </c>
      <c r="B35" s="143">
        <f>VLOOKUP($A35,'Data shares'!$C:$FA,118)</f>
        <v>0.87</v>
      </c>
      <c r="C35" s="143">
        <f>VLOOKUP($A35,'Data shares'!$C:$FA,119)</f>
        <v>0.87</v>
      </c>
      <c r="D35" s="143">
        <f>VLOOKUP($A35,'Data shares'!$C:$FA,121)*100</f>
        <v>0</v>
      </c>
      <c r="E35" s="143">
        <f>VLOOKUP($A35,'Data shares'!$C:$FA,124)</f>
        <v>0.94</v>
      </c>
      <c r="F35" s="143">
        <f>VLOOKUP($A35,'Data shares'!$C:$FA,125)</f>
        <v>0.72</v>
      </c>
      <c r="G35" s="143">
        <f>VLOOKUP($A35,'Data shares'!$C:$FA,127)*100</f>
        <v>30.56</v>
      </c>
      <c r="H35" s="103">
        <f>VLOOKUP($A35,'OI(Volume)'!$A$7:$O$427,8)</f>
        <v>49780575</v>
      </c>
      <c r="I35" s="103">
        <f>VLOOKUP($A35,'OI(Volume)'!$A$7:$O$427,9)</f>
        <v>1336725</v>
      </c>
      <c r="J35" s="103">
        <f>VLOOKUP($A35,'OI(Volume)'!$A$7:$O$427,11)</f>
        <v>43538625</v>
      </c>
      <c r="K35" s="103">
        <f>VLOOKUP($A35,'OI(Volume)'!$A$7:$O$427,12)</f>
        <v>1567800</v>
      </c>
      <c r="L35" s="103">
        <f>VLOOKUP($A35,'OI(Value)'!$A$7:$O$306,8,0)</f>
        <v>1193</v>
      </c>
      <c r="M35" s="103">
        <f>VLOOKUP($A35,'OI(Value)'!$A$7:$O$306,9,0)</f>
        <v>32</v>
      </c>
      <c r="N35" s="103">
        <f>VLOOKUP($A35,'OI(Value)'!$A$7:$O$306,11,0)</f>
        <v>1044</v>
      </c>
      <c r="O35" s="103">
        <f>VLOOKUP($A35,'OI(Value)'!$A$7:$O$306,12,0)</f>
        <v>38</v>
      </c>
      <c r="P35" s="179">
        <f>VLOOKUP(A35,'OI(Value)'!A35:O236,8,0)</f>
        <v>1193</v>
      </c>
      <c r="Q35" s="179">
        <f>VLOOKUP(A35,'OI(Value)'!A35:O236,9,0)</f>
        <v>32</v>
      </c>
      <c r="R35" s="179">
        <f>VLOOKUP(A35,'OI(Value)'!A35:O236,11,0)</f>
        <v>1044</v>
      </c>
      <c r="S35" s="179">
        <f>VLOOKUP(A35,'OI(Value)'!A35:O236,11,0)</f>
        <v>1044</v>
      </c>
    </row>
    <row r="36" spans="1:19" x14ac:dyDescent="0.25">
      <c r="A36" s="105" t="str">
        <f>'Data shares'!C31</f>
        <v>BANKINDIA</v>
      </c>
      <c r="B36" s="143">
        <f>VLOOKUP($A36,'Data shares'!$C:$FA,118)</f>
        <v>0.61</v>
      </c>
      <c r="C36" s="143">
        <f>VLOOKUP($A36,'Data shares'!$C:$FA,119)</f>
        <v>0.57999999999999996</v>
      </c>
      <c r="D36" s="143">
        <f>VLOOKUP($A36,'Data shares'!$C:$FA,121)*100</f>
        <v>5.17</v>
      </c>
      <c r="E36" s="143">
        <f>VLOOKUP($A36,'Data shares'!$C:$FA,124)</f>
        <v>0.46</v>
      </c>
      <c r="F36" s="143">
        <f>VLOOKUP($A36,'Data shares'!$C:$FA,125)</f>
        <v>0.46</v>
      </c>
      <c r="G36" s="143">
        <f>VLOOKUP($A36,'Data shares'!$C:$FA,127)*100</f>
        <v>0</v>
      </c>
      <c r="H36" s="103">
        <f>VLOOKUP($A36,'OI(Volume)'!$A$7:$O$427,8)</f>
        <v>37200800</v>
      </c>
      <c r="I36" s="103">
        <f>VLOOKUP($A36,'OI(Volume)'!$A$7:$O$427,9)</f>
        <v>-1175200</v>
      </c>
      <c r="J36" s="103">
        <f>VLOOKUP($A36,'OI(Volume)'!$A$7:$O$427,11)</f>
        <v>22552400</v>
      </c>
      <c r="K36" s="103">
        <f>VLOOKUP($A36,'OI(Volume)'!$A$7:$O$427,12)</f>
        <v>182000</v>
      </c>
      <c r="L36" s="103">
        <f>VLOOKUP($A36,'OI(Value)'!$A$7:$O$306,8,0)</f>
        <v>421</v>
      </c>
      <c r="M36" s="103">
        <f>VLOOKUP($A36,'OI(Value)'!$A$7:$O$306,9,0)</f>
        <v>-13</v>
      </c>
      <c r="N36" s="103">
        <f>VLOOKUP($A36,'OI(Value)'!$A$7:$O$306,11,0)</f>
        <v>255</v>
      </c>
      <c r="O36" s="103">
        <f>VLOOKUP($A36,'OI(Value)'!$A$7:$O$306,12,0)</f>
        <v>2</v>
      </c>
      <c r="P36" s="179">
        <f>VLOOKUP(A36,'OI(Value)'!A36:O237,8,0)</f>
        <v>421</v>
      </c>
      <c r="Q36" s="179">
        <f>VLOOKUP(A36,'OI(Value)'!A36:O237,9,0)</f>
        <v>-13</v>
      </c>
      <c r="R36" s="179">
        <f>VLOOKUP(A36,'OI(Value)'!A36:O237,11,0)</f>
        <v>255</v>
      </c>
      <c r="S36" s="179">
        <f>VLOOKUP(A36,'OI(Value)'!A36:O237,11,0)</f>
        <v>255</v>
      </c>
    </row>
    <row r="37" spans="1:19" x14ac:dyDescent="0.25">
      <c r="A37" s="105" t="str">
        <f>'Data shares'!C32</f>
        <v>BANKNIFTY</v>
      </c>
      <c r="B37" s="143">
        <f>VLOOKUP($A37,'Data shares'!$C:$FA,118)</f>
        <v>0.81</v>
      </c>
      <c r="C37" s="143">
        <f>VLOOKUP($A37,'Data shares'!$C:$FA,119)</f>
        <v>0.88</v>
      </c>
      <c r="D37" s="143">
        <f>VLOOKUP($A37,'Data shares'!$C:$FA,121)*100</f>
        <v>-7.95</v>
      </c>
      <c r="E37" s="143">
        <f>VLOOKUP($A37,'Data shares'!$C:$FA,124)</f>
        <v>0.9</v>
      </c>
      <c r="F37" s="143">
        <f>VLOOKUP($A37,'Data shares'!$C:$FA,125)</f>
        <v>0.79</v>
      </c>
      <c r="G37" s="143">
        <f>VLOOKUP($A37,'Data shares'!$C:$FA,127)*100</f>
        <v>13.919999999999998</v>
      </c>
      <c r="H37" s="103">
        <f>VLOOKUP($A37,'OI(Volume)'!$A$7:$O$427,8)</f>
        <v>24933160</v>
      </c>
      <c r="I37" s="103">
        <f>VLOOKUP($A37,'OI(Volume)'!$A$7:$O$427,9)</f>
        <v>2812290</v>
      </c>
      <c r="J37" s="103">
        <f>VLOOKUP($A37,'OI(Volume)'!$A$7:$O$427,11)</f>
        <v>20221120</v>
      </c>
      <c r="K37" s="103">
        <f>VLOOKUP($A37,'OI(Volume)'!$A$7:$O$427,12)</f>
        <v>680515</v>
      </c>
      <c r="L37" s="103">
        <f>VLOOKUP($A37,'OI(Value)'!$A$7:$O$306,8,0)</f>
        <v>141632</v>
      </c>
      <c r="M37" s="103">
        <f>VLOOKUP($A37,'OI(Value)'!$A$7:$O$306,9,0)</f>
        <v>15975</v>
      </c>
      <c r="N37" s="103">
        <f>VLOOKUP($A37,'OI(Value)'!$A$7:$O$306,11,0)</f>
        <v>114865</v>
      </c>
      <c r="O37" s="103">
        <f>VLOOKUP($A37,'OI(Value)'!$A$7:$O$306,12,0)</f>
        <v>3866</v>
      </c>
      <c r="P37" s="179">
        <f>VLOOKUP(A37,'OI(Value)'!A37:O238,8,0)</f>
        <v>141632</v>
      </c>
      <c r="Q37" s="179">
        <f>VLOOKUP(A37,'OI(Value)'!A37:O238,9,0)</f>
        <v>15975</v>
      </c>
      <c r="R37" s="179">
        <f>VLOOKUP(A37,'OI(Value)'!A37:O238,11,0)</f>
        <v>114865</v>
      </c>
      <c r="S37" s="179">
        <f>VLOOKUP(A37,'OI(Value)'!A37:O238,11,0)</f>
        <v>114865</v>
      </c>
    </row>
    <row r="38" spans="1:19" x14ac:dyDescent="0.25">
      <c r="A38" s="105" t="str">
        <f>'Data shares'!C33</f>
        <v>BDL</v>
      </c>
      <c r="B38" s="143">
        <f>VLOOKUP($A38,'Data shares'!$C:$FA,118)</f>
        <v>0.35</v>
      </c>
      <c r="C38" s="143">
        <f>VLOOKUP($A38,'Data shares'!$C:$FA,119)</f>
        <v>0.36</v>
      </c>
      <c r="D38" s="143">
        <f>VLOOKUP($A38,'Data shares'!$C:$FA,121)*100</f>
        <v>-2.78</v>
      </c>
      <c r="E38" s="143">
        <f>VLOOKUP($A38,'Data shares'!$C:$FA,124)</f>
        <v>0.33</v>
      </c>
      <c r="F38" s="143">
        <f>VLOOKUP($A38,'Data shares'!$C:$FA,125)</f>
        <v>0.42</v>
      </c>
      <c r="G38" s="143">
        <f>VLOOKUP($A38,'Data shares'!$C:$FA,127)*100</f>
        <v>-21.43</v>
      </c>
      <c r="H38" s="103">
        <f>VLOOKUP($A38,'OI(Volume)'!$A$7:$O$427,8)</f>
        <v>5763550</v>
      </c>
      <c r="I38" s="103">
        <f>VLOOKUP($A38,'OI(Volume)'!$A$7:$O$427,9)</f>
        <v>34125</v>
      </c>
      <c r="J38" s="103">
        <f>VLOOKUP($A38,'OI(Volume)'!$A$7:$O$427,11)</f>
        <v>2028975</v>
      </c>
      <c r="K38" s="103">
        <f>VLOOKUP($A38,'OI(Volume)'!$A$7:$O$427,12)</f>
        <v>-28600</v>
      </c>
      <c r="L38" s="103">
        <f>VLOOKUP($A38,'OI(Value)'!$A$7:$O$306,8,0)</f>
        <v>990</v>
      </c>
      <c r="M38" s="103">
        <f>VLOOKUP($A38,'OI(Value)'!$A$7:$O$306,9,0)</f>
        <v>6</v>
      </c>
      <c r="N38" s="103">
        <f>VLOOKUP($A38,'OI(Value)'!$A$7:$O$306,11,0)</f>
        <v>348</v>
      </c>
      <c r="O38" s="103">
        <f>VLOOKUP($A38,'OI(Value)'!$A$7:$O$306,12,0)</f>
        <v>-5</v>
      </c>
      <c r="P38" s="179">
        <f>VLOOKUP(A38,'OI(Value)'!A38:O239,8,0)</f>
        <v>990</v>
      </c>
      <c r="Q38" s="179">
        <f>VLOOKUP(A38,'OI(Value)'!A38:O239,9,0)</f>
        <v>6</v>
      </c>
      <c r="R38" s="179">
        <f>VLOOKUP(A38,'OI(Value)'!A38:O239,11,0)</f>
        <v>348</v>
      </c>
      <c r="S38" s="179">
        <f>VLOOKUP(A38,'OI(Value)'!A38:O239,11,0)</f>
        <v>348</v>
      </c>
    </row>
    <row r="39" spans="1:19" x14ac:dyDescent="0.25">
      <c r="A39" s="105" t="str">
        <f>'Data shares'!C34</f>
        <v>BEL</v>
      </c>
      <c r="B39" s="143">
        <f>VLOOKUP($A39,'Data shares'!$C:$FA,118)</f>
        <v>0.56999999999999995</v>
      </c>
      <c r="C39" s="143">
        <f>VLOOKUP($A39,'Data shares'!$C:$FA,119)</f>
        <v>0.55000000000000004</v>
      </c>
      <c r="D39" s="143">
        <f>VLOOKUP($A39,'Data shares'!$C:$FA,121)*100</f>
        <v>3.64</v>
      </c>
      <c r="E39" s="143">
        <f>VLOOKUP($A39,'Data shares'!$C:$FA,124)</f>
        <v>0.47</v>
      </c>
      <c r="F39" s="143">
        <f>VLOOKUP($A39,'Data shares'!$C:$FA,125)</f>
        <v>0.55000000000000004</v>
      </c>
      <c r="G39" s="143">
        <f>VLOOKUP($A39,'Data shares'!$C:$FA,127)*100</f>
        <v>-14.549999999999999</v>
      </c>
      <c r="H39" s="103">
        <f>VLOOKUP($A39,'OI(Volume)'!$A$7:$O$427,8)</f>
        <v>99271200</v>
      </c>
      <c r="I39" s="103">
        <f>VLOOKUP($A39,'OI(Volume)'!$A$7:$O$427,9)</f>
        <v>-843600</v>
      </c>
      <c r="J39" s="103">
        <f>VLOOKUP($A39,'OI(Volume)'!$A$7:$O$427,11)</f>
        <v>56259000</v>
      </c>
      <c r="K39" s="103">
        <f>VLOOKUP($A39,'OI(Volume)'!$A$7:$O$427,12)</f>
        <v>1570350</v>
      </c>
      <c r="L39" s="103">
        <f>VLOOKUP($A39,'OI(Value)'!$A$7:$O$306,8,0)</f>
        <v>4007</v>
      </c>
      <c r="M39" s="103">
        <f>VLOOKUP($A39,'OI(Value)'!$A$7:$O$306,9,0)</f>
        <v>-34</v>
      </c>
      <c r="N39" s="103">
        <f>VLOOKUP($A39,'OI(Value)'!$A$7:$O$306,11,0)</f>
        <v>2271</v>
      </c>
      <c r="O39" s="103">
        <f>VLOOKUP($A39,'OI(Value)'!$A$7:$O$306,12,0)</f>
        <v>63</v>
      </c>
      <c r="P39" s="179">
        <f>VLOOKUP(A39,'OI(Value)'!A39:O240,8,0)</f>
        <v>4007</v>
      </c>
      <c r="Q39" s="179">
        <f>VLOOKUP(A39,'OI(Value)'!A39:O240,9,0)</f>
        <v>-34</v>
      </c>
      <c r="R39" s="179">
        <f>VLOOKUP(A39,'OI(Value)'!A39:O240,11,0)</f>
        <v>2271</v>
      </c>
      <c r="S39" s="179">
        <f>VLOOKUP(A39,'OI(Value)'!A39:O240,11,0)</f>
        <v>2271</v>
      </c>
    </row>
    <row r="40" spans="1:19" x14ac:dyDescent="0.25">
      <c r="A40" s="105" t="str">
        <f>'Data shares'!C35</f>
        <v>BHARATFORG</v>
      </c>
      <c r="B40" s="143">
        <f>VLOOKUP($A40,'Data shares'!$C:$FA,118)</f>
        <v>0.65</v>
      </c>
      <c r="C40" s="143">
        <f>VLOOKUP($A40,'Data shares'!$C:$FA,119)</f>
        <v>0.63</v>
      </c>
      <c r="D40" s="143">
        <f>VLOOKUP($A40,'Data shares'!$C:$FA,121)*100</f>
        <v>3.17</v>
      </c>
      <c r="E40" s="143">
        <f>VLOOKUP($A40,'Data shares'!$C:$FA,124)</f>
        <v>0.55000000000000004</v>
      </c>
      <c r="F40" s="143">
        <f>VLOOKUP($A40,'Data shares'!$C:$FA,125)</f>
        <v>0.41</v>
      </c>
      <c r="G40" s="143">
        <f>VLOOKUP($A40,'Data shares'!$C:$FA,127)*100</f>
        <v>34.150000000000006</v>
      </c>
      <c r="H40" s="103">
        <f>VLOOKUP($A40,'OI(Volume)'!$A$7:$O$427,8)</f>
        <v>4576500</v>
      </c>
      <c r="I40" s="103">
        <f>VLOOKUP($A40,'OI(Volume)'!$A$7:$O$427,9)</f>
        <v>-500</v>
      </c>
      <c r="J40" s="103">
        <f>VLOOKUP($A40,'OI(Volume)'!$A$7:$O$427,11)</f>
        <v>2964500</v>
      </c>
      <c r="K40" s="103">
        <f>VLOOKUP($A40,'OI(Volume)'!$A$7:$O$427,12)</f>
        <v>100000</v>
      </c>
      <c r="L40" s="103">
        <f>VLOOKUP($A40,'OI(Value)'!$A$7:$O$306,8,0)</f>
        <v>552</v>
      </c>
      <c r="M40" s="103">
        <f>VLOOKUP($A40,'OI(Value)'!$A$7:$O$306,9,0)</f>
        <v>0</v>
      </c>
      <c r="N40" s="103">
        <f>VLOOKUP($A40,'OI(Value)'!$A$7:$O$306,11,0)</f>
        <v>358</v>
      </c>
      <c r="O40" s="103">
        <f>VLOOKUP($A40,'OI(Value)'!$A$7:$O$306,12,0)</f>
        <v>12</v>
      </c>
      <c r="P40" s="179">
        <f>VLOOKUP(A40,'OI(Value)'!A40:O241,8,0)</f>
        <v>552</v>
      </c>
      <c r="Q40" s="179">
        <f>VLOOKUP(A40,'OI(Value)'!A40:O241,9,0)</f>
        <v>0</v>
      </c>
      <c r="R40" s="179">
        <f>VLOOKUP(A40,'OI(Value)'!A40:O241,11,0)</f>
        <v>358</v>
      </c>
      <c r="S40" s="179">
        <f>VLOOKUP(A40,'OI(Value)'!A40:O241,11,0)</f>
        <v>358</v>
      </c>
    </row>
    <row r="41" spans="1:19" x14ac:dyDescent="0.25">
      <c r="A41" s="105" t="str">
        <f>'Data shares'!C36</f>
        <v>BHARTIARTL</v>
      </c>
      <c r="B41" s="143">
        <f>VLOOKUP($A41,'Data shares'!$C:$FA,118)</f>
        <v>0.42</v>
      </c>
      <c r="C41" s="143">
        <f>VLOOKUP($A41,'Data shares'!$C:$FA,119)</f>
        <v>0.41</v>
      </c>
      <c r="D41" s="143">
        <f>VLOOKUP($A41,'Data shares'!$C:$FA,121)*100</f>
        <v>2.44</v>
      </c>
      <c r="E41" s="143">
        <f>VLOOKUP($A41,'Data shares'!$C:$FA,124)</f>
        <v>0.39</v>
      </c>
      <c r="F41" s="143">
        <f>VLOOKUP($A41,'Data shares'!$C:$FA,125)</f>
        <v>0.3</v>
      </c>
      <c r="G41" s="143">
        <f>VLOOKUP($A41,'Data shares'!$C:$FA,127)*100</f>
        <v>30</v>
      </c>
      <c r="H41" s="103">
        <f>VLOOKUP($A41,'OI(Volume)'!$A$7:$O$427,8)</f>
        <v>21345075</v>
      </c>
      <c r="I41" s="103">
        <f>VLOOKUP($A41,'OI(Volume)'!$A$7:$O$427,9)</f>
        <v>-52250</v>
      </c>
      <c r="J41" s="103">
        <f>VLOOKUP($A41,'OI(Volume)'!$A$7:$O$427,11)</f>
        <v>8895800</v>
      </c>
      <c r="K41" s="103">
        <f>VLOOKUP($A41,'OI(Volume)'!$A$7:$O$427,12)</f>
        <v>30875</v>
      </c>
      <c r="L41" s="103">
        <f>VLOOKUP($A41,'OI(Value)'!$A$7:$O$306,8,0)</f>
        <v>4073</v>
      </c>
      <c r="M41" s="103">
        <f>VLOOKUP($A41,'OI(Value)'!$A$7:$O$306,9,0)</f>
        <v>-10</v>
      </c>
      <c r="N41" s="103">
        <f>VLOOKUP($A41,'OI(Value)'!$A$7:$O$306,11,0)</f>
        <v>1697</v>
      </c>
      <c r="O41" s="103">
        <f>VLOOKUP($A41,'OI(Value)'!$A$7:$O$306,12,0)</f>
        <v>6</v>
      </c>
      <c r="P41" s="179">
        <f>VLOOKUP(A41,'OI(Value)'!A41:O242,8,0)</f>
        <v>4073</v>
      </c>
      <c r="Q41" s="179">
        <f>VLOOKUP(A41,'OI(Value)'!A41:O242,9,0)</f>
        <v>-10</v>
      </c>
      <c r="R41" s="179">
        <f>VLOOKUP(A41,'OI(Value)'!A41:O242,11,0)</f>
        <v>1697</v>
      </c>
      <c r="S41" s="179">
        <f>VLOOKUP(A41,'OI(Value)'!A41:O242,11,0)</f>
        <v>1697</v>
      </c>
    </row>
    <row r="42" spans="1:19" x14ac:dyDescent="0.25">
      <c r="A42" s="105" t="str">
        <f>'Data shares'!C37</f>
        <v>BHEL</v>
      </c>
      <c r="B42" s="143">
        <f>VLOOKUP($A42,'Data shares'!$C:$FA,118)</f>
        <v>0.52</v>
      </c>
      <c r="C42" s="143">
        <f>VLOOKUP($A42,'Data shares'!$C:$FA,119)</f>
        <v>0.54</v>
      </c>
      <c r="D42" s="143">
        <f>VLOOKUP($A42,'Data shares'!$C:$FA,121)*100</f>
        <v>-3.6999999999999997</v>
      </c>
      <c r="E42" s="143">
        <f>VLOOKUP($A42,'Data shares'!$C:$FA,124)</f>
        <v>0.54</v>
      </c>
      <c r="F42" s="143">
        <f>VLOOKUP($A42,'Data shares'!$C:$FA,125)</f>
        <v>0.45</v>
      </c>
      <c r="G42" s="143">
        <f>VLOOKUP($A42,'Data shares'!$C:$FA,127)*100</f>
        <v>20</v>
      </c>
      <c r="H42" s="103">
        <f>VLOOKUP($A42,'OI(Volume)'!$A$7:$O$427,8)</f>
        <v>35253750</v>
      </c>
      <c r="I42" s="103">
        <f>VLOOKUP($A42,'OI(Volume)'!$A$7:$O$427,9)</f>
        <v>2212875</v>
      </c>
      <c r="J42" s="103">
        <f>VLOOKUP($A42,'OI(Volume)'!$A$7:$O$427,11)</f>
        <v>18464250</v>
      </c>
      <c r="K42" s="103">
        <f>VLOOKUP($A42,'OI(Volume)'!$A$7:$O$427,12)</f>
        <v>651000</v>
      </c>
      <c r="L42" s="103">
        <f>VLOOKUP($A42,'OI(Value)'!$A$7:$O$306,8,0)</f>
        <v>884</v>
      </c>
      <c r="M42" s="103">
        <f>VLOOKUP($A42,'OI(Value)'!$A$7:$O$306,9,0)</f>
        <v>55</v>
      </c>
      <c r="N42" s="103">
        <f>VLOOKUP($A42,'OI(Value)'!$A$7:$O$306,11,0)</f>
        <v>463</v>
      </c>
      <c r="O42" s="103">
        <f>VLOOKUP($A42,'OI(Value)'!$A$7:$O$306,12,0)</f>
        <v>16</v>
      </c>
      <c r="P42" s="179">
        <f>VLOOKUP(A42,'OI(Value)'!A42:O243,8,0)</f>
        <v>884</v>
      </c>
      <c r="Q42" s="179">
        <f>VLOOKUP(A42,'OI(Value)'!A42:O243,9,0)</f>
        <v>55</v>
      </c>
      <c r="R42" s="179">
        <f>VLOOKUP(A42,'OI(Value)'!A42:O243,11,0)</f>
        <v>463</v>
      </c>
      <c r="S42" s="179">
        <f>VLOOKUP(A42,'OI(Value)'!A42:O243,11,0)</f>
        <v>463</v>
      </c>
    </row>
    <row r="43" spans="1:19" x14ac:dyDescent="0.25">
      <c r="A43" s="105" t="str">
        <f>'Data shares'!C38</f>
        <v>BIOCON</v>
      </c>
      <c r="B43" s="143">
        <f>VLOOKUP($A43,'Data shares'!$C:$FA,118)</f>
        <v>0.65</v>
      </c>
      <c r="C43" s="143">
        <f>VLOOKUP($A43,'Data shares'!$C:$FA,119)</f>
        <v>0.71</v>
      </c>
      <c r="D43" s="143">
        <f>VLOOKUP($A43,'Data shares'!$C:$FA,121)*100</f>
        <v>-8.4500000000000011</v>
      </c>
      <c r="E43" s="143">
        <f>VLOOKUP($A43,'Data shares'!$C:$FA,124)</f>
        <v>0.59</v>
      </c>
      <c r="F43" s="143">
        <f>VLOOKUP($A43,'Data shares'!$C:$FA,125)</f>
        <v>0.51</v>
      </c>
      <c r="G43" s="143">
        <f>VLOOKUP($A43,'Data shares'!$C:$FA,127)*100</f>
        <v>15.690000000000001</v>
      </c>
      <c r="H43" s="103">
        <f>VLOOKUP($A43,'OI(Volume)'!$A$7:$O$427,8)</f>
        <v>22765000</v>
      </c>
      <c r="I43" s="103">
        <f>VLOOKUP($A43,'OI(Volume)'!$A$7:$O$427,9)</f>
        <v>-22500</v>
      </c>
      <c r="J43" s="103">
        <f>VLOOKUP($A43,'OI(Volume)'!$A$7:$O$427,11)</f>
        <v>14855000</v>
      </c>
      <c r="K43" s="103">
        <f>VLOOKUP($A43,'OI(Volume)'!$A$7:$O$427,12)</f>
        <v>-1312500</v>
      </c>
      <c r="L43" s="103">
        <f>VLOOKUP($A43,'OI(Value)'!$A$7:$O$306,8,0)</f>
        <v>883</v>
      </c>
      <c r="M43" s="103">
        <f>VLOOKUP($A43,'OI(Value)'!$A$7:$O$306,9,0)</f>
        <v>-1</v>
      </c>
      <c r="N43" s="103">
        <f>VLOOKUP($A43,'OI(Value)'!$A$7:$O$306,11,0)</f>
        <v>576</v>
      </c>
      <c r="O43" s="103">
        <f>VLOOKUP($A43,'OI(Value)'!$A$7:$O$306,12,0)</f>
        <v>-51</v>
      </c>
      <c r="P43" s="179">
        <f>VLOOKUP(A43,'OI(Value)'!A43:O244,8,0)</f>
        <v>883</v>
      </c>
      <c r="Q43" s="179">
        <f>VLOOKUP(A43,'OI(Value)'!A43:O244,9,0)</f>
        <v>-1</v>
      </c>
      <c r="R43" s="179">
        <f>VLOOKUP(A43,'OI(Value)'!A43:O244,11,0)</f>
        <v>576</v>
      </c>
      <c r="S43" s="179">
        <f>VLOOKUP(A43,'OI(Value)'!A43:O244,11,0)</f>
        <v>576</v>
      </c>
    </row>
    <row r="44" spans="1:19" x14ac:dyDescent="0.25">
      <c r="A44" s="105" t="str">
        <f>'Data shares'!C39</f>
        <v>BLUESTARCO</v>
      </c>
      <c r="B44" s="143">
        <f>VLOOKUP($A44,'Data shares'!$C:$FA,118)</f>
        <v>1</v>
      </c>
      <c r="C44" s="143">
        <f>VLOOKUP($A44,'Data shares'!$C:$FA,119)</f>
        <v>1.1399999999999999</v>
      </c>
      <c r="D44" s="143">
        <f>VLOOKUP($A44,'Data shares'!$C:$FA,121)*100</f>
        <v>-12.280000000000001</v>
      </c>
      <c r="E44" s="143">
        <f>VLOOKUP($A44,'Data shares'!$C:$FA,124)</f>
        <v>0.85</v>
      </c>
      <c r="F44" s="143">
        <f>VLOOKUP($A44,'Data shares'!$C:$FA,125)</f>
        <v>1.77</v>
      </c>
      <c r="G44" s="143">
        <f>VLOOKUP($A44,'Data shares'!$C:$FA,127)*100</f>
        <v>-51.980000000000004</v>
      </c>
      <c r="H44" s="103">
        <f>VLOOKUP($A44,'OI(Volume)'!$A$7:$O$427,8)</f>
        <v>1662375</v>
      </c>
      <c r="I44" s="103">
        <f>VLOOKUP($A44,'OI(Volume)'!$A$7:$O$427,9)</f>
        <v>128375</v>
      </c>
      <c r="J44" s="103">
        <f>VLOOKUP($A44,'OI(Volume)'!$A$7:$O$427,11)</f>
        <v>1669200</v>
      </c>
      <c r="K44" s="103">
        <f>VLOOKUP($A44,'OI(Volume)'!$A$7:$O$427,12)</f>
        <v>-79625</v>
      </c>
      <c r="L44" s="103">
        <f>VLOOKUP($A44,'OI(Value)'!$A$7:$O$306,8,0)</f>
        <v>294</v>
      </c>
      <c r="M44" s="103">
        <f>VLOOKUP($A44,'OI(Value)'!$A$7:$O$306,9,0)</f>
        <v>23</v>
      </c>
      <c r="N44" s="103">
        <f>VLOOKUP($A44,'OI(Value)'!$A$7:$O$306,11,0)</f>
        <v>295</v>
      </c>
      <c r="O44" s="103">
        <f>VLOOKUP($A44,'OI(Value)'!$A$7:$O$306,12,0)</f>
        <v>-14</v>
      </c>
      <c r="P44" s="179">
        <f>VLOOKUP(A44,'OI(Value)'!A44:O245,8,0)</f>
        <v>294</v>
      </c>
      <c r="Q44" s="179">
        <f>VLOOKUP(A44,'OI(Value)'!A44:O245,9,0)</f>
        <v>23</v>
      </c>
      <c r="R44" s="179">
        <f>VLOOKUP(A44,'OI(Value)'!A44:O245,11,0)</f>
        <v>295</v>
      </c>
      <c r="S44" s="179">
        <f>VLOOKUP(A44,'OI(Value)'!A44:O245,11,0)</f>
        <v>295</v>
      </c>
    </row>
    <row r="45" spans="1:19" x14ac:dyDescent="0.25">
      <c r="A45" s="105" t="str">
        <f>'Data shares'!C40</f>
        <v>BOSCHLTD</v>
      </c>
      <c r="B45" s="143">
        <f>VLOOKUP($A45,'Data shares'!$C:$FA,118)</f>
        <v>0.56000000000000005</v>
      </c>
      <c r="C45" s="143">
        <f>VLOOKUP($A45,'Data shares'!$C:$FA,119)</f>
        <v>0.54</v>
      </c>
      <c r="D45" s="143">
        <f>VLOOKUP($A45,'Data shares'!$C:$FA,121)*100</f>
        <v>3.6999999999999997</v>
      </c>
      <c r="E45" s="143">
        <f>VLOOKUP($A45,'Data shares'!$C:$FA,124)</f>
        <v>0.52</v>
      </c>
      <c r="F45" s="143">
        <f>VLOOKUP($A45,'Data shares'!$C:$FA,125)</f>
        <v>0.37</v>
      </c>
      <c r="G45" s="143">
        <f>VLOOKUP($A45,'Data shares'!$C:$FA,127)*100</f>
        <v>40.54</v>
      </c>
      <c r="H45" s="103">
        <f>VLOOKUP($A45,'OI(Volume)'!$A$7:$O$427,8)</f>
        <v>443375</v>
      </c>
      <c r="I45" s="103">
        <f>VLOOKUP($A45,'OI(Volume)'!$A$7:$O$427,9)</f>
        <v>-51400</v>
      </c>
      <c r="J45" s="103">
        <f>VLOOKUP($A45,'OI(Volume)'!$A$7:$O$427,11)</f>
        <v>248725</v>
      </c>
      <c r="K45" s="103">
        <f>VLOOKUP($A45,'OI(Volume)'!$A$7:$O$427,12)</f>
        <v>-18725</v>
      </c>
      <c r="L45" s="103">
        <f>VLOOKUP($A45,'OI(Value)'!$A$7:$O$306,8,0)</f>
        <v>1656</v>
      </c>
      <c r="M45" s="103">
        <f>VLOOKUP($A45,'OI(Value)'!$A$7:$O$306,9,0)</f>
        <v>-192</v>
      </c>
      <c r="N45" s="103">
        <f>VLOOKUP($A45,'OI(Value)'!$A$7:$O$306,11,0)</f>
        <v>929</v>
      </c>
      <c r="O45" s="103">
        <f>VLOOKUP($A45,'OI(Value)'!$A$7:$O$306,12,0)</f>
        <v>-70</v>
      </c>
      <c r="P45" s="179">
        <f>VLOOKUP(A45,'OI(Value)'!A45:O246,8,0)</f>
        <v>1656</v>
      </c>
      <c r="Q45" s="179">
        <f>VLOOKUP(A45,'OI(Value)'!A45:O246,9,0)</f>
        <v>-192</v>
      </c>
      <c r="R45" s="179">
        <f>VLOOKUP(A45,'OI(Value)'!A45:O246,11,0)</f>
        <v>929</v>
      </c>
      <c r="S45" s="179">
        <f>VLOOKUP(A45,'OI(Value)'!A45:O246,11,0)</f>
        <v>929</v>
      </c>
    </row>
    <row r="46" spans="1:19" x14ac:dyDescent="0.25">
      <c r="A46" s="105" t="str">
        <f>'Data shares'!C41</f>
        <v>BPCL</v>
      </c>
      <c r="B46" s="143">
        <f>VLOOKUP($A46,'Data shares'!$C:$FA,118)</f>
        <v>0.7</v>
      </c>
      <c r="C46" s="143">
        <f>VLOOKUP($A46,'Data shares'!$C:$FA,119)</f>
        <v>0.7</v>
      </c>
      <c r="D46" s="143">
        <f>VLOOKUP($A46,'Data shares'!$C:$FA,121)*100</f>
        <v>0</v>
      </c>
      <c r="E46" s="143">
        <f>VLOOKUP($A46,'Data shares'!$C:$FA,124)</f>
        <v>0.54</v>
      </c>
      <c r="F46" s="143">
        <f>VLOOKUP($A46,'Data shares'!$C:$FA,125)</f>
        <v>0.65</v>
      </c>
      <c r="G46" s="143">
        <f>VLOOKUP($A46,'Data shares'!$C:$FA,127)*100</f>
        <v>-16.919999999999998</v>
      </c>
      <c r="H46" s="103">
        <f>VLOOKUP($A46,'OI(Volume)'!$A$7:$O$427,8)</f>
        <v>19667050</v>
      </c>
      <c r="I46" s="103">
        <f>VLOOKUP($A46,'OI(Volume)'!$A$7:$O$427,9)</f>
        <v>-152075</v>
      </c>
      <c r="J46" s="103">
        <f>VLOOKUP($A46,'OI(Volume)'!$A$7:$O$427,11)</f>
        <v>13826975</v>
      </c>
      <c r="K46" s="103">
        <f>VLOOKUP($A46,'OI(Volume)'!$A$7:$O$427,12)</f>
        <v>37525</v>
      </c>
      <c r="L46" s="103">
        <f>VLOOKUP($A46,'OI(Value)'!$A$7:$O$306,8,0)</f>
        <v>662</v>
      </c>
      <c r="M46" s="103">
        <f>VLOOKUP($A46,'OI(Value)'!$A$7:$O$306,9,0)</f>
        <v>-5</v>
      </c>
      <c r="N46" s="103">
        <f>VLOOKUP($A46,'OI(Value)'!$A$7:$O$306,11,0)</f>
        <v>465</v>
      </c>
      <c r="O46" s="103">
        <f>VLOOKUP($A46,'OI(Value)'!$A$7:$O$306,12,0)</f>
        <v>1</v>
      </c>
      <c r="P46" s="179">
        <f>VLOOKUP(A46,'OI(Value)'!A46:O247,8,0)</f>
        <v>662</v>
      </c>
      <c r="Q46" s="179">
        <f>VLOOKUP(A46,'OI(Value)'!A46:O247,9,0)</f>
        <v>-5</v>
      </c>
      <c r="R46" s="179">
        <f>VLOOKUP(A46,'OI(Value)'!A46:O247,11,0)</f>
        <v>465</v>
      </c>
      <c r="S46" s="179">
        <f>VLOOKUP(A46,'OI(Value)'!A46:O247,11,0)</f>
        <v>465</v>
      </c>
    </row>
    <row r="47" spans="1:19" x14ac:dyDescent="0.25">
      <c r="A47" s="105" t="str">
        <f>'Data shares'!C42</f>
        <v>BRITANNIA</v>
      </c>
      <c r="B47" s="143">
        <f>VLOOKUP($A47,'Data shares'!$C:$FA,118)</f>
        <v>0.59</v>
      </c>
      <c r="C47" s="143">
        <f>VLOOKUP($A47,'Data shares'!$C:$FA,119)</f>
        <v>0.55000000000000004</v>
      </c>
      <c r="D47" s="143">
        <f>VLOOKUP($A47,'Data shares'!$C:$FA,121)*100</f>
        <v>7.2700000000000005</v>
      </c>
      <c r="E47" s="143">
        <f>VLOOKUP($A47,'Data shares'!$C:$FA,124)</f>
        <v>0.56000000000000005</v>
      </c>
      <c r="F47" s="143">
        <f>VLOOKUP($A47,'Data shares'!$C:$FA,125)</f>
        <v>0.52</v>
      </c>
      <c r="G47" s="143">
        <f>VLOOKUP($A47,'Data shares'!$C:$FA,127)*100</f>
        <v>7.6899999999999995</v>
      </c>
      <c r="H47" s="103">
        <f>VLOOKUP($A47,'OI(Volume)'!$A$7:$O$427,8)</f>
        <v>761250</v>
      </c>
      <c r="I47" s="103">
        <f>VLOOKUP($A47,'OI(Volume)'!$A$7:$O$427,9)</f>
        <v>-10375</v>
      </c>
      <c r="J47" s="103">
        <f>VLOOKUP($A47,'OI(Volume)'!$A$7:$O$427,11)</f>
        <v>452250</v>
      </c>
      <c r="K47" s="103">
        <f>VLOOKUP($A47,'OI(Volume)'!$A$7:$O$427,12)</f>
        <v>30000</v>
      </c>
      <c r="L47" s="103">
        <f>VLOOKUP($A47,'OI(Value)'!$A$7:$O$306,8,0)</f>
        <v>435</v>
      </c>
      <c r="M47" s="103">
        <f>VLOOKUP($A47,'OI(Value)'!$A$7:$O$306,9,0)</f>
        <v>-6</v>
      </c>
      <c r="N47" s="103">
        <f>VLOOKUP($A47,'OI(Value)'!$A$7:$O$306,11,0)</f>
        <v>258</v>
      </c>
      <c r="O47" s="103">
        <f>VLOOKUP($A47,'OI(Value)'!$A$7:$O$306,12,0)</f>
        <v>17</v>
      </c>
      <c r="P47" s="179">
        <f>VLOOKUP(A47,'OI(Value)'!A47:O248,8,0)</f>
        <v>435</v>
      </c>
      <c r="Q47" s="179">
        <f>VLOOKUP(A47,'OI(Value)'!A47:O248,9,0)</f>
        <v>-6</v>
      </c>
      <c r="R47" s="179">
        <f>VLOOKUP(A47,'OI(Value)'!A47:O248,11,0)</f>
        <v>258</v>
      </c>
      <c r="S47" s="179">
        <f>VLOOKUP(A47,'OI(Value)'!A47:O248,11,0)</f>
        <v>258</v>
      </c>
    </row>
    <row r="48" spans="1:19" x14ac:dyDescent="0.25">
      <c r="A48" s="105" t="str">
        <f>'Data shares'!C43</f>
        <v>BSE</v>
      </c>
      <c r="B48" s="143">
        <f>VLOOKUP($A48,'Data shares'!$C:$FA,118)</f>
        <v>0.55000000000000004</v>
      </c>
      <c r="C48" s="143">
        <f>VLOOKUP($A48,'Data shares'!$C:$FA,119)</f>
        <v>0.55000000000000004</v>
      </c>
      <c r="D48" s="143">
        <f>VLOOKUP($A48,'Data shares'!$C:$FA,121)*100</f>
        <v>0</v>
      </c>
      <c r="E48" s="143">
        <f>VLOOKUP($A48,'Data shares'!$C:$FA,124)</f>
        <v>0.52</v>
      </c>
      <c r="F48" s="143">
        <f>VLOOKUP($A48,'Data shares'!$C:$FA,125)</f>
        <v>0.43</v>
      </c>
      <c r="G48" s="143">
        <f>VLOOKUP($A48,'Data shares'!$C:$FA,127)*100</f>
        <v>20.93</v>
      </c>
      <c r="H48" s="103">
        <f>VLOOKUP($A48,'OI(Volume)'!$A$7:$O$427,8)</f>
        <v>19578375</v>
      </c>
      <c r="I48" s="103">
        <f>VLOOKUP($A48,'OI(Volume)'!$A$7:$O$427,9)</f>
        <v>-478500</v>
      </c>
      <c r="J48" s="103">
        <f>VLOOKUP($A48,'OI(Volume)'!$A$7:$O$427,11)</f>
        <v>10738500</v>
      </c>
      <c r="K48" s="103">
        <f>VLOOKUP($A48,'OI(Volume)'!$A$7:$O$427,12)</f>
        <v>-313875</v>
      </c>
      <c r="L48" s="103">
        <f>VLOOKUP($A48,'OI(Value)'!$A$7:$O$306,8,0)</f>
        <v>4995</v>
      </c>
      <c r="M48" s="103">
        <f>VLOOKUP($A48,'OI(Value)'!$A$7:$O$306,9,0)</f>
        <v>-122</v>
      </c>
      <c r="N48" s="103">
        <f>VLOOKUP($A48,'OI(Value)'!$A$7:$O$306,11,0)</f>
        <v>2739</v>
      </c>
      <c r="O48" s="103">
        <f>VLOOKUP($A48,'OI(Value)'!$A$7:$O$306,12,0)</f>
        <v>-80</v>
      </c>
      <c r="P48" s="179">
        <f>VLOOKUP(A48,'OI(Value)'!A48:O249,8,0)</f>
        <v>4995</v>
      </c>
      <c r="Q48" s="179">
        <f>VLOOKUP(A48,'OI(Value)'!A48:O249,9,0)</f>
        <v>-122</v>
      </c>
      <c r="R48" s="179">
        <f>VLOOKUP(A48,'OI(Value)'!A48:O249,11,0)</f>
        <v>2739</v>
      </c>
      <c r="S48" s="179">
        <f>VLOOKUP(A48,'OI(Value)'!A48:O249,11,0)</f>
        <v>2739</v>
      </c>
    </row>
    <row r="49" spans="1:19" x14ac:dyDescent="0.25">
      <c r="A49" s="105" t="str">
        <f>'Data shares'!C44</f>
        <v>BSOFT</v>
      </c>
      <c r="B49" s="143">
        <f>VLOOKUP($A49,'Data shares'!$C:$FA,118)</f>
        <v>0.44</v>
      </c>
      <c r="C49" s="143">
        <f>VLOOKUP($A49,'Data shares'!$C:$FA,119)</f>
        <v>0.42</v>
      </c>
      <c r="D49" s="143">
        <f>VLOOKUP($A49,'Data shares'!$C:$FA,121)*100</f>
        <v>4.7600000000000007</v>
      </c>
      <c r="E49" s="143">
        <f>VLOOKUP($A49,'Data shares'!$C:$FA,124)</f>
        <v>0.24</v>
      </c>
      <c r="F49" s="143">
        <f>VLOOKUP($A49,'Data shares'!$C:$FA,125)</f>
        <v>0.24</v>
      </c>
      <c r="G49" s="143">
        <f>VLOOKUP($A49,'Data shares'!$C:$FA,127)*100</f>
        <v>0</v>
      </c>
      <c r="H49" s="103">
        <f>VLOOKUP($A49,'OI(Volume)'!$A$7:$O$427,8)</f>
        <v>9582300</v>
      </c>
      <c r="I49" s="103">
        <f>VLOOKUP($A49,'OI(Volume)'!$A$7:$O$427,9)</f>
        <v>-469300</v>
      </c>
      <c r="J49" s="103">
        <f>VLOOKUP($A49,'OI(Volume)'!$A$7:$O$427,11)</f>
        <v>4206800</v>
      </c>
      <c r="K49" s="103">
        <f>VLOOKUP($A49,'OI(Volume)'!$A$7:$O$427,12)</f>
        <v>-63700</v>
      </c>
      <c r="L49" s="103">
        <f>VLOOKUP($A49,'OI(Value)'!$A$7:$O$306,8,0)</f>
        <v>389</v>
      </c>
      <c r="M49" s="103">
        <f>VLOOKUP($A49,'OI(Value)'!$A$7:$O$306,9,0)</f>
        <v>-19</v>
      </c>
      <c r="N49" s="103">
        <f>VLOOKUP($A49,'OI(Value)'!$A$7:$O$306,11,0)</f>
        <v>171</v>
      </c>
      <c r="O49" s="103">
        <f>VLOOKUP($A49,'OI(Value)'!$A$7:$O$306,12,0)</f>
        <v>-3</v>
      </c>
      <c r="P49" s="179">
        <f>VLOOKUP(A49,'OI(Value)'!A49:O250,8,0)</f>
        <v>389</v>
      </c>
      <c r="Q49" s="179">
        <f>VLOOKUP(A49,'OI(Value)'!A49:O250,9,0)</f>
        <v>-19</v>
      </c>
      <c r="R49" s="179">
        <f>VLOOKUP(A49,'OI(Value)'!A49:O250,11,0)</f>
        <v>171</v>
      </c>
      <c r="S49" s="179">
        <f>VLOOKUP(A49,'OI(Value)'!A49:O250,11,0)</f>
        <v>171</v>
      </c>
    </row>
    <row r="50" spans="1:19" x14ac:dyDescent="0.25">
      <c r="A50" s="105" t="str">
        <f>'Data shares'!C45</f>
        <v>CAMS</v>
      </c>
      <c r="B50" s="143">
        <f>VLOOKUP($A50,'Data shares'!$C:$FA,118)</f>
        <v>0.72</v>
      </c>
      <c r="C50" s="143">
        <f>VLOOKUP($A50,'Data shares'!$C:$FA,119)</f>
        <v>0.74</v>
      </c>
      <c r="D50" s="143">
        <f>VLOOKUP($A50,'Data shares'!$C:$FA,121)*100</f>
        <v>-2.7</v>
      </c>
      <c r="E50" s="143">
        <f>VLOOKUP($A50,'Data shares'!$C:$FA,124)</f>
        <v>0.39</v>
      </c>
      <c r="F50" s="143">
        <f>VLOOKUP($A50,'Data shares'!$C:$FA,125)</f>
        <v>0.5</v>
      </c>
      <c r="G50" s="143">
        <f>VLOOKUP($A50,'Data shares'!$C:$FA,127)*100</f>
        <v>-22</v>
      </c>
      <c r="H50" s="103">
        <f>VLOOKUP($A50,'OI(Volume)'!$A$7:$O$427,8)</f>
        <v>1150500</v>
      </c>
      <c r="I50" s="103">
        <f>VLOOKUP($A50,'OI(Volume)'!$A$7:$O$427,9)</f>
        <v>30600</v>
      </c>
      <c r="J50" s="103">
        <f>VLOOKUP($A50,'OI(Volume)'!$A$7:$O$427,11)</f>
        <v>823500</v>
      </c>
      <c r="K50" s="103">
        <f>VLOOKUP($A50,'OI(Volume)'!$A$7:$O$427,12)</f>
        <v>-5400</v>
      </c>
      <c r="L50" s="103">
        <f>VLOOKUP($A50,'OI(Value)'!$A$7:$O$306,8,0)</f>
        <v>490</v>
      </c>
      <c r="M50" s="103">
        <f>VLOOKUP($A50,'OI(Value)'!$A$7:$O$306,9,0)</f>
        <v>13</v>
      </c>
      <c r="N50" s="103">
        <f>VLOOKUP($A50,'OI(Value)'!$A$7:$O$306,11,0)</f>
        <v>351</v>
      </c>
      <c r="O50" s="103">
        <f>VLOOKUP($A50,'OI(Value)'!$A$7:$O$306,12,0)</f>
        <v>-2</v>
      </c>
      <c r="P50" s="179">
        <f>VLOOKUP(A50,'OI(Value)'!A50:O251,8,0)</f>
        <v>490</v>
      </c>
      <c r="Q50" s="179">
        <f>VLOOKUP(A50,'OI(Value)'!A50:O251,9,0)</f>
        <v>13</v>
      </c>
      <c r="R50" s="179">
        <f>VLOOKUP(A50,'OI(Value)'!A50:O251,11,0)</f>
        <v>351</v>
      </c>
      <c r="S50" s="179">
        <f>VLOOKUP(A50,'OI(Value)'!A50:O251,11,0)</f>
        <v>351</v>
      </c>
    </row>
    <row r="51" spans="1:19" x14ac:dyDescent="0.25">
      <c r="A51" s="105" t="str">
        <f>'Data shares'!C46</f>
        <v>CANBK</v>
      </c>
      <c r="B51" s="143">
        <f>VLOOKUP($A51,'Data shares'!$C:$FA,118)</f>
        <v>0.62</v>
      </c>
      <c r="C51" s="143">
        <f>VLOOKUP($A51,'Data shares'!$C:$FA,119)</f>
        <v>0.67</v>
      </c>
      <c r="D51" s="143">
        <f>VLOOKUP($A51,'Data shares'!$C:$FA,121)*100</f>
        <v>-7.46</v>
      </c>
      <c r="E51" s="143">
        <f>VLOOKUP($A51,'Data shares'!$C:$FA,124)</f>
        <v>0.47</v>
      </c>
      <c r="F51" s="143">
        <f>VLOOKUP($A51,'Data shares'!$C:$FA,125)</f>
        <v>0.39</v>
      </c>
      <c r="G51" s="143">
        <f>VLOOKUP($A51,'Data shares'!$C:$FA,127)*100</f>
        <v>20.51</v>
      </c>
      <c r="H51" s="103">
        <f>VLOOKUP($A51,'OI(Volume)'!$A$7:$O$427,8)</f>
        <v>156539250</v>
      </c>
      <c r="I51" s="103">
        <f>VLOOKUP($A51,'OI(Volume)'!$A$7:$O$427,9)</f>
        <v>26257500</v>
      </c>
      <c r="J51" s="103">
        <f>VLOOKUP($A51,'OI(Volume)'!$A$7:$O$427,11)</f>
        <v>97233750</v>
      </c>
      <c r="K51" s="103">
        <f>VLOOKUP($A51,'OI(Volume)'!$A$7:$O$427,12)</f>
        <v>9915750</v>
      </c>
      <c r="L51" s="103">
        <f>VLOOKUP($A51,'OI(Value)'!$A$7:$O$306,8,0)</f>
        <v>1692</v>
      </c>
      <c r="M51" s="103">
        <f>VLOOKUP($A51,'OI(Value)'!$A$7:$O$306,9,0)</f>
        <v>284</v>
      </c>
      <c r="N51" s="103">
        <f>VLOOKUP($A51,'OI(Value)'!$A$7:$O$306,11,0)</f>
        <v>1051</v>
      </c>
      <c r="O51" s="103">
        <f>VLOOKUP($A51,'OI(Value)'!$A$7:$O$306,12,0)</f>
        <v>107</v>
      </c>
      <c r="P51" s="179">
        <f>VLOOKUP(A51,'OI(Value)'!A51:O252,8,0)</f>
        <v>1692</v>
      </c>
      <c r="Q51" s="179">
        <f>VLOOKUP(A51,'OI(Value)'!A51:O252,9,0)</f>
        <v>284</v>
      </c>
      <c r="R51" s="179">
        <f>VLOOKUP(A51,'OI(Value)'!A51:O252,11,0)</f>
        <v>1051</v>
      </c>
      <c r="S51" s="179">
        <f>VLOOKUP(A51,'OI(Value)'!A51:O252,11,0)</f>
        <v>1051</v>
      </c>
    </row>
    <row r="52" spans="1:19" x14ac:dyDescent="0.25">
      <c r="A52" s="105" t="str">
        <f>'Data shares'!C47</f>
        <v>CDSL</v>
      </c>
      <c r="B52" s="143">
        <f>VLOOKUP($A52,'Data shares'!$C:$FA,118)</f>
        <v>0.52</v>
      </c>
      <c r="C52" s="143">
        <f>VLOOKUP($A52,'Data shares'!$C:$FA,119)</f>
        <v>0.55000000000000004</v>
      </c>
      <c r="D52" s="143">
        <f>VLOOKUP($A52,'Data shares'!$C:$FA,121)*100</f>
        <v>-5.45</v>
      </c>
      <c r="E52" s="143">
        <f>VLOOKUP($A52,'Data shares'!$C:$FA,124)</f>
        <v>0.33</v>
      </c>
      <c r="F52" s="143">
        <f>VLOOKUP($A52,'Data shares'!$C:$FA,125)</f>
        <v>0.4</v>
      </c>
      <c r="G52" s="143">
        <f>VLOOKUP($A52,'Data shares'!$C:$FA,127)*100</f>
        <v>-17.5</v>
      </c>
      <c r="H52" s="103">
        <f>VLOOKUP($A52,'OI(Volume)'!$A$7:$O$427,8)</f>
        <v>9256800</v>
      </c>
      <c r="I52" s="103">
        <f>VLOOKUP($A52,'OI(Volume)'!$A$7:$O$427,9)</f>
        <v>622725</v>
      </c>
      <c r="J52" s="103">
        <f>VLOOKUP($A52,'OI(Volume)'!$A$7:$O$427,11)</f>
        <v>4819825</v>
      </c>
      <c r="K52" s="103">
        <f>VLOOKUP($A52,'OI(Volume)'!$A$7:$O$427,12)</f>
        <v>104975</v>
      </c>
      <c r="L52" s="103">
        <f>VLOOKUP($A52,'OI(Value)'!$A$7:$O$306,8,0)</f>
        <v>1589</v>
      </c>
      <c r="M52" s="103">
        <f>VLOOKUP($A52,'OI(Value)'!$A$7:$O$306,9,0)</f>
        <v>107</v>
      </c>
      <c r="N52" s="103">
        <f>VLOOKUP($A52,'OI(Value)'!$A$7:$O$306,11,0)</f>
        <v>827</v>
      </c>
      <c r="O52" s="103">
        <f>VLOOKUP($A52,'OI(Value)'!$A$7:$O$306,12,0)</f>
        <v>18</v>
      </c>
      <c r="P52" s="179">
        <f>VLOOKUP(A52,'OI(Value)'!A52:O253,8,0)</f>
        <v>1589</v>
      </c>
      <c r="Q52" s="179">
        <f>VLOOKUP(A52,'OI(Value)'!A52:O253,9,0)</f>
        <v>107</v>
      </c>
      <c r="R52" s="179">
        <f>VLOOKUP(A52,'OI(Value)'!A52:O253,11,0)</f>
        <v>827</v>
      </c>
      <c r="S52" s="179">
        <f>VLOOKUP(A52,'OI(Value)'!A52:O253,11,0)</f>
        <v>827</v>
      </c>
    </row>
    <row r="53" spans="1:19" x14ac:dyDescent="0.25">
      <c r="A53" s="105" t="str">
        <f>'Data shares'!C48</f>
        <v>CESC</v>
      </c>
      <c r="B53" s="143">
        <f>VLOOKUP($A53,'Data shares'!$C:$FA,118)</f>
        <v>0.42</v>
      </c>
      <c r="C53" s="143">
        <f>VLOOKUP($A53,'Data shares'!$C:$FA,119)</f>
        <v>0.41</v>
      </c>
      <c r="D53" s="143">
        <f>VLOOKUP($A53,'Data shares'!$C:$FA,121)*100</f>
        <v>2.44</v>
      </c>
      <c r="E53" s="143">
        <f>VLOOKUP($A53,'Data shares'!$C:$FA,124)</f>
        <v>0.25</v>
      </c>
      <c r="F53" s="143">
        <f>VLOOKUP($A53,'Data shares'!$C:$FA,125)</f>
        <v>0.38</v>
      </c>
      <c r="G53" s="143">
        <f>VLOOKUP($A53,'Data shares'!$C:$FA,127)*100</f>
        <v>-34.21</v>
      </c>
      <c r="H53" s="103">
        <f>VLOOKUP($A53,'OI(Volume)'!$A$7:$O$427,8)</f>
        <v>12143750</v>
      </c>
      <c r="I53" s="103">
        <f>VLOOKUP($A53,'OI(Volume)'!$A$7:$O$427,9)</f>
        <v>-493000</v>
      </c>
      <c r="J53" s="103">
        <f>VLOOKUP($A53,'OI(Volume)'!$A$7:$O$427,11)</f>
        <v>5140250</v>
      </c>
      <c r="K53" s="103">
        <f>VLOOKUP($A53,'OI(Volume)'!$A$7:$O$427,12)</f>
        <v>-18125</v>
      </c>
      <c r="L53" s="103">
        <f>VLOOKUP($A53,'OI(Value)'!$A$7:$O$306,8,0)</f>
        <v>216</v>
      </c>
      <c r="M53" s="103">
        <f>VLOOKUP($A53,'OI(Value)'!$A$7:$O$306,9,0)</f>
        <v>-9</v>
      </c>
      <c r="N53" s="103">
        <f>VLOOKUP($A53,'OI(Value)'!$A$7:$O$306,11,0)</f>
        <v>91</v>
      </c>
      <c r="O53" s="103">
        <f>VLOOKUP($A53,'OI(Value)'!$A$7:$O$306,12,0)</f>
        <v>0</v>
      </c>
      <c r="P53" s="179">
        <f>VLOOKUP(A53,'OI(Value)'!A53:O254,8,0)</f>
        <v>216</v>
      </c>
      <c r="Q53" s="179">
        <f>VLOOKUP(A53,'OI(Value)'!A53:O254,9,0)</f>
        <v>-9</v>
      </c>
      <c r="R53" s="179">
        <f>VLOOKUP(A53,'OI(Value)'!A53:O254,11,0)</f>
        <v>91</v>
      </c>
      <c r="S53" s="179">
        <f>VLOOKUP(A53,'OI(Value)'!A53:O254,11,0)</f>
        <v>91</v>
      </c>
    </row>
    <row r="54" spans="1:19" x14ac:dyDescent="0.25">
      <c r="A54" s="105" t="str">
        <f>'Data shares'!C49</f>
        <v>CGPOWER</v>
      </c>
      <c r="B54" s="143">
        <f>VLOOKUP($A54,'Data shares'!$C:$FA,118)</f>
        <v>0.75</v>
      </c>
      <c r="C54" s="143">
        <f>VLOOKUP($A54,'Data shares'!$C:$FA,119)</f>
        <v>0.74</v>
      </c>
      <c r="D54" s="143">
        <f>VLOOKUP($A54,'Data shares'!$C:$FA,121)*100</f>
        <v>1.35</v>
      </c>
      <c r="E54" s="143">
        <f>VLOOKUP($A54,'Data shares'!$C:$FA,124)</f>
        <v>0.35</v>
      </c>
      <c r="F54" s="143">
        <f>VLOOKUP($A54,'Data shares'!$C:$FA,125)</f>
        <v>0.34</v>
      </c>
      <c r="G54" s="143">
        <f>VLOOKUP($A54,'Data shares'!$C:$FA,127)*100</f>
        <v>2.94</v>
      </c>
      <c r="H54" s="103">
        <f>VLOOKUP($A54,'OI(Volume)'!$A$7:$O$427,8)</f>
        <v>5208800</v>
      </c>
      <c r="I54" s="103">
        <f>VLOOKUP($A54,'OI(Volume)'!$A$7:$O$427,9)</f>
        <v>-58650</v>
      </c>
      <c r="J54" s="103">
        <f>VLOOKUP($A54,'OI(Volume)'!$A$7:$O$427,11)</f>
        <v>3909150</v>
      </c>
      <c r="K54" s="103">
        <f>VLOOKUP($A54,'OI(Volume)'!$A$7:$O$427,12)</f>
        <v>32300</v>
      </c>
      <c r="L54" s="103">
        <f>VLOOKUP($A54,'OI(Value)'!$A$7:$O$306,8,0)</f>
        <v>357</v>
      </c>
      <c r="M54" s="103">
        <f>VLOOKUP($A54,'OI(Value)'!$A$7:$O$306,9,0)</f>
        <v>-4</v>
      </c>
      <c r="N54" s="103">
        <f>VLOOKUP($A54,'OI(Value)'!$A$7:$O$306,11,0)</f>
        <v>268</v>
      </c>
      <c r="O54" s="103">
        <f>VLOOKUP($A54,'OI(Value)'!$A$7:$O$306,12,0)</f>
        <v>2</v>
      </c>
      <c r="P54" s="179">
        <f>VLOOKUP(A54,'OI(Value)'!A54:O255,8,0)</f>
        <v>357</v>
      </c>
      <c r="Q54" s="179">
        <f>VLOOKUP(A54,'OI(Value)'!A54:O255,9,0)</f>
        <v>-4</v>
      </c>
      <c r="R54" s="179">
        <f>VLOOKUP(A54,'OI(Value)'!A54:O255,11,0)</f>
        <v>268</v>
      </c>
      <c r="S54" s="179">
        <f>VLOOKUP(A54,'OI(Value)'!A54:O255,11,0)</f>
        <v>268</v>
      </c>
    </row>
    <row r="55" spans="1:19" x14ac:dyDescent="0.25">
      <c r="A55" s="105" t="str">
        <f>'Data shares'!C50</f>
        <v>CHAMBLFERT</v>
      </c>
      <c r="B55" s="143">
        <f>VLOOKUP($A55,'Data shares'!$C:$FA,118)</f>
        <v>0.47</v>
      </c>
      <c r="C55" s="143">
        <f>VLOOKUP($A55,'Data shares'!$C:$FA,119)</f>
        <v>0.49</v>
      </c>
      <c r="D55" s="143">
        <f>VLOOKUP($A55,'Data shares'!$C:$FA,121)*100</f>
        <v>-4.08</v>
      </c>
      <c r="E55" s="143">
        <f>VLOOKUP($A55,'Data shares'!$C:$FA,124)</f>
        <v>0.27</v>
      </c>
      <c r="F55" s="143">
        <f>VLOOKUP($A55,'Data shares'!$C:$FA,125)</f>
        <v>0.38</v>
      </c>
      <c r="G55" s="143">
        <f>VLOOKUP($A55,'Data shares'!$C:$FA,127)*100</f>
        <v>-28.95</v>
      </c>
      <c r="H55" s="103">
        <f>VLOOKUP($A55,'OI(Volume)'!$A$7:$O$427,8)</f>
        <v>5975500</v>
      </c>
      <c r="I55" s="103">
        <f>VLOOKUP($A55,'OI(Volume)'!$A$7:$O$427,9)</f>
        <v>7600</v>
      </c>
      <c r="J55" s="103">
        <f>VLOOKUP($A55,'OI(Volume)'!$A$7:$O$427,11)</f>
        <v>2826250</v>
      </c>
      <c r="K55" s="103">
        <f>VLOOKUP($A55,'OI(Volume)'!$A$7:$O$427,12)</f>
        <v>-111150</v>
      </c>
      <c r="L55" s="103">
        <f>VLOOKUP($A55,'OI(Value)'!$A$7:$O$306,8,0)</f>
        <v>330</v>
      </c>
      <c r="M55" s="103">
        <f>VLOOKUP($A55,'OI(Value)'!$A$7:$O$306,9,0)</f>
        <v>0</v>
      </c>
      <c r="N55" s="103">
        <f>VLOOKUP($A55,'OI(Value)'!$A$7:$O$306,11,0)</f>
        <v>156</v>
      </c>
      <c r="O55" s="103">
        <f>VLOOKUP($A55,'OI(Value)'!$A$7:$O$306,12,0)</f>
        <v>-6</v>
      </c>
      <c r="P55" s="179">
        <f>VLOOKUP(A55,'OI(Value)'!A55:O256,8,0)</f>
        <v>330</v>
      </c>
      <c r="Q55" s="179">
        <f>VLOOKUP(A55,'OI(Value)'!A55:O256,9,0)</f>
        <v>0</v>
      </c>
      <c r="R55" s="179">
        <f>VLOOKUP(A55,'OI(Value)'!A55:O256,11,0)</f>
        <v>156</v>
      </c>
      <c r="S55" s="179">
        <f>VLOOKUP(A55,'OI(Value)'!A55:O256,11,0)</f>
        <v>156</v>
      </c>
    </row>
    <row r="56" spans="1:19" x14ac:dyDescent="0.25">
      <c r="A56" s="105" t="str">
        <f>'Data shares'!C51</f>
        <v>CHOLAFIN</v>
      </c>
      <c r="B56" s="143">
        <f>VLOOKUP($A56,'Data shares'!$C:$FA,118)</f>
        <v>0.76</v>
      </c>
      <c r="C56" s="143">
        <f>VLOOKUP($A56,'Data shares'!$C:$FA,119)</f>
        <v>0.76</v>
      </c>
      <c r="D56" s="143">
        <f>VLOOKUP($A56,'Data shares'!$C:$FA,121)*100</f>
        <v>0</v>
      </c>
      <c r="E56" s="143">
        <f>VLOOKUP($A56,'Data shares'!$C:$FA,124)</f>
        <v>0.5</v>
      </c>
      <c r="F56" s="143">
        <f>VLOOKUP($A56,'Data shares'!$C:$FA,125)</f>
        <v>0.53</v>
      </c>
      <c r="G56" s="143">
        <f>VLOOKUP($A56,'Data shares'!$C:$FA,127)*100</f>
        <v>-5.66</v>
      </c>
      <c r="H56" s="103">
        <f>VLOOKUP($A56,'OI(Volume)'!$A$7:$O$427,8)</f>
        <v>3949375</v>
      </c>
      <c r="I56" s="103">
        <f>VLOOKUP($A56,'OI(Volume)'!$A$7:$O$427,9)</f>
        <v>48125</v>
      </c>
      <c r="J56" s="103">
        <f>VLOOKUP($A56,'OI(Volume)'!$A$7:$O$427,11)</f>
        <v>3004375</v>
      </c>
      <c r="K56" s="103">
        <f>VLOOKUP($A56,'OI(Volume)'!$A$7:$O$427,12)</f>
        <v>35625</v>
      </c>
      <c r="L56" s="103">
        <f>VLOOKUP($A56,'OI(Value)'!$A$7:$O$306,8,0)</f>
        <v>618</v>
      </c>
      <c r="M56" s="103">
        <f>VLOOKUP($A56,'OI(Value)'!$A$7:$O$306,9,0)</f>
        <v>8</v>
      </c>
      <c r="N56" s="103">
        <f>VLOOKUP($A56,'OI(Value)'!$A$7:$O$306,11,0)</f>
        <v>470</v>
      </c>
      <c r="O56" s="103">
        <f>VLOOKUP($A56,'OI(Value)'!$A$7:$O$306,12,0)</f>
        <v>6</v>
      </c>
      <c r="P56" s="179">
        <f>VLOOKUP(A56,'OI(Value)'!A56:O257,8,0)</f>
        <v>618</v>
      </c>
      <c r="Q56" s="179">
        <f>VLOOKUP(A56,'OI(Value)'!A56:O257,9,0)</f>
        <v>8</v>
      </c>
      <c r="R56" s="179">
        <f>VLOOKUP(A56,'OI(Value)'!A56:O257,11,0)</f>
        <v>470</v>
      </c>
      <c r="S56" s="179">
        <f>VLOOKUP(A56,'OI(Value)'!A56:O257,11,0)</f>
        <v>470</v>
      </c>
    </row>
    <row r="57" spans="1:19" x14ac:dyDescent="0.25">
      <c r="A57" s="105" t="str">
        <f>'Data shares'!C52</f>
        <v>CIPLA</v>
      </c>
      <c r="B57" s="143">
        <f>VLOOKUP($A57,'Data shares'!$C:$FA,118)</f>
        <v>0.5</v>
      </c>
      <c r="C57" s="143">
        <f>VLOOKUP($A57,'Data shares'!$C:$FA,119)</f>
        <v>0.5</v>
      </c>
      <c r="D57" s="143">
        <f>VLOOKUP($A57,'Data shares'!$C:$FA,121)*100</f>
        <v>0</v>
      </c>
      <c r="E57" s="143">
        <f>VLOOKUP($A57,'Data shares'!$C:$FA,124)</f>
        <v>0.71</v>
      </c>
      <c r="F57" s="143">
        <f>VLOOKUP($A57,'Data shares'!$C:$FA,125)</f>
        <v>0.62</v>
      </c>
      <c r="G57" s="143">
        <f>VLOOKUP($A57,'Data shares'!$C:$FA,127)*100</f>
        <v>14.52</v>
      </c>
      <c r="H57" s="103">
        <f>VLOOKUP($A57,'OI(Volume)'!$A$7:$O$427,8)</f>
        <v>5564625</v>
      </c>
      <c r="I57" s="103">
        <f>VLOOKUP($A57,'OI(Volume)'!$A$7:$O$427,9)</f>
        <v>-28500</v>
      </c>
      <c r="J57" s="103">
        <f>VLOOKUP($A57,'OI(Volume)'!$A$7:$O$427,11)</f>
        <v>2806875</v>
      </c>
      <c r="K57" s="103">
        <f>VLOOKUP($A57,'OI(Volume)'!$A$7:$O$427,12)</f>
        <v>-6000</v>
      </c>
      <c r="L57" s="103">
        <f>VLOOKUP($A57,'OI(Value)'!$A$7:$O$306,8,0)</f>
        <v>815</v>
      </c>
      <c r="M57" s="103">
        <f>VLOOKUP($A57,'OI(Value)'!$A$7:$O$306,9,0)</f>
        <v>-4</v>
      </c>
      <c r="N57" s="103">
        <f>VLOOKUP($A57,'OI(Value)'!$A$7:$O$306,11,0)</f>
        <v>411</v>
      </c>
      <c r="O57" s="103">
        <f>VLOOKUP($A57,'OI(Value)'!$A$7:$O$306,12,0)</f>
        <v>-1</v>
      </c>
      <c r="P57" s="179">
        <f>VLOOKUP(A57,'OI(Value)'!A57:O258,8,0)</f>
        <v>815</v>
      </c>
      <c r="Q57" s="179">
        <f>VLOOKUP(A57,'OI(Value)'!A57:O258,9,0)</f>
        <v>-4</v>
      </c>
      <c r="R57" s="179">
        <f>VLOOKUP(A57,'OI(Value)'!A57:O258,11,0)</f>
        <v>411</v>
      </c>
      <c r="S57" s="179">
        <f>VLOOKUP(A57,'OI(Value)'!A57:O258,11,0)</f>
        <v>411</v>
      </c>
    </row>
    <row r="58" spans="1:19" x14ac:dyDescent="0.25">
      <c r="A58" s="105" t="str">
        <f>'Data shares'!C53</f>
        <v>COALINDIA</v>
      </c>
      <c r="B58" s="143">
        <f>VLOOKUP($A58,'Data shares'!$C:$FA,118)</f>
        <v>0.75</v>
      </c>
      <c r="C58" s="143">
        <f>VLOOKUP($A58,'Data shares'!$C:$FA,119)</f>
        <v>0.72</v>
      </c>
      <c r="D58" s="143">
        <f>VLOOKUP($A58,'Data shares'!$C:$FA,121)*100</f>
        <v>4.17</v>
      </c>
      <c r="E58" s="143">
        <f>VLOOKUP($A58,'Data shares'!$C:$FA,124)</f>
        <v>0.53</v>
      </c>
      <c r="F58" s="143">
        <f>VLOOKUP($A58,'Data shares'!$C:$FA,125)</f>
        <v>0.64</v>
      </c>
      <c r="G58" s="143">
        <f>VLOOKUP($A58,'Data shares'!$C:$FA,127)*100</f>
        <v>-17.190000000000001</v>
      </c>
      <c r="H58" s="103">
        <f>VLOOKUP($A58,'OI(Volume)'!$A$7:$O$427,8)</f>
        <v>38699100</v>
      </c>
      <c r="I58" s="103">
        <f>VLOOKUP($A58,'OI(Volume)'!$A$7:$O$427,9)</f>
        <v>-2025000</v>
      </c>
      <c r="J58" s="103">
        <f>VLOOKUP($A58,'OI(Volume)'!$A$7:$O$427,11)</f>
        <v>29107350</v>
      </c>
      <c r="K58" s="103">
        <f>VLOOKUP($A58,'OI(Volume)'!$A$7:$O$427,12)</f>
        <v>-21600</v>
      </c>
      <c r="L58" s="103">
        <f>VLOOKUP($A58,'OI(Value)'!$A$7:$O$306,8,0)</f>
        <v>1510</v>
      </c>
      <c r="M58" s="103">
        <f>VLOOKUP($A58,'OI(Value)'!$A$7:$O$306,9,0)</f>
        <v>-79</v>
      </c>
      <c r="N58" s="103">
        <f>VLOOKUP($A58,'OI(Value)'!$A$7:$O$306,11,0)</f>
        <v>1135</v>
      </c>
      <c r="O58" s="103">
        <f>VLOOKUP($A58,'OI(Value)'!$A$7:$O$306,12,0)</f>
        <v>-1</v>
      </c>
      <c r="P58" s="179">
        <f>VLOOKUP(A58,'OI(Value)'!A58:O259,8,0)</f>
        <v>1510</v>
      </c>
      <c r="Q58" s="179">
        <f>VLOOKUP(A58,'OI(Value)'!A58:O259,9,0)</f>
        <v>-79</v>
      </c>
      <c r="R58" s="179">
        <f>VLOOKUP(A58,'OI(Value)'!A58:O259,11,0)</f>
        <v>1135</v>
      </c>
      <c r="S58" s="179">
        <f>VLOOKUP(A58,'OI(Value)'!A58:O259,11,0)</f>
        <v>1135</v>
      </c>
    </row>
    <row r="59" spans="1:19" x14ac:dyDescent="0.25">
      <c r="A59" s="105" t="str">
        <f>'Data shares'!C54</f>
        <v>COFORGE</v>
      </c>
      <c r="B59" s="143">
        <f>VLOOKUP($A59,'Data shares'!$C:$FA,118)</f>
        <v>0.5</v>
      </c>
      <c r="C59" s="143">
        <f>VLOOKUP($A59,'Data shares'!$C:$FA,119)</f>
        <v>0.51</v>
      </c>
      <c r="D59" s="143">
        <f>VLOOKUP($A59,'Data shares'!$C:$FA,121)*100</f>
        <v>-1.96</v>
      </c>
      <c r="E59" s="143">
        <f>VLOOKUP($A59,'Data shares'!$C:$FA,124)</f>
        <v>0.36</v>
      </c>
      <c r="F59" s="143">
        <f>VLOOKUP($A59,'Data shares'!$C:$FA,125)</f>
        <v>0.38</v>
      </c>
      <c r="G59" s="143">
        <f>VLOOKUP($A59,'Data shares'!$C:$FA,127)*100</f>
        <v>-5.26</v>
      </c>
      <c r="H59" s="103">
        <f>VLOOKUP($A59,'OI(Volume)'!$A$7:$O$427,8)</f>
        <v>6077250</v>
      </c>
      <c r="I59" s="103">
        <f>VLOOKUP($A59,'OI(Volume)'!$A$7:$O$427,9)</f>
        <v>371625</v>
      </c>
      <c r="J59" s="103">
        <f>VLOOKUP($A59,'OI(Volume)'!$A$7:$O$427,11)</f>
        <v>3014250</v>
      </c>
      <c r="K59" s="103">
        <f>VLOOKUP($A59,'OI(Volume)'!$A$7:$O$427,12)</f>
        <v>82125</v>
      </c>
      <c r="L59" s="103">
        <f>VLOOKUP($A59,'OI(Value)'!$A$7:$O$306,8,0)</f>
        <v>1130</v>
      </c>
      <c r="M59" s="103">
        <f>VLOOKUP($A59,'OI(Value)'!$A$7:$O$306,9,0)</f>
        <v>69</v>
      </c>
      <c r="N59" s="103">
        <f>VLOOKUP($A59,'OI(Value)'!$A$7:$O$306,11,0)</f>
        <v>560</v>
      </c>
      <c r="O59" s="103">
        <f>VLOOKUP($A59,'OI(Value)'!$A$7:$O$306,12,0)</f>
        <v>15</v>
      </c>
      <c r="P59" s="179">
        <f>VLOOKUP(A59,'OI(Value)'!A59:O260,8,0)</f>
        <v>1130</v>
      </c>
      <c r="Q59" s="179">
        <f>VLOOKUP(A59,'OI(Value)'!A59:O260,9,0)</f>
        <v>69</v>
      </c>
      <c r="R59" s="179">
        <f>VLOOKUP(A59,'OI(Value)'!A59:O260,11,0)</f>
        <v>560</v>
      </c>
      <c r="S59" s="179">
        <f>VLOOKUP(A59,'OI(Value)'!A59:O260,11,0)</f>
        <v>560</v>
      </c>
    </row>
    <row r="60" spans="1:19" x14ac:dyDescent="0.25">
      <c r="A60" s="105" t="str">
        <f>'Data shares'!C55</f>
        <v>COLPAL</v>
      </c>
      <c r="B60" s="143">
        <f>VLOOKUP($A60,'Data shares'!$C:$FA,118)</f>
        <v>0.84</v>
      </c>
      <c r="C60" s="143">
        <f>VLOOKUP($A60,'Data shares'!$C:$FA,119)</f>
        <v>1.04</v>
      </c>
      <c r="D60" s="143">
        <f>VLOOKUP($A60,'Data shares'!$C:$FA,121)*100</f>
        <v>-19.23</v>
      </c>
      <c r="E60" s="143">
        <f>VLOOKUP($A60,'Data shares'!$C:$FA,124)</f>
        <v>0.64</v>
      </c>
      <c r="F60" s="143">
        <f>VLOOKUP($A60,'Data shares'!$C:$FA,125)</f>
        <v>0.53</v>
      </c>
      <c r="G60" s="143">
        <f>VLOOKUP($A60,'Data shares'!$C:$FA,127)*100</f>
        <v>20.75</v>
      </c>
      <c r="H60" s="103">
        <f>VLOOKUP($A60,'OI(Volume)'!$A$7:$O$427,8)</f>
        <v>1916550</v>
      </c>
      <c r="I60" s="103">
        <f>VLOOKUP($A60,'OI(Volume)'!$A$7:$O$427,9)</f>
        <v>394875</v>
      </c>
      <c r="J60" s="103">
        <f>VLOOKUP($A60,'OI(Volume)'!$A$7:$O$427,11)</f>
        <v>1602225</v>
      </c>
      <c r="K60" s="103">
        <f>VLOOKUP($A60,'OI(Volume)'!$A$7:$O$427,12)</f>
        <v>24525</v>
      </c>
      <c r="L60" s="103">
        <f>VLOOKUP($A60,'OI(Value)'!$A$7:$O$306,8,0)</f>
        <v>455</v>
      </c>
      <c r="M60" s="103">
        <f>VLOOKUP($A60,'OI(Value)'!$A$7:$O$306,9,0)</f>
        <v>94</v>
      </c>
      <c r="N60" s="103">
        <f>VLOOKUP($A60,'OI(Value)'!$A$7:$O$306,11,0)</f>
        <v>381</v>
      </c>
      <c r="O60" s="103">
        <f>VLOOKUP($A60,'OI(Value)'!$A$7:$O$306,12,0)</f>
        <v>6</v>
      </c>
      <c r="P60" s="179">
        <f>VLOOKUP(A60,'OI(Value)'!A60:O261,8,0)</f>
        <v>455</v>
      </c>
      <c r="Q60" s="179">
        <f>VLOOKUP(A60,'OI(Value)'!A60:O261,9,0)</f>
        <v>94</v>
      </c>
      <c r="R60" s="179">
        <f>VLOOKUP(A60,'OI(Value)'!A60:O261,11,0)</f>
        <v>381</v>
      </c>
      <c r="S60" s="179">
        <f>VLOOKUP(A60,'OI(Value)'!A60:O261,11,0)</f>
        <v>381</v>
      </c>
    </row>
    <row r="61" spans="1:19" x14ac:dyDescent="0.25">
      <c r="A61" s="105" t="str">
        <f>'Data shares'!C56</f>
        <v>CONCOR</v>
      </c>
      <c r="B61" s="143">
        <f>VLOOKUP($A61,'Data shares'!$C:$FA,118)</f>
        <v>0.59</v>
      </c>
      <c r="C61" s="143">
        <f>VLOOKUP($A61,'Data shares'!$C:$FA,119)</f>
        <v>0.59</v>
      </c>
      <c r="D61" s="143">
        <f>VLOOKUP($A61,'Data shares'!$C:$FA,121)*100</f>
        <v>0</v>
      </c>
      <c r="E61" s="143">
        <f>VLOOKUP($A61,'Data shares'!$C:$FA,124)</f>
        <v>0.38</v>
      </c>
      <c r="F61" s="143">
        <f>VLOOKUP($A61,'Data shares'!$C:$FA,125)</f>
        <v>0.4</v>
      </c>
      <c r="G61" s="143">
        <f>VLOOKUP($A61,'Data shares'!$C:$FA,127)*100</f>
        <v>-5</v>
      </c>
      <c r="H61" s="103">
        <f>VLOOKUP($A61,'OI(Volume)'!$A$7:$O$427,8)</f>
        <v>8240000</v>
      </c>
      <c r="I61" s="103">
        <f>VLOOKUP($A61,'OI(Volume)'!$A$7:$O$427,9)</f>
        <v>-6250</v>
      </c>
      <c r="J61" s="103">
        <f>VLOOKUP($A61,'OI(Volume)'!$A$7:$O$427,11)</f>
        <v>4842500</v>
      </c>
      <c r="K61" s="103">
        <f>VLOOKUP($A61,'OI(Volume)'!$A$7:$O$427,12)</f>
        <v>-3750</v>
      </c>
      <c r="L61" s="103">
        <f>VLOOKUP($A61,'OI(Value)'!$A$7:$O$306,8,0)</f>
        <v>501</v>
      </c>
      <c r="M61" s="103">
        <f>VLOOKUP($A61,'OI(Value)'!$A$7:$O$306,9,0)</f>
        <v>0</v>
      </c>
      <c r="N61" s="103">
        <f>VLOOKUP($A61,'OI(Value)'!$A$7:$O$306,11,0)</f>
        <v>294</v>
      </c>
      <c r="O61" s="103">
        <f>VLOOKUP($A61,'OI(Value)'!$A$7:$O$306,12,0)</f>
        <v>0</v>
      </c>
      <c r="P61" s="179">
        <f>VLOOKUP(A61,'OI(Value)'!A61:O262,8,0)</f>
        <v>501</v>
      </c>
      <c r="Q61" s="179">
        <f>VLOOKUP(A61,'OI(Value)'!A61:O262,9,0)</f>
        <v>0</v>
      </c>
      <c r="R61" s="179">
        <f>VLOOKUP(A61,'OI(Value)'!A61:O262,11,0)</f>
        <v>294</v>
      </c>
      <c r="S61" s="179">
        <f>VLOOKUP(A61,'OI(Value)'!A61:O262,11,0)</f>
        <v>294</v>
      </c>
    </row>
    <row r="62" spans="1:19" x14ac:dyDescent="0.25">
      <c r="A62" s="105" t="str">
        <f>'Data shares'!C57</f>
        <v>CROMPTON</v>
      </c>
      <c r="B62" s="143">
        <f>VLOOKUP($A62,'Data shares'!$C:$FA,118)</f>
        <v>0.63</v>
      </c>
      <c r="C62" s="143">
        <f>VLOOKUP($A62,'Data shares'!$C:$FA,119)</f>
        <v>0.61</v>
      </c>
      <c r="D62" s="143">
        <f>VLOOKUP($A62,'Data shares'!$C:$FA,121)*100</f>
        <v>3.2800000000000002</v>
      </c>
      <c r="E62" s="143">
        <f>VLOOKUP($A62,'Data shares'!$C:$FA,124)</f>
        <v>0.47</v>
      </c>
      <c r="F62" s="143">
        <f>VLOOKUP($A62,'Data shares'!$C:$FA,125)</f>
        <v>0.43</v>
      </c>
      <c r="G62" s="143">
        <f>VLOOKUP($A62,'Data shares'!$C:$FA,127)*100</f>
        <v>9.3000000000000007</v>
      </c>
      <c r="H62" s="103">
        <f>VLOOKUP($A62,'OI(Volume)'!$A$7:$O$427,8)</f>
        <v>7534800</v>
      </c>
      <c r="I62" s="103">
        <f>VLOOKUP($A62,'OI(Volume)'!$A$7:$O$427,9)</f>
        <v>262800</v>
      </c>
      <c r="J62" s="103">
        <f>VLOOKUP($A62,'OI(Volume)'!$A$7:$O$427,11)</f>
        <v>4719600</v>
      </c>
      <c r="K62" s="103">
        <f>VLOOKUP($A62,'OI(Volume)'!$A$7:$O$427,12)</f>
        <v>284400</v>
      </c>
      <c r="L62" s="103">
        <f>VLOOKUP($A62,'OI(Value)'!$A$7:$O$306,8,0)</f>
        <v>252</v>
      </c>
      <c r="M62" s="103">
        <f>VLOOKUP($A62,'OI(Value)'!$A$7:$O$306,9,0)</f>
        <v>9</v>
      </c>
      <c r="N62" s="103">
        <f>VLOOKUP($A62,'OI(Value)'!$A$7:$O$306,11,0)</f>
        <v>158</v>
      </c>
      <c r="O62" s="103">
        <f>VLOOKUP($A62,'OI(Value)'!$A$7:$O$306,12,0)</f>
        <v>10</v>
      </c>
      <c r="P62" s="179">
        <f>VLOOKUP(A62,'OI(Value)'!A62:O263,8,0)</f>
        <v>252</v>
      </c>
      <c r="Q62" s="179">
        <f>VLOOKUP(A62,'OI(Value)'!A62:O263,9,0)</f>
        <v>9</v>
      </c>
      <c r="R62" s="179">
        <f>VLOOKUP(A62,'OI(Value)'!A62:O263,11,0)</f>
        <v>158</v>
      </c>
      <c r="S62" s="179">
        <f>VLOOKUP(A62,'OI(Value)'!A62:O263,11,0)</f>
        <v>158</v>
      </c>
    </row>
    <row r="63" spans="1:19" x14ac:dyDescent="0.25">
      <c r="A63" s="105" t="str">
        <f>'Data shares'!C58</f>
        <v>CUMMINSIND</v>
      </c>
      <c r="B63" s="143">
        <f>VLOOKUP($A63,'Data shares'!$C:$FA,118)</f>
        <v>0.91</v>
      </c>
      <c r="C63" s="143">
        <f>VLOOKUP($A63,'Data shares'!$C:$FA,119)</f>
        <v>0.87</v>
      </c>
      <c r="D63" s="143">
        <f>VLOOKUP($A63,'Data shares'!$C:$FA,121)*100</f>
        <v>4.5999999999999996</v>
      </c>
      <c r="E63" s="143">
        <f>VLOOKUP($A63,'Data shares'!$C:$FA,124)</f>
        <v>0.56999999999999995</v>
      </c>
      <c r="F63" s="143">
        <f>VLOOKUP($A63,'Data shares'!$C:$FA,125)</f>
        <v>0.34</v>
      </c>
      <c r="G63" s="143">
        <f>VLOOKUP($A63,'Data shares'!$C:$FA,127)*100</f>
        <v>67.650000000000006</v>
      </c>
      <c r="H63" s="103">
        <f>VLOOKUP($A63,'OI(Volume)'!$A$7:$O$427,8)</f>
        <v>756000</v>
      </c>
      <c r="I63" s="103">
        <f>VLOOKUP($A63,'OI(Volume)'!$A$7:$O$427,9)</f>
        <v>-62200</v>
      </c>
      <c r="J63" s="103">
        <f>VLOOKUP($A63,'OI(Volume)'!$A$7:$O$427,11)</f>
        <v>689200</v>
      </c>
      <c r="K63" s="103">
        <f>VLOOKUP($A63,'OI(Volume)'!$A$7:$O$427,12)</f>
        <v>-20600</v>
      </c>
      <c r="L63" s="103">
        <f>VLOOKUP($A63,'OI(Value)'!$A$7:$O$306,8,0)</f>
        <v>271</v>
      </c>
      <c r="M63" s="103">
        <f>VLOOKUP($A63,'OI(Value)'!$A$7:$O$306,9,0)</f>
        <v>-22</v>
      </c>
      <c r="N63" s="103">
        <f>VLOOKUP($A63,'OI(Value)'!$A$7:$O$306,11,0)</f>
        <v>247</v>
      </c>
      <c r="O63" s="103">
        <f>VLOOKUP($A63,'OI(Value)'!$A$7:$O$306,12,0)</f>
        <v>-7</v>
      </c>
      <c r="P63" s="179">
        <f>VLOOKUP(A63,'OI(Value)'!A63:O264,8,0)</f>
        <v>271</v>
      </c>
      <c r="Q63" s="179">
        <f>VLOOKUP(A63,'OI(Value)'!A63:O264,9,0)</f>
        <v>-22</v>
      </c>
      <c r="R63" s="179">
        <f>VLOOKUP(A63,'OI(Value)'!A63:O264,11,0)</f>
        <v>247</v>
      </c>
      <c r="S63" s="179">
        <f>VLOOKUP(A63,'OI(Value)'!A63:O264,11,0)</f>
        <v>247</v>
      </c>
    </row>
    <row r="64" spans="1:19" x14ac:dyDescent="0.25">
      <c r="A64" s="105" t="str">
        <f>'Data shares'!C59</f>
        <v>CYIENT</v>
      </c>
      <c r="B64" s="143">
        <f>VLOOKUP($A64,'Data shares'!$C:$FA,118)</f>
        <v>0.75</v>
      </c>
      <c r="C64" s="143">
        <f>VLOOKUP($A64,'Data shares'!$C:$FA,119)</f>
        <v>0.72</v>
      </c>
      <c r="D64" s="143">
        <f>VLOOKUP($A64,'Data shares'!$C:$FA,121)*100</f>
        <v>4.17</v>
      </c>
      <c r="E64" s="143">
        <f>VLOOKUP($A64,'Data shares'!$C:$FA,124)</f>
        <v>0.64</v>
      </c>
      <c r="F64" s="143">
        <f>VLOOKUP($A64,'Data shares'!$C:$FA,125)</f>
        <v>0.5</v>
      </c>
      <c r="G64" s="143">
        <f>VLOOKUP($A64,'Data shares'!$C:$FA,127)*100</f>
        <v>28.000000000000004</v>
      </c>
      <c r="H64" s="103">
        <f>VLOOKUP($A64,'OI(Volume)'!$A$7:$O$427,8)</f>
        <v>1510025</v>
      </c>
      <c r="I64" s="103">
        <f>VLOOKUP($A64,'OI(Volume)'!$A$7:$O$427,9)</f>
        <v>2125</v>
      </c>
      <c r="J64" s="103">
        <f>VLOOKUP($A64,'OI(Volume)'!$A$7:$O$427,11)</f>
        <v>1126675</v>
      </c>
      <c r="K64" s="103">
        <f>VLOOKUP($A64,'OI(Volume)'!$A$7:$O$427,12)</f>
        <v>48450</v>
      </c>
      <c r="L64" s="103">
        <f>VLOOKUP($A64,'OI(Value)'!$A$7:$O$306,8,0)</f>
        <v>192</v>
      </c>
      <c r="M64" s="103">
        <f>VLOOKUP($A64,'OI(Value)'!$A$7:$O$306,9,0)</f>
        <v>0</v>
      </c>
      <c r="N64" s="103">
        <f>VLOOKUP($A64,'OI(Value)'!$A$7:$O$306,11,0)</f>
        <v>144</v>
      </c>
      <c r="O64" s="103">
        <f>VLOOKUP($A64,'OI(Value)'!$A$7:$O$306,12,0)</f>
        <v>6</v>
      </c>
      <c r="P64" s="179">
        <f>VLOOKUP(A64,'OI(Value)'!A64:O265,8,0)</f>
        <v>192</v>
      </c>
      <c r="Q64" s="179">
        <f>VLOOKUP(A64,'OI(Value)'!A64:O265,9,0)</f>
        <v>0</v>
      </c>
      <c r="R64" s="179">
        <f>VLOOKUP(A64,'OI(Value)'!A64:O265,11,0)</f>
        <v>144</v>
      </c>
      <c r="S64" s="179">
        <f>VLOOKUP(A64,'OI(Value)'!A64:O265,11,0)</f>
        <v>144</v>
      </c>
    </row>
    <row r="65" spans="1:19" x14ac:dyDescent="0.25">
      <c r="A65" s="105" t="str">
        <f>'Data shares'!C60</f>
        <v>DABUR</v>
      </c>
      <c r="B65" s="143">
        <f>VLOOKUP($A65,'Data shares'!$C:$FA,118)</f>
        <v>1.05</v>
      </c>
      <c r="C65" s="143">
        <f>VLOOKUP($A65,'Data shares'!$C:$FA,119)</f>
        <v>1.03</v>
      </c>
      <c r="D65" s="143">
        <f>VLOOKUP($A65,'Data shares'!$C:$FA,121)*100</f>
        <v>1.94</v>
      </c>
      <c r="E65" s="143">
        <f>VLOOKUP($A65,'Data shares'!$C:$FA,124)</f>
        <v>0.43</v>
      </c>
      <c r="F65" s="143">
        <f>VLOOKUP($A65,'Data shares'!$C:$FA,125)</f>
        <v>0.78</v>
      </c>
      <c r="G65" s="143">
        <f>VLOOKUP($A65,'Data shares'!$C:$FA,127)*100</f>
        <v>-44.87</v>
      </c>
      <c r="H65" s="103">
        <f>VLOOKUP($A65,'OI(Volume)'!$A$7:$O$427,8)</f>
        <v>12503750</v>
      </c>
      <c r="I65" s="103">
        <f>VLOOKUP($A65,'OI(Volume)'!$A$7:$O$427,9)</f>
        <v>-438750</v>
      </c>
      <c r="J65" s="103">
        <f>VLOOKUP($A65,'OI(Volume)'!$A$7:$O$427,11)</f>
        <v>13093750</v>
      </c>
      <c r="K65" s="103">
        <f>VLOOKUP($A65,'OI(Volume)'!$A$7:$O$427,12)</f>
        <v>-173750</v>
      </c>
      <c r="L65" s="103">
        <f>VLOOKUP($A65,'OI(Value)'!$A$7:$O$306,8,0)</f>
        <v>644</v>
      </c>
      <c r="M65" s="103">
        <f>VLOOKUP($A65,'OI(Value)'!$A$7:$O$306,9,0)</f>
        <v>-23</v>
      </c>
      <c r="N65" s="103">
        <f>VLOOKUP($A65,'OI(Value)'!$A$7:$O$306,11,0)</f>
        <v>675</v>
      </c>
      <c r="O65" s="103">
        <f>VLOOKUP($A65,'OI(Value)'!$A$7:$O$306,12,0)</f>
        <v>-9</v>
      </c>
      <c r="P65" s="179">
        <f>VLOOKUP(A65,'OI(Value)'!A65:O266,8,0)</f>
        <v>644</v>
      </c>
      <c r="Q65" s="179">
        <f>VLOOKUP(A65,'OI(Value)'!A65:O266,9,0)</f>
        <v>-23</v>
      </c>
      <c r="R65" s="179">
        <f>VLOOKUP(A65,'OI(Value)'!A65:O266,11,0)</f>
        <v>675</v>
      </c>
      <c r="S65" s="179">
        <f>VLOOKUP(A65,'OI(Value)'!A65:O266,11,0)</f>
        <v>675</v>
      </c>
    </row>
    <row r="66" spans="1:19" x14ac:dyDescent="0.25">
      <c r="A66" s="105" t="str">
        <f>'Data shares'!C61</f>
        <v>DALBHARAT</v>
      </c>
      <c r="B66" s="143">
        <f>VLOOKUP($A66,'Data shares'!$C:$FA,118)</f>
        <v>0.57999999999999996</v>
      </c>
      <c r="C66" s="143">
        <f>VLOOKUP($A66,'Data shares'!$C:$FA,119)</f>
        <v>0.47</v>
      </c>
      <c r="D66" s="143">
        <f>VLOOKUP($A66,'Data shares'!$C:$FA,121)*100</f>
        <v>23.400000000000002</v>
      </c>
      <c r="E66" s="143">
        <f>VLOOKUP($A66,'Data shares'!$C:$FA,124)</f>
        <v>0.4</v>
      </c>
      <c r="F66" s="143">
        <f>VLOOKUP($A66,'Data shares'!$C:$FA,125)</f>
        <v>0.23</v>
      </c>
      <c r="G66" s="143">
        <f>VLOOKUP($A66,'Data shares'!$C:$FA,127)*100</f>
        <v>73.91</v>
      </c>
      <c r="H66" s="103">
        <f>VLOOKUP($A66,'OI(Volume)'!$A$7:$O$427,8)</f>
        <v>1214850</v>
      </c>
      <c r="I66" s="103">
        <f>VLOOKUP($A66,'OI(Volume)'!$A$7:$O$427,9)</f>
        <v>269750</v>
      </c>
      <c r="J66" s="103">
        <f>VLOOKUP($A66,'OI(Volume)'!$A$7:$O$427,11)</f>
        <v>704600</v>
      </c>
      <c r="K66" s="103">
        <f>VLOOKUP($A66,'OI(Volume)'!$A$7:$O$427,12)</f>
        <v>258375</v>
      </c>
      <c r="L66" s="103">
        <f>VLOOKUP($A66,'OI(Value)'!$A$7:$O$306,8,0)</f>
        <v>282</v>
      </c>
      <c r="M66" s="103">
        <f>VLOOKUP($A66,'OI(Value)'!$A$7:$O$306,9,0)</f>
        <v>63</v>
      </c>
      <c r="N66" s="103">
        <f>VLOOKUP($A66,'OI(Value)'!$A$7:$O$306,11,0)</f>
        <v>164</v>
      </c>
      <c r="O66" s="103">
        <f>VLOOKUP($A66,'OI(Value)'!$A$7:$O$306,12,0)</f>
        <v>60</v>
      </c>
      <c r="P66" s="179">
        <f>VLOOKUP(A66,'OI(Value)'!A66:O267,8,0)</f>
        <v>282</v>
      </c>
      <c r="Q66" s="179">
        <f>VLOOKUP(A66,'OI(Value)'!A66:O267,9,0)</f>
        <v>63</v>
      </c>
      <c r="R66" s="179">
        <f>VLOOKUP(A66,'OI(Value)'!A66:O267,11,0)</f>
        <v>164</v>
      </c>
      <c r="S66" s="179">
        <f>VLOOKUP(A66,'OI(Value)'!A66:O267,11,0)</f>
        <v>164</v>
      </c>
    </row>
    <row r="67" spans="1:19" x14ac:dyDescent="0.25">
      <c r="A67" s="105" t="str">
        <f>'Data shares'!C62</f>
        <v>DELHIVERY</v>
      </c>
      <c r="B67" s="143">
        <f>VLOOKUP($A67,'Data shares'!$C:$FA,118)</f>
        <v>0.82</v>
      </c>
      <c r="C67" s="143">
        <f>VLOOKUP($A67,'Data shares'!$C:$FA,119)</f>
        <v>0.72</v>
      </c>
      <c r="D67" s="143">
        <f>VLOOKUP($A67,'Data shares'!$C:$FA,121)*100</f>
        <v>13.889999999999999</v>
      </c>
      <c r="E67" s="143">
        <f>VLOOKUP($A67,'Data shares'!$C:$FA,124)</f>
        <v>0.51</v>
      </c>
      <c r="F67" s="143">
        <f>VLOOKUP($A67,'Data shares'!$C:$FA,125)</f>
        <v>0.41</v>
      </c>
      <c r="G67" s="143">
        <f>VLOOKUP($A67,'Data shares'!$C:$FA,127)*100</f>
        <v>24.39</v>
      </c>
      <c r="H67" s="103">
        <f>VLOOKUP($A67,'OI(Volume)'!$A$7:$O$427,8)</f>
        <v>6828825</v>
      </c>
      <c r="I67" s="103">
        <f>VLOOKUP($A67,'OI(Volume)'!$A$7:$O$427,9)</f>
        <v>-346525</v>
      </c>
      <c r="J67" s="103">
        <f>VLOOKUP($A67,'OI(Volume)'!$A$7:$O$427,11)</f>
        <v>5627400</v>
      </c>
      <c r="K67" s="103">
        <f>VLOOKUP($A67,'OI(Volume)'!$A$7:$O$427,12)</f>
        <v>439900</v>
      </c>
      <c r="L67" s="103">
        <f>VLOOKUP($A67,'OI(Value)'!$A$7:$O$306,8,0)</f>
        <v>297</v>
      </c>
      <c r="M67" s="103">
        <f>VLOOKUP($A67,'OI(Value)'!$A$7:$O$306,9,0)</f>
        <v>-15</v>
      </c>
      <c r="N67" s="103">
        <f>VLOOKUP($A67,'OI(Value)'!$A$7:$O$306,11,0)</f>
        <v>245</v>
      </c>
      <c r="O67" s="103">
        <f>VLOOKUP($A67,'OI(Value)'!$A$7:$O$306,12,0)</f>
        <v>19</v>
      </c>
      <c r="P67" s="179">
        <f>VLOOKUP(A67,'OI(Value)'!A67:O268,8,0)</f>
        <v>297</v>
      </c>
      <c r="Q67" s="179">
        <f>VLOOKUP(A67,'OI(Value)'!A67:O268,9,0)</f>
        <v>-15</v>
      </c>
      <c r="R67" s="179">
        <f>VLOOKUP(A67,'OI(Value)'!A67:O268,11,0)</f>
        <v>245</v>
      </c>
      <c r="S67" s="179">
        <f>VLOOKUP(A67,'OI(Value)'!A67:O268,11,0)</f>
        <v>245</v>
      </c>
    </row>
    <row r="68" spans="1:19" x14ac:dyDescent="0.25">
      <c r="A68" s="105" t="str">
        <f>'Data shares'!C63</f>
        <v>DIVISLAB</v>
      </c>
      <c r="B68" s="143">
        <f>VLOOKUP($A68,'Data shares'!$C:$FA,118)</f>
        <v>0.54</v>
      </c>
      <c r="C68" s="143">
        <f>VLOOKUP($A68,'Data shares'!$C:$FA,119)</f>
        <v>0.56000000000000005</v>
      </c>
      <c r="D68" s="143">
        <f>VLOOKUP($A68,'Data shares'!$C:$FA,121)*100</f>
        <v>-3.5700000000000003</v>
      </c>
      <c r="E68" s="143">
        <f>VLOOKUP($A68,'Data shares'!$C:$FA,124)</f>
        <v>0.48</v>
      </c>
      <c r="F68" s="143">
        <f>VLOOKUP($A68,'Data shares'!$C:$FA,125)</f>
        <v>0.51</v>
      </c>
      <c r="G68" s="143">
        <f>VLOOKUP($A68,'Data shares'!$C:$FA,127)*100</f>
        <v>-5.88</v>
      </c>
      <c r="H68" s="103">
        <f>VLOOKUP($A68,'OI(Volume)'!$A$7:$O$427,8)</f>
        <v>1255400</v>
      </c>
      <c r="I68" s="103">
        <f>VLOOKUP($A68,'OI(Volume)'!$A$7:$O$427,9)</f>
        <v>7800</v>
      </c>
      <c r="J68" s="103">
        <f>VLOOKUP($A68,'OI(Volume)'!$A$7:$O$427,11)</f>
        <v>683100</v>
      </c>
      <c r="K68" s="103">
        <f>VLOOKUP($A68,'OI(Volume)'!$A$7:$O$427,12)</f>
        <v>-12100</v>
      </c>
      <c r="L68" s="103">
        <f>VLOOKUP($A68,'OI(Value)'!$A$7:$O$306,8,0)</f>
        <v>829</v>
      </c>
      <c r="M68" s="103">
        <f>VLOOKUP($A68,'OI(Value)'!$A$7:$O$306,9,0)</f>
        <v>5</v>
      </c>
      <c r="N68" s="103">
        <f>VLOOKUP($A68,'OI(Value)'!$A$7:$O$306,11,0)</f>
        <v>451</v>
      </c>
      <c r="O68" s="103">
        <f>VLOOKUP($A68,'OI(Value)'!$A$7:$O$306,12,0)</f>
        <v>-8</v>
      </c>
      <c r="P68" s="179">
        <f>VLOOKUP(A68,'OI(Value)'!A68:O269,8,0)</f>
        <v>829</v>
      </c>
      <c r="Q68" s="179">
        <f>VLOOKUP(A68,'OI(Value)'!A68:O269,9,0)</f>
        <v>5</v>
      </c>
      <c r="R68" s="179">
        <f>VLOOKUP(A68,'OI(Value)'!A68:O269,11,0)</f>
        <v>451</v>
      </c>
      <c r="S68" s="179">
        <f>VLOOKUP(A68,'OI(Value)'!A68:O269,11,0)</f>
        <v>451</v>
      </c>
    </row>
    <row r="69" spans="1:19" x14ac:dyDescent="0.25">
      <c r="A69" s="105" t="str">
        <f>'Data shares'!C64</f>
        <v>DIXON</v>
      </c>
      <c r="B69" s="143">
        <f>VLOOKUP($A69,'Data shares'!$C:$FA,118)</f>
        <v>0.8</v>
      </c>
      <c r="C69" s="143">
        <f>VLOOKUP($A69,'Data shares'!$C:$FA,119)</f>
        <v>0.88</v>
      </c>
      <c r="D69" s="143">
        <f>VLOOKUP($A69,'Data shares'!$C:$FA,121)*100</f>
        <v>-9.09</v>
      </c>
      <c r="E69" s="143">
        <f>VLOOKUP($A69,'Data shares'!$C:$FA,124)</f>
        <v>0.68</v>
      </c>
      <c r="F69" s="143">
        <f>VLOOKUP($A69,'Data shares'!$C:$FA,125)</f>
        <v>0.5</v>
      </c>
      <c r="G69" s="143">
        <f>VLOOKUP($A69,'Data shares'!$C:$FA,127)*100</f>
        <v>36</v>
      </c>
      <c r="H69" s="103">
        <f>VLOOKUP($A69,'OI(Volume)'!$A$7:$O$427,8)</f>
        <v>1381050</v>
      </c>
      <c r="I69" s="103">
        <f>VLOOKUP($A69,'OI(Volume)'!$A$7:$O$427,9)</f>
        <v>302900</v>
      </c>
      <c r="J69" s="103">
        <f>VLOOKUP($A69,'OI(Volume)'!$A$7:$O$427,11)</f>
        <v>1106950</v>
      </c>
      <c r="K69" s="103">
        <f>VLOOKUP($A69,'OI(Volume)'!$A$7:$O$427,12)</f>
        <v>156100</v>
      </c>
      <c r="L69" s="103">
        <f>VLOOKUP($A69,'OI(Value)'!$A$7:$O$306,8,0)</f>
        <v>2228</v>
      </c>
      <c r="M69" s="103">
        <f>VLOOKUP($A69,'OI(Value)'!$A$7:$O$306,9,0)</f>
        <v>489</v>
      </c>
      <c r="N69" s="103">
        <f>VLOOKUP($A69,'OI(Value)'!$A$7:$O$306,11,0)</f>
        <v>1786</v>
      </c>
      <c r="O69" s="103">
        <f>VLOOKUP($A69,'OI(Value)'!$A$7:$O$306,12,0)</f>
        <v>252</v>
      </c>
      <c r="P69" s="179">
        <f>VLOOKUP(A69,'OI(Value)'!A69:O270,8,0)</f>
        <v>2228</v>
      </c>
      <c r="Q69" s="179">
        <f>VLOOKUP(A69,'OI(Value)'!A69:O270,9,0)</f>
        <v>489</v>
      </c>
      <c r="R69" s="179">
        <f>VLOOKUP(A69,'OI(Value)'!A69:O270,11,0)</f>
        <v>1786</v>
      </c>
      <c r="S69" s="179">
        <f>VLOOKUP(A69,'OI(Value)'!A69:O270,11,0)</f>
        <v>1786</v>
      </c>
    </row>
    <row r="70" spans="1:19" x14ac:dyDescent="0.25">
      <c r="A70" s="105" t="str">
        <f>'Data shares'!C65</f>
        <v>DLF</v>
      </c>
      <c r="B70" s="143">
        <f>VLOOKUP($A70,'Data shares'!$C:$FA,118)</f>
        <v>0.56000000000000005</v>
      </c>
      <c r="C70" s="143">
        <f>VLOOKUP($A70,'Data shares'!$C:$FA,119)</f>
        <v>0.56000000000000005</v>
      </c>
      <c r="D70" s="143">
        <f>VLOOKUP($A70,'Data shares'!$C:$FA,121)*100</f>
        <v>0</v>
      </c>
      <c r="E70" s="143">
        <f>VLOOKUP($A70,'Data shares'!$C:$FA,124)</f>
        <v>0.5</v>
      </c>
      <c r="F70" s="143">
        <f>VLOOKUP($A70,'Data shares'!$C:$FA,125)</f>
        <v>0.45</v>
      </c>
      <c r="G70" s="143">
        <f>VLOOKUP($A70,'Data shares'!$C:$FA,127)*100</f>
        <v>11.110000000000001</v>
      </c>
      <c r="H70" s="103">
        <f>VLOOKUP($A70,'OI(Volume)'!$A$7:$O$427,8)</f>
        <v>17141025</v>
      </c>
      <c r="I70" s="103">
        <f>VLOOKUP($A70,'OI(Volume)'!$A$7:$O$427,9)</f>
        <v>-318450</v>
      </c>
      <c r="J70" s="103">
        <f>VLOOKUP($A70,'OI(Volume)'!$A$7:$O$427,11)</f>
        <v>9600525</v>
      </c>
      <c r="K70" s="103">
        <f>VLOOKUP($A70,'OI(Volume)'!$A$7:$O$427,12)</f>
        <v>-118800</v>
      </c>
      <c r="L70" s="103">
        <f>VLOOKUP($A70,'OI(Value)'!$A$7:$O$306,8,0)</f>
        <v>1440</v>
      </c>
      <c r="M70" s="103">
        <f>VLOOKUP($A70,'OI(Value)'!$A$7:$O$306,9,0)</f>
        <v>-27</v>
      </c>
      <c r="N70" s="103">
        <f>VLOOKUP($A70,'OI(Value)'!$A$7:$O$306,11,0)</f>
        <v>806</v>
      </c>
      <c r="O70" s="103">
        <f>VLOOKUP($A70,'OI(Value)'!$A$7:$O$306,12,0)</f>
        <v>-10</v>
      </c>
      <c r="P70" s="179">
        <f>VLOOKUP(A70,'OI(Value)'!A70:O271,8,0)</f>
        <v>1440</v>
      </c>
      <c r="Q70" s="179">
        <f>VLOOKUP(A70,'OI(Value)'!A70:O271,9,0)</f>
        <v>-27</v>
      </c>
      <c r="R70" s="179">
        <f>VLOOKUP(A70,'OI(Value)'!A70:O271,11,0)</f>
        <v>806</v>
      </c>
      <c r="S70" s="179">
        <f>VLOOKUP(A70,'OI(Value)'!A70:O271,11,0)</f>
        <v>806</v>
      </c>
    </row>
    <row r="71" spans="1:19" x14ac:dyDescent="0.25">
      <c r="A71" s="105" t="str">
        <f>'Data shares'!C66</f>
        <v>DMART</v>
      </c>
      <c r="B71" s="143">
        <f>VLOOKUP($A71,'Data shares'!$C:$FA,118)</f>
        <v>0.44</v>
      </c>
      <c r="C71" s="143">
        <f>VLOOKUP($A71,'Data shares'!$C:$FA,119)</f>
        <v>0.45</v>
      </c>
      <c r="D71" s="143">
        <f>VLOOKUP($A71,'Data shares'!$C:$FA,121)*100</f>
        <v>-2.2200000000000002</v>
      </c>
      <c r="E71" s="143">
        <f>VLOOKUP($A71,'Data shares'!$C:$FA,124)</f>
        <v>0.31</v>
      </c>
      <c r="F71" s="143">
        <f>VLOOKUP($A71,'Data shares'!$C:$FA,125)</f>
        <v>0.36</v>
      </c>
      <c r="G71" s="143">
        <f>VLOOKUP($A71,'Data shares'!$C:$FA,127)*100</f>
        <v>-13.889999999999999</v>
      </c>
      <c r="H71" s="103">
        <f>VLOOKUP($A71,'OI(Volume)'!$A$7:$O$427,8)</f>
        <v>3138900</v>
      </c>
      <c r="I71" s="103">
        <f>VLOOKUP($A71,'OI(Volume)'!$A$7:$O$427,9)</f>
        <v>-65250</v>
      </c>
      <c r="J71" s="103">
        <f>VLOOKUP($A71,'OI(Volume)'!$A$7:$O$427,11)</f>
        <v>1392000</v>
      </c>
      <c r="K71" s="103">
        <f>VLOOKUP($A71,'OI(Volume)'!$A$7:$O$427,12)</f>
        <v>-37200</v>
      </c>
      <c r="L71" s="103">
        <f>VLOOKUP($A71,'OI(Value)'!$A$7:$O$306,8,0)</f>
        <v>1269</v>
      </c>
      <c r="M71" s="103">
        <f>VLOOKUP($A71,'OI(Value)'!$A$7:$O$306,9,0)</f>
        <v>-26</v>
      </c>
      <c r="N71" s="103">
        <f>VLOOKUP($A71,'OI(Value)'!$A$7:$O$306,11,0)</f>
        <v>563</v>
      </c>
      <c r="O71" s="103">
        <f>VLOOKUP($A71,'OI(Value)'!$A$7:$O$306,12,0)</f>
        <v>-15</v>
      </c>
      <c r="P71" s="179">
        <f>VLOOKUP(A71,'OI(Value)'!A71:O272,8,0)</f>
        <v>1269</v>
      </c>
      <c r="Q71" s="179">
        <f>VLOOKUP(A71,'OI(Value)'!A71:O272,9,0)</f>
        <v>-26</v>
      </c>
      <c r="R71" s="179">
        <f>VLOOKUP(A71,'OI(Value)'!A71:O272,11,0)</f>
        <v>563</v>
      </c>
      <c r="S71" s="179">
        <f>VLOOKUP(A71,'OI(Value)'!A71:O272,11,0)</f>
        <v>563</v>
      </c>
    </row>
    <row r="72" spans="1:19" x14ac:dyDescent="0.25">
      <c r="A72" s="105" t="str">
        <f>'Data shares'!C67</f>
        <v>DRREDDY</v>
      </c>
      <c r="B72" s="143">
        <f>VLOOKUP($A72,'Data shares'!$C:$FA,118)</f>
        <v>0.47</v>
      </c>
      <c r="C72" s="143">
        <f>VLOOKUP($A72,'Data shares'!$C:$FA,119)</f>
        <v>0.46</v>
      </c>
      <c r="D72" s="143">
        <f>VLOOKUP($A72,'Data shares'!$C:$FA,121)*100</f>
        <v>2.17</v>
      </c>
      <c r="E72" s="143">
        <f>VLOOKUP($A72,'Data shares'!$C:$FA,124)</f>
        <v>0.85</v>
      </c>
      <c r="F72" s="143">
        <f>VLOOKUP($A72,'Data shares'!$C:$FA,125)</f>
        <v>0.49</v>
      </c>
      <c r="G72" s="143">
        <f>VLOOKUP($A72,'Data shares'!$C:$FA,127)*100</f>
        <v>73.47</v>
      </c>
      <c r="H72" s="103">
        <f>VLOOKUP($A72,'OI(Volume)'!$A$7:$O$427,8)</f>
        <v>11045625</v>
      </c>
      <c r="I72" s="103">
        <f>VLOOKUP($A72,'OI(Volume)'!$A$7:$O$427,9)</f>
        <v>156875</v>
      </c>
      <c r="J72" s="103">
        <f>VLOOKUP($A72,'OI(Volume)'!$A$7:$O$427,11)</f>
        <v>5228125</v>
      </c>
      <c r="K72" s="103">
        <f>VLOOKUP($A72,'OI(Volume)'!$A$7:$O$427,12)</f>
        <v>210625</v>
      </c>
      <c r="L72" s="103">
        <f>VLOOKUP($A72,'OI(Value)'!$A$7:$O$306,8,0)</f>
        <v>1371</v>
      </c>
      <c r="M72" s="103">
        <f>VLOOKUP($A72,'OI(Value)'!$A$7:$O$306,9,0)</f>
        <v>19</v>
      </c>
      <c r="N72" s="103">
        <f>VLOOKUP($A72,'OI(Value)'!$A$7:$O$306,11,0)</f>
        <v>649</v>
      </c>
      <c r="O72" s="103">
        <f>VLOOKUP($A72,'OI(Value)'!$A$7:$O$306,12,0)</f>
        <v>26</v>
      </c>
      <c r="P72" s="179">
        <f>VLOOKUP(A72,'OI(Value)'!A72:O273,8,0)</f>
        <v>1371</v>
      </c>
      <c r="Q72" s="179">
        <f>VLOOKUP(A72,'OI(Value)'!A72:O273,9,0)</f>
        <v>19</v>
      </c>
      <c r="R72" s="179">
        <f>VLOOKUP(A72,'OI(Value)'!A72:O273,11,0)</f>
        <v>649</v>
      </c>
      <c r="S72" s="179">
        <f>VLOOKUP(A72,'OI(Value)'!A72:O273,11,0)</f>
        <v>649</v>
      </c>
    </row>
    <row r="73" spans="1:19" x14ac:dyDescent="0.25">
      <c r="A73" s="105" t="str">
        <f>'Data shares'!C68</f>
        <v>EICHERMOT</v>
      </c>
      <c r="B73" s="143">
        <f>VLOOKUP($A73,'Data shares'!$C:$FA,118)</f>
        <v>0.52</v>
      </c>
      <c r="C73" s="143">
        <f>VLOOKUP($A73,'Data shares'!$C:$FA,119)</f>
        <v>0.55000000000000004</v>
      </c>
      <c r="D73" s="143">
        <f>VLOOKUP($A73,'Data shares'!$C:$FA,121)*100</f>
        <v>-5.45</v>
      </c>
      <c r="E73" s="143">
        <f>VLOOKUP($A73,'Data shares'!$C:$FA,124)</f>
        <v>0.62</v>
      </c>
      <c r="F73" s="143">
        <f>VLOOKUP($A73,'Data shares'!$C:$FA,125)</f>
        <v>0.66</v>
      </c>
      <c r="G73" s="143">
        <f>VLOOKUP($A73,'Data shares'!$C:$FA,127)*100</f>
        <v>-6.0600000000000005</v>
      </c>
      <c r="H73" s="103">
        <f>VLOOKUP($A73,'OI(Volume)'!$A$7:$O$427,8)</f>
        <v>1888600</v>
      </c>
      <c r="I73" s="103">
        <f>VLOOKUP($A73,'OI(Volume)'!$A$7:$O$427,9)</f>
        <v>228900</v>
      </c>
      <c r="J73" s="103">
        <f>VLOOKUP($A73,'OI(Volume)'!$A$7:$O$427,11)</f>
        <v>979125</v>
      </c>
      <c r="K73" s="103">
        <f>VLOOKUP($A73,'OI(Volume)'!$A$7:$O$427,12)</f>
        <v>74375</v>
      </c>
      <c r="L73" s="103">
        <f>VLOOKUP($A73,'OI(Value)'!$A$7:$O$306,8,0)</f>
        <v>1030</v>
      </c>
      <c r="M73" s="103">
        <f>VLOOKUP($A73,'OI(Value)'!$A$7:$O$306,9,0)</f>
        <v>125</v>
      </c>
      <c r="N73" s="103">
        <f>VLOOKUP($A73,'OI(Value)'!$A$7:$O$306,11,0)</f>
        <v>534</v>
      </c>
      <c r="O73" s="103">
        <f>VLOOKUP($A73,'OI(Value)'!$A$7:$O$306,12,0)</f>
        <v>41</v>
      </c>
      <c r="P73" s="179">
        <f>VLOOKUP(A73,'OI(Value)'!A73:O274,8,0)</f>
        <v>1030</v>
      </c>
      <c r="Q73" s="179">
        <f>VLOOKUP(A73,'OI(Value)'!A73:O274,9,0)</f>
        <v>125</v>
      </c>
      <c r="R73" s="179">
        <f>VLOOKUP(A73,'OI(Value)'!A73:O274,11,0)</f>
        <v>534</v>
      </c>
      <c r="S73" s="179">
        <f>VLOOKUP(A73,'OI(Value)'!A73:O274,11,0)</f>
        <v>534</v>
      </c>
    </row>
    <row r="74" spans="1:19" x14ac:dyDescent="0.25">
      <c r="A74" s="105" t="str">
        <f>'Data shares'!C69</f>
        <v>ETERNAL</v>
      </c>
      <c r="B74" s="143">
        <f>VLOOKUP($A74,'Data shares'!$C:$FA,118)</f>
        <v>1.06</v>
      </c>
      <c r="C74" s="143">
        <f>VLOOKUP($A74,'Data shares'!$C:$FA,119)</f>
        <v>0.81</v>
      </c>
      <c r="D74" s="143">
        <f>VLOOKUP($A74,'Data shares'!$C:$FA,121)*100</f>
        <v>30.86</v>
      </c>
      <c r="E74" s="143">
        <f>VLOOKUP($A74,'Data shares'!$C:$FA,124)</f>
        <v>0.77</v>
      </c>
      <c r="F74" s="143">
        <f>VLOOKUP($A74,'Data shares'!$C:$FA,125)</f>
        <v>0.62</v>
      </c>
      <c r="G74" s="143">
        <f>VLOOKUP($A74,'Data shares'!$C:$FA,127)*100</f>
        <v>24.19</v>
      </c>
      <c r="H74" s="103">
        <f>VLOOKUP($A74,'OI(Volume)'!$A$7:$O$427,8)</f>
        <v>92833850</v>
      </c>
      <c r="I74" s="103">
        <f>VLOOKUP($A74,'OI(Volume)'!$A$7:$O$427,9)</f>
        <v>26997525</v>
      </c>
      <c r="J74" s="103">
        <f>VLOOKUP($A74,'OI(Volume)'!$A$7:$O$427,11)</f>
        <v>98081550</v>
      </c>
      <c r="K74" s="103">
        <f>VLOOKUP($A74,'OI(Volume)'!$A$7:$O$427,12)</f>
        <v>45083175</v>
      </c>
      <c r="L74" s="103">
        <f>VLOOKUP($A74,'OI(Value)'!$A$7:$O$306,8,0)</f>
        <v>2792</v>
      </c>
      <c r="M74" s="103">
        <f>VLOOKUP($A74,'OI(Value)'!$A$7:$O$306,9,0)</f>
        <v>812</v>
      </c>
      <c r="N74" s="103">
        <f>VLOOKUP($A74,'OI(Value)'!$A$7:$O$306,11,0)</f>
        <v>2950</v>
      </c>
      <c r="O74" s="103">
        <f>VLOOKUP($A74,'OI(Value)'!$A$7:$O$306,12,0)</f>
        <v>1356</v>
      </c>
      <c r="P74" s="179">
        <f>VLOOKUP(A74,'OI(Value)'!A74:O275,8,0)</f>
        <v>2792</v>
      </c>
      <c r="Q74" s="179">
        <f>VLOOKUP(A74,'OI(Value)'!A74:O275,9,0)</f>
        <v>812</v>
      </c>
      <c r="R74" s="179">
        <f>VLOOKUP(A74,'OI(Value)'!A74:O275,11,0)</f>
        <v>2950</v>
      </c>
      <c r="S74" s="179">
        <f>VLOOKUP(A74,'OI(Value)'!A74:O275,11,0)</f>
        <v>2950</v>
      </c>
    </row>
    <row r="75" spans="1:19" x14ac:dyDescent="0.25">
      <c r="A75" s="105" t="str">
        <f>'Data shares'!C70</f>
        <v>EXIDEIND</v>
      </c>
      <c r="B75" s="143">
        <f>VLOOKUP($A75,'Data shares'!$C:$FA,118)</f>
        <v>0.56999999999999995</v>
      </c>
      <c r="C75" s="143">
        <f>VLOOKUP($A75,'Data shares'!$C:$FA,119)</f>
        <v>0.6</v>
      </c>
      <c r="D75" s="143">
        <f>VLOOKUP($A75,'Data shares'!$C:$FA,121)*100</f>
        <v>-5</v>
      </c>
      <c r="E75" s="143">
        <f>VLOOKUP($A75,'Data shares'!$C:$FA,124)</f>
        <v>0.19</v>
      </c>
      <c r="F75" s="143">
        <f>VLOOKUP($A75,'Data shares'!$C:$FA,125)</f>
        <v>0.24</v>
      </c>
      <c r="G75" s="143">
        <f>VLOOKUP($A75,'Data shares'!$C:$FA,127)*100</f>
        <v>-20.830000000000002</v>
      </c>
      <c r="H75" s="103">
        <f>VLOOKUP($A75,'OI(Volume)'!$A$7:$O$427,8)</f>
        <v>13566600</v>
      </c>
      <c r="I75" s="103">
        <f>VLOOKUP($A75,'OI(Volume)'!$A$7:$O$427,9)</f>
        <v>1242000</v>
      </c>
      <c r="J75" s="103">
        <f>VLOOKUP($A75,'OI(Volume)'!$A$7:$O$427,11)</f>
        <v>7707600</v>
      </c>
      <c r="K75" s="103">
        <f>VLOOKUP($A75,'OI(Volume)'!$A$7:$O$427,12)</f>
        <v>309600</v>
      </c>
      <c r="L75" s="103">
        <f>VLOOKUP($A75,'OI(Value)'!$A$7:$O$306,8,0)</f>
        <v>536</v>
      </c>
      <c r="M75" s="103">
        <f>VLOOKUP($A75,'OI(Value)'!$A$7:$O$306,9,0)</f>
        <v>49</v>
      </c>
      <c r="N75" s="103">
        <f>VLOOKUP($A75,'OI(Value)'!$A$7:$O$306,11,0)</f>
        <v>305</v>
      </c>
      <c r="O75" s="103">
        <f>VLOOKUP($A75,'OI(Value)'!$A$7:$O$306,12,0)</f>
        <v>12</v>
      </c>
      <c r="P75" s="179">
        <f>VLOOKUP(A75,'OI(Value)'!A75:O276,8,0)</f>
        <v>536</v>
      </c>
      <c r="Q75" s="179">
        <f>VLOOKUP(A75,'OI(Value)'!A75:O276,9,0)</f>
        <v>49</v>
      </c>
      <c r="R75" s="179">
        <f>VLOOKUP(A75,'OI(Value)'!A75:O276,11,0)</f>
        <v>305</v>
      </c>
      <c r="S75" s="179">
        <f>VLOOKUP(A75,'OI(Value)'!A75:O276,11,0)</f>
        <v>305</v>
      </c>
    </row>
    <row r="76" spans="1:19" x14ac:dyDescent="0.25">
      <c r="A76" s="105" t="str">
        <f>'Data shares'!C71</f>
        <v>FEDERALBNK</v>
      </c>
      <c r="B76" s="143">
        <f>VLOOKUP($A76,'Data shares'!$C:$FA,118)</f>
        <v>0.65</v>
      </c>
      <c r="C76" s="143">
        <f>VLOOKUP($A76,'Data shares'!$C:$FA,119)</f>
        <v>0.66</v>
      </c>
      <c r="D76" s="143">
        <f>VLOOKUP($A76,'Data shares'!$C:$FA,121)*100</f>
        <v>-1.52</v>
      </c>
      <c r="E76" s="143">
        <f>VLOOKUP($A76,'Data shares'!$C:$FA,124)</f>
        <v>0.67</v>
      </c>
      <c r="F76" s="143">
        <f>VLOOKUP($A76,'Data shares'!$C:$FA,125)</f>
        <v>0.62</v>
      </c>
      <c r="G76" s="143">
        <f>VLOOKUP($A76,'Data shares'!$C:$FA,127)*100</f>
        <v>8.06</v>
      </c>
      <c r="H76" s="103">
        <f>VLOOKUP($A76,'OI(Volume)'!$A$7:$O$427,8)</f>
        <v>48720000</v>
      </c>
      <c r="I76" s="103">
        <f>VLOOKUP($A76,'OI(Volume)'!$A$7:$O$427,9)</f>
        <v>955000</v>
      </c>
      <c r="J76" s="103">
        <f>VLOOKUP($A76,'OI(Volume)'!$A$7:$O$427,11)</f>
        <v>31470000</v>
      </c>
      <c r="K76" s="103">
        <f>VLOOKUP($A76,'OI(Volume)'!$A$7:$O$427,12)</f>
        <v>45000</v>
      </c>
      <c r="L76" s="103">
        <f>VLOOKUP($A76,'OI(Value)'!$A$7:$O$306,8,0)</f>
        <v>1035</v>
      </c>
      <c r="M76" s="103">
        <f>VLOOKUP($A76,'OI(Value)'!$A$7:$O$306,9,0)</f>
        <v>20</v>
      </c>
      <c r="N76" s="103">
        <f>VLOOKUP($A76,'OI(Value)'!$A$7:$O$306,11,0)</f>
        <v>668</v>
      </c>
      <c r="O76" s="103">
        <f>VLOOKUP($A76,'OI(Value)'!$A$7:$O$306,12,0)</f>
        <v>1</v>
      </c>
      <c r="P76" s="179">
        <f>VLOOKUP(A76,'OI(Value)'!A76:O277,8,0)</f>
        <v>1035</v>
      </c>
      <c r="Q76" s="179">
        <f>VLOOKUP(A76,'OI(Value)'!A76:O277,9,0)</f>
        <v>20</v>
      </c>
      <c r="R76" s="179">
        <f>VLOOKUP(A76,'OI(Value)'!A76:O277,11,0)</f>
        <v>668</v>
      </c>
      <c r="S76" s="179">
        <f>VLOOKUP(A76,'OI(Value)'!A76:O277,11,0)</f>
        <v>668</v>
      </c>
    </row>
    <row r="77" spans="1:19" x14ac:dyDescent="0.25">
      <c r="A77" s="105" t="str">
        <f>'Data shares'!C72</f>
        <v>FINNIFTY</v>
      </c>
      <c r="B77" s="143">
        <f>VLOOKUP($A77,'Data shares'!$C:$FA,118)</f>
        <v>0.87</v>
      </c>
      <c r="C77" s="143">
        <f>VLOOKUP($A77,'Data shares'!$C:$FA,119)</f>
        <v>0.86</v>
      </c>
      <c r="D77" s="143">
        <f>VLOOKUP($A77,'Data shares'!$C:$FA,121)*100</f>
        <v>1.1599999999999999</v>
      </c>
      <c r="E77" s="143">
        <f>VLOOKUP($A77,'Data shares'!$C:$FA,124)</f>
        <v>0.9</v>
      </c>
      <c r="F77" s="143">
        <f>VLOOKUP($A77,'Data shares'!$C:$FA,125)</f>
        <v>0.88</v>
      </c>
      <c r="G77" s="143">
        <f>VLOOKUP($A77,'Data shares'!$C:$FA,127)*100</f>
        <v>2.27</v>
      </c>
      <c r="H77" s="103">
        <f>VLOOKUP($A77,'OI(Volume)'!$A$7:$O$427,8)</f>
        <v>1562730</v>
      </c>
      <c r="I77" s="103">
        <f>VLOOKUP($A77,'OI(Volume)'!$A$7:$O$427,9)</f>
        <v>71045</v>
      </c>
      <c r="J77" s="103">
        <f>VLOOKUP($A77,'OI(Volume)'!$A$7:$O$427,11)</f>
        <v>1352715</v>
      </c>
      <c r="K77" s="103">
        <f>VLOOKUP($A77,'OI(Volume)'!$A$7:$O$427,12)</f>
        <v>71240</v>
      </c>
      <c r="L77" s="103">
        <f>VLOOKUP($A77,'OI(Value)'!$A$7:$O$306,8,0)</f>
        <v>4220</v>
      </c>
      <c r="M77" s="103">
        <f>VLOOKUP($A77,'OI(Value)'!$A$7:$O$306,9,0)</f>
        <v>192</v>
      </c>
      <c r="N77" s="103">
        <f>VLOOKUP($A77,'OI(Value)'!$A$7:$O$306,11,0)</f>
        <v>3653</v>
      </c>
      <c r="O77" s="103">
        <f>VLOOKUP($A77,'OI(Value)'!$A$7:$O$306,12,0)</f>
        <v>192</v>
      </c>
      <c r="P77" s="179">
        <f>VLOOKUP(A77,'OI(Value)'!A77:O278,8,0)</f>
        <v>4220</v>
      </c>
      <c r="Q77" s="179">
        <f>VLOOKUP(A77,'OI(Value)'!A77:O278,9,0)</f>
        <v>192</v>
      </c>
      <c r="R77" s="179">
        <f>VLOOKUP(A77,'OI(Value)'!A77:O278,11,0)</f>
        <v>3653</v>
      </c>
      <c r="S77" s="179">
        <f>VLOOKUP(A77,'OI(Value)'!A77:O278,11,0)</f>
        <v>3653</v>
      </c>
    </row>
    <row r="78" spans="1:19" x14ac:dyDescent="0.25">
      <c r="A78" s="105" t="str">
        <f>'Data shares'!C73</f>
        <v>FORTIS</v>
      </c>
      <c r="B78" s="143">
        <f>VLOOKUP($A78,'Data shares'!$C:$FA,118)</f>
        <v>0.68</v>
      </c>
      <c r="C78" s="143">
        <f>VLOOKUP($A78,'Data shares'!$C:$FA,119)</f>
        <v>0.74</v>
      </c>
      <c r="D78" s="143">
        <f>VLOOKUP($A78,'Data shares'!$C:$FA,121)*100</f>
        <v>-8.1100000000000012</v>
      </c>
      <c r="E78" s="143">
        <f>VLOOKUP($A78,'Data shares'!$C:$FA,124)</f>
        <v>0.36</v>
      </c>
      <c r="F78" s="143">
        <f>VLOOKUP($A78,'Data shares'!$C:$FA,125)</f>
        <v>0.79</v>
      </c>
      <c r="G78" s="143">
        <f>VLOOKUP($A78,'Data shares'!$C:$FA,127)*100</f>
        <v>-54.43</v>
      </c>
      <c r="H78" s="103">
        <f>VLOOKUP($A78,'OI(Volume)'!$A$7:$O$427,8)</f>
        <v>2769850</v>
      </c>
      <c r="I78" s="103">
        <f>VLOOKUP($A78,'OI(Volume)'!$A$7:$O$427,9)</f>
        <v>194525</v>
      </c>
      <c r="J78" s="103">
        <f>VLOOKUP($A78,'OI(Volume)'!$A$7:$O$427,11)</f>
        <v>1895650</v>
      </c>
      <c r="K78" s="103">
        <f>VLOOKUP($A78,'OI(Volume)'!$A$7:$O$427,12)</f>
        <v>-3100</v>
      </c>
      <c r="L78" s="103">
        <f>VLOOKUP($A78,'OI(Value)'!$A$7:$O$306,8,0)</f>
        <v>224</v>
      </c>
      <c r="M78" s="103">
        <f>VLOOKUP($A78,'OI(Value)'!$A$7:$O$306,9,0)</f>
        <v>16</v>
      </c>
      <c r="N78" s="103">
        <f>VLOOKUP($A78,'OI(Value)'!$A$7:$O$306,11,0)</f>
        <v>154</v>
      </c>
      <c r="O78" s="103">
        <f>VLOOKUP($A78,'OI(Value)'!$A$7:$O$306,12,0)</f>
        <v>0</v>
      </c>
      <c r="P78" s="179">
        <f>VLOOKUP(A78,'OI(Value)'!A78:O279,8,0)</f>
        <v>224</v>
      </c>
      <c r="Q78" s="179">
        <f>VLOOKUP(A78,'OI(Value)'!A78:O279,9,0)</f>
        <v>16</v>
      </c>
      <c r="R78" s="179">
        <f>VLOOKUP(A78,'OI(Value)'!A78:O279,11,0)</f>
        <v>154</v>
      </c>
      <c r="S78" s="179">
        <f>VLOOKUP(A78,'OI(Value)'!A78:O279,11,0)</f>
        <v>154</v>
      </c>
    </row>
    <row r="79" spans="1:19" x14ac:dyDescent="0.25">
      <c r="A79" s="105" t="str">
        <f>'Data shares'!C74</f>
        <v>GAIL</v>
      </c>
      <c r="B79" s="143">
        <f>VLOOKUP($A79,'Data shares'!$C:$FA,118)</f>
        <v>0.6</v>
      </c>
      <c r="C79" s="143">
        <f>VLOOKUP($A79,'Data shares'!$C:$FA,119)</f>
        <v>0.59</v>
      </c>
      <c r="D79" s="143">
        <f>VLOOKUP($A79,'Data shares'!$C:$FA,121)*100</f>
        <v>1.69</v>
      </c>
      <c r="E79" s="143">
        <f>VLOOKUP($A79,'Data shares'!$C:$FA,124)</f>
        <v>0.56000000000000005</v>
      </c>
      <c r="F79" s="143">
        <f>VLOOKUP($A79,'Data shares'!$C:$FA,125)</f>
        <v>0.36</v>
      </c>
      <c r="G79" s="143">
        <f>VLOOKUP($A79,'Data shares'!$C:$FA,127)*100</f>
        <v>55.559999999999995</v>
      </c>
      <c r="H79" s="103">
        <f>VLOOKUP($A79,'OI(Volume)'!$A$7:$O$427,8)</f>
        <v>49117950</v>
      </c>
      <c r="I79" s="103">
        <f>VLOOKUP($A79,'OI(Volume)'!$A$7:$O$427,9)</f>
        <v>-683550</v>
      </c>
      <c r="J79" s="103">
        <f>VLOOKUP($A79,'OI(Volume)'!$A$7:$O$427,11)</f>
        <v>29581650</v>
      </c>
      <c r="K79" s="103">
        <f>VLOOKUP($A79,'OI(Volume)'!$A$7:$O$427,12)</f>
        <v>258300</v>
      </c>
      <c r="L79" s="103">
        <f>VLOOKUP($A79,'OI(Value)'!$A$7:$O$306,8,0)</f>
        <v>904</v>
      </c>
      <c r="M79" s="103">
        <f>VLOOKUP($A79,'OI(Value)'!$A$7:$O$306,9,0)</f>
        <v>-13</v>
      </c>
      <c r="N79" s="103">
        <f>VLOOKUP($A79,'OI(Value)'!$A$7:$O$306,11,0)</f>
        <v>544</v>
      </c>
      <c r="O79" s="103">
        <f>VLOOKUP($A79,'OI(Value)'!$A$7:$O$306,12,0)</f>
        <v>5</v>
      </c>
      <c r="P79" s="179">
        <f>VLOOKUP(A79,'OI(Value)'!A79:O280,8,0)</f>
        <v>904</v>
      </c>
      <c r="Q79" s="179">
        <f>VLOOKUP(A79,'OI(Value)'!A79:O280,9,0)</f>
        <v>-13</v>
      </c>
      <c r="R79" s="179">
        <f>VLOOKUP(A79,'OI(Value)'!A79:O280,11,0)</f>
        <v>544</v>
      </c>
      <c r="S79" s="179">
        <f>VLOOKUP(A79,'OI(Value)'!A79:O280,11,0)</f>
        <v>544</v>
      </c>
    </row>
    <row r="80" spans="1:19" x14ac:dyDescent="0.25">
      <c r="A80" s="105" t="str">
        <f>'Data shares'!C75</f>
        <v>GLENMARK</v>
      </c>
      <c r="B80" s="143">
        <f>VLOOKUP($A80,'Data shares'!$C:$FA,118)</f>
        <v>0.93</v>
      </c>
      <c r="C80" s="143">
        <f>VLOOKUP($A80,'Data shares'!$C:$FA,119)</f>
        <v>0.96</v>
      </c>
      <c r="D80" s="143">
        <f>VLOOKUP($A80,'Data shares'!$C:$FA,121)*100</f>
        <v>-3.1199999999999997</v>
      </c>
      <c r="E80" s="143">
        <f>VLOOKUP($A80,'Data shares'!$C:$FA,124)</f>
        <v>0.93</v>
      </c>
      <c r="F80" s="143">
        <f>VLOOKUP($A80,'Data shares'!$C:$FA,125)</f>
        <v>1.01</v>
      </c>
      <c r="G80" s="143">
        <f>VLOOKUP($A80,'Data shares'!$C:$FA,127)*100</f>
        <v>-7.9200000000000008</v>
      </c>
      <c r="H80" s="103">
        <f>VLOOKUP($A80,'OI(Volume)'!$A$7:$O$427,8)</f>
        <v>7445625</v>
      </c>
      <c r="I80" s="103">
        <f>VLOOKUP($A80,'OI(Volume)'!$A$7:$O$427,9)</f>
        <v>-187125</v>
      </c>
      <c r="J80" s="103">
        <f>VLOOKUP($A80,'OI(Volume)'!$A$7:$O$427,11)</f>
        <v>6916125</v>
      </c>
      <c r="K80" s="103">
        <f>VLOOKUP($A80,'OI(Volume)'!$A$7:$O$427,12)</f>
        <v>-419625</v>
      </c>
      <c r="L80" s="103">
        <f>VLOOKUP($A80,'OI(Value)'!$A$7:$O$306,8,0)</f>
        <v>1609</v>
      </c>
      <c r="M80" s="103">
        <f>VLOOKUP($A80,'OI(Value)'!$A$7:$O$306,9,0)</f>
        <v>-40</v>
      </c>
      <c r="N80" s="103">
        <f>VLOOKUP($A80,'OI(Value)'!$A$7:$O$306,11,0)</f>
        <v>1495</v>
      </c>
      <c r="O80" s="103">
        <f>VLOOKUP($A80,'OI(Value)'!$A$7:$O$306,12,0)</f>
        <v>-91</v>
      </c>
      <c r="P80" s="179">
        <f>VLOOKUP(A80,'OI(Value)'!A80:O281,8,0)</f>
        <v>1609</v>
      </c>
      <c r="Q80" s="179">
        <f>VLOOKUP(A80,'OI(Value)'!A80:O281,9,0)</f>
        <v>-40</v>
      </c>
      <c r="R80" s="179">
        <f>VLOOKUP(A80,'OI(Value)'!A80:O281,11,0)</f>
        <v>1495</v>
      </c>
      <c r="S80" s="179">
        <f>VLOOKUP(A80,'OI(Value)'!A80:O281,11,0)</f>
        <v>1495</v>
      </c>
    </row>
    <row r="81" spans="1:19" x14ac:dyDescent="0.25">
      <c r="A81" s="105" t="str">
        <f>'Data shares'!C76</f>
        <v>GMRAIRPORT</v>
      </c>
      <c r="B81" s="143">
        <f>VLOOKUP($A81,'Data shares'!$C:$FA,118)</f>
        <v>0.5</v>
      </c>
      <c r="C81" s="143">
        <f>VLOOKUP($A81,'Data shares'!$C:$FA,119)</f>
        <v>0.52</v>
      </c>
      <c r="D81" s="143">
        <f>VLOOKUP($A81,'Data shares'!$C:$FA,121)*100</f>
        <v>-3.85</v>
      </c>
      <c r="E81" s="143">
        <f>VLOOKUP($A81,'Data shares'!$C:$FA,124)</f>
        <v>0.37</v>
      </c>
      <c r="F81" s="143">
        <f>VLOOKUP($A81,'Data shares'!$C:$FA,125)</f>
        <v>0.53</v>
      </c>
      <c r="G81" s="143">
        <f>VLOOKUP($A81,'Data shares'!$C:$FA,127)*100</f>
        <v>-30.19</v>
      </c>
      <c r="H81" s="103">
        <f>VLOOKUP($A81,'OI(Volume)'!$A$7:$O$427,8)</f>
        <v>90640125</v>
      </c>
      <c r="I81" s="103">
        <f>VLOOKUP($A81,'OI(Volume)'!$A$7:$O$427,9)</f>
        <v>1806525</v>
      </c>
      <c r="J81" s="103">
        <f>VLOOKUP($A81,'OI(Volume)'!$A$7:$O$427,11)</f>
        <v>45672300</v>
      </c>
      <c r="K81" s="103">
        <f>VLOOKUP($A81,'OI(Volume)'!$A$7:$O$427,12)</f>
        <v>-174375</v>
      </c>
      <c r="L81" s="103">
        <f>VLOOKUP($A81,'OI(Value)'!$A$7:$O$306,8,0)</f>
        <v>834</v>
      </c>
      <c r="M81" s="103">
        <f>VLOOKUP($A81,'OI(Value)'!$A$7:$O$306,9,0)</f>
        <v>17</v>
      </c>
      <c r="N81" s="103">
        <f>VLOOKUP($A81,'OI(Value)'!$A$7:$O$306,11,0)</f>
        <v>420</v>
      </c>
      <c r="O81" s="103">
        <f>VLOOKUP($A81,'OI(Value)'!$A$7:$O$306,12,0)</f>
        <v>-2</v>
      </c>
      <c r="P81" s="179">
        <f>VLOOKUP(A81,'OI(Value)'!A81:O282,8,0)</f>
        <v>834</v>
      </c>
      <c r="Q81" s="179">
        <f>VLOOKUP(A81,'OI(Value)'!A81:O282,9,0)</f>
        <v>17</v>
      </c>
      <c r="R81" s="179">
        <f>VLOOKUP(A81,'OI(Value)'!A81:O282,11,0)</f>
        <v>420</v>
      </c>
      <c r="S81" s="179">
        <f>VLOOKUP(A81,'OI(Value)'!A81:O282,11,0)</f>
        <v>420</v>
      </c>
    </row>
    <row r="82" spans="1:19" x14ac:dyDescent="0.25">
      <c r="A82" s="105" t="str">
        <f>'Data shares'!C77</f>
        <v>GODREJCP</v>
      </c>
      <c r="B82" s="143">
        <f>VLOOKUP($A82,'Data shares'!$C:$FA,118)</f>
        <v>0.62</v>
      </c>
      <c r="C82" s="143">
        <f>VLOOKUP($A82,'Data shares'!$C:$FA,119)</f>
        <v>0.57999999999999996</v>
      </c>
      <c r="D82" s="143">
        <f>VLOOKUP($A82,'Data shares'!$C:$FA,121)*100</f>
        <v>6.9</v>
      </c>
      <c r="E82" s="143">
        <f>VLOOKUP($A82,'Data shares'!$C:$FA,124)</f>
        <v>0.43</v>
      </c>
      <c r="F82" s="143">
        <f>VLOOKUP($A82,'Data shares'!$C:$FA,125)</f>
        <v>0.49</v>
      </c>
      <c r="G82" s="143">
        <f>VLOOKUP($A82,'Data shares'!$C:$FA,127)*100</f>
        <v>-12.24</v>
      </c>
      <c r="H82" s="103">
        <f>VLOOKUP($A82,'OI(Volume)'!$A$7:$O$427,8)</f>
        <v>2919500</v>
      </c>
      <c r="I82" s="103">
        <f>VLOOKUP($A82,'OI(Volume)'!$A$7:$O$427,9)</f>
        <v>-61500</v>
      </c>
      <c r="J82" s="103">
        <f>VLOOKUP($A82,'OI(Volume)'!$A$7:$O$427,11)</f>
        <v>1805500</v>
      </c>
      <c r="K82" s="103">
        <f>VLOOKUP($A82,'OI(Volume)'!$A$7:$O$427,12)</f>
        <v>66500</v>
      </c>
      <c r="L82" s="103">
        <f>VLOOKUP($A82,'OI(Value)'!$A$7:$O$306,8,0)</f>
        <v>364</v>
      </c>
      <c r="M82" s="103">
        <f>VLOOKUP($A82,'OI(Value)'!$A$7:$O$306,9,0)</f>
        <v>-8</v>
      </c>
      <c r="N82" s="103">
        <f>VLOOKUP($A82,'OI(Value)'!$A$7:$O$306,11,0)</f>
        <v>225</v>
      </c>
      <c r="O82" s="103">
        <f>VLOOKUP($A82,'OI(Value)'!$A$7:$O$306,12,0)</f>
        <v>8</v>
      </c>
      <c r="P82" s="179">
        <f>VLOOKUP(A82,'OI(Value)'!A82:O283,8,0)</f>
        <v>364</v>
      </c>
      <c r="Q82" s="179">
        <f>VLOOKUP(A82,'OI(Value)'!A82:O283,9,0)</f>
        <v>-8</v>
      </c>
      <c r="R82" s="179">
        <f>VLOOKUP(A82,'OI(Value)'!A82:O283,11,0)</f>
        <v>225</v>
      </c>
      <c r="S82" s="179">
        <f>VLOOKUP(A82,'OI(Value)'!A82:O283,11,0)</f>
        <v>225</v>
      </c>
    </row>
    <row r="83" spans="1:19" x14ac:dyDescent="0.25">
      <c r="A83" s="105" t="str">
        <f>'Data shares'!C78</f>
        <v>GODREJPROP</v>
      </c>
      <c r="B83" s="143">
        <f>VLOOKUP($A83,'Data shares'!$C:$FA,118)</f>
        <v>0.64</v>
      </c>
      <c r="C83" s="143">
        <f>VLOOKUP($A83,'Data shares'!$C:$FA,119)</f>
        <v>0.71</v>
      </c>
      <c r="D83" s="143">
        <f>VLOOKUP($A83,'Data shares'!$C:$FA,121)*100</f>
        <v>-9.86</v>
      </c>
      <c r="E83" s="143">
        <f>VLOOKUP($A83,'Data shares'!$C:$FA,124)</f>
        <v>0.72</v>
      </c>
      <c r="F83" s="143">
        <f>VLOOKUP($A83,'Data shares'!$C:$FA,125)</f>
        <v>0.64</v>
      </c>
      <c r="G83" s="143">
        <f>VLOOKUP($A83,'Data shares'!$C:$FA,127)*100</f>
        <v>12.5</v>
      </c>
      <c r="H83" s="103">
        <f>VLOOKUP($A83,'OI(Volume)'!$A$7:$O$427,8)</f>
        <v>2632025</v>
      </c>
      <c r="I83" s="103">
        <f>VLOOKUP($A83,'OI(Volume)'!$A$7:$O$427,9)</f>
        <v>56925</v>
      </c>
      <c r="J83" s="103">
        <f>VLOOKUP($A83,'OI(Volume)'!$A$7:$O$427,11)</f>
        <v>1690975</v>
      </c>
      <c r="K83" s="103">
        <f>VLOOKUP($A83,'OI(Volume)'!$A$7:$O$427,12)</f>
        <v>-137225</v>
      </c>
      <c r="L83" s="103">
        <f>VLOOKUP($A83,'OI(Value)'!$A$7:$O$306,8,0)</f>
        <v>622</v>
      </c>
      <c r="M83" s="103">
        <f>VLOOKUP($A83,'OI(Value)'!$A$7:$O$306,9,0)</f>
        <v>13</v>
      </c>
      <c r="N83" s="103">
        <f>VLOOKUP($A83,'OI(Value)'!$A$7:$O$306,11,0)</f>
        <v>400</v>
      </c>
      <c r="O83" s="103">
        <f>VLOOKUP($A83,'OI(Value)'!$A$7:$O$306,12,0)</f>
        <v>-32</v>
      </c>
      <c r="P83" s="179">
        <f>VLOOKUP(A83,'OI(Value)'!A83:O284,8,0)</f>
        <v>622</v>
      </c>
      <c r="Q83" s="179">
        <f>VLOOKUP(A83,'OI(Value)'!A83:O284,9,0)</f>
        <v>13</v>
      </c>
      <c r="R83" s="179">
        <f>VLOOKUP(A83,'OI(Value)'!A83:O284,11,0)</f>
        <v>400</v>
      </c>
      <c r="S83" s="179">
        <f>VLOOKUP(A83,'OI(Value)'!A83:O284,11,0)</f>
        <v>400</v>
      </c>
    </row>
    <row r="84" spans="1:19" x14ac:dyDescent="0.25">
      <c r="A84" s="105" t="str">
        <f>'Data shares'!C79</f>
        <v>GRANULES</v>
      </c>
      <c r="B84" s="143">
        <f>VLOOKUP($A84,'Data shares'!$C:$FA,118)</f>
        <v>0.51</v>
      </c>
      <c r="C84" s="143">
        <f>VLOOKUP($A84,'Data shares'!$C:$FA,119)</f>
        <v>0.53</v>
      </c>
      <c r="D84" s="143">
        <f>VLOOKUP($A84,'Data shares'!$C:$FA,121)*100</f>
        <v>-3.7699999999999996</v>
      </c>
      <c r="E84" s="143">
        <f>VLOOKUP($A84,'Data shares'!$C:$FA,124)</f>
        <v>0.6</v>
      </c>
      <c r="F84" s="143">
        <f>VLOOKUP($A84,'Data shares'!$C:$FA,125)</f>
        <v>0.36</v>
      </c>
      <c r="G84" s="143">
        <f>VLOOKUP($A84,'Data shares'!$C:$FA,127)*100</f>
        <v>66.67</v>
      </c>
      <c r="H84" s="103">
        <f>VLOOKUP($A84,'OI(Volume)'!$A$7:$O$427,8)</f>
        <v>4931025</v>
      </c>
      <c r="I84" s="103">
        <f>VLOOKUP($A84,'OI(Volume)'!$A$7:$O$427,9)</f>
        <v>250475</v>
      </c>
      <c r="J84" s="103">
        <f>VLOOKUP($A84,'OI(Volume)'!$A$7:$O$427,11)</f>
        <v>2516575</v>
      </c>
      <c r="K84" s="103">
        <f>VLOOKUP($A84,'OI(Volume)'!$A$7:$O$427,12)</f>
        <v>24725</v>
      </c>
      <c r="L84" s="103">
        <f>VLOOKUP($A84,'OI(Value)'!$A$7:$O$306,8,0)</f>
        <v>235</v>
      </c>
      <c r="M84" s="103">
        <f>VLOOKUP($A84,'OI(Value)'!$A$7:$O$306,9,0)</f>
        <v>12</v>
      </c>
      <c r="N84" s="103">
        <f>VLOOKUP($A84,'OI(Value)'!$A$7:$O$306,11,0)</f>
        <v>120</v>
      </c>
      <c r="O84" s="103">
        <f>VLOOKUP($A84,'OI(Value)'!$A$7:$O$306,12,0)</f>
        <v>1</v>
      </c>
      <c r="P84" s="179">
        <f>VLOOKUP(A84,'OI(Value)'!A84:O285,8,0)</f>
        <v>235</v>
      </c>
      <c r="Q84" s="179">
        <f>VLOOKUP(A84,'OI(Value)'!A84:O285,9,0)</f>
        <v>12</v>
      </c>
      <c r="R84" s="179">
        <f>VLOOKUP(A84,'OI(Value)'!A84:O285,11,0)</f>
        <v>120</v>
      </c>
      <c r="S84" s="179">
        <f>VLOOKUP(A84,'OI(Value)'!A84:O285,11,0)</f>
        <v>120</v>
      </c>
    </row>
    <row r="85" spans="1:19" x14ac:dyDescent="0.25">
      <c r="A85" s="105" t="str">
        <f>'Data shares'!C80</f>
        <v>GRASIM</v>
      </c>
      <c r="B85" s="143">
        <f>VLOOKUP($A85,'Data shares'!$C:$FA,118)</f>
        <v>0.46</v>
      </c>
      <c r="C85" s="143">
        <f>VLOOKUP($A85,'Data shares'!$C:$FA,119)</f>
        <v>0.48</v>
      </c>
      <c r="D85" s="143">
        <f>VLOOKUP($A85,'Data shares'!$C:$FA,121)*100</f>
        <v>-4.17</v>
      </c>
      <c r="E85" s="143">
        <f>VLOOKUP($A85,'Data shares'!$C:$FA,124)</f>
        <v>0.38</v>
      </c>
      <c r="F85" s="143">
        <f>VLOOKUP($A85,'Data shares'!$C:$FA,125)</f>
        <v>0.28000000000000003</v>
      </c>
      <c r="G85" s="143">
        <f>VLOOKUP($A85,'Data shares'!$C:$FA,127)*100</f>
        <v>35.709999999999994</v>
      </c>
      <c r="H85" s="103">
        <f>VLOOKUP($A85,'OI(Volume)'!$A$7:$O$427,8)</f>
        <v>2389000</v>
      </c>
      <c r="I85" s="103">
        <f>VLOOKUP($A85,'OI(Volume)'!$A$7:$O$427,9)</f>
        <v>71250</v>
      </c>
      <c r="J85" s="103">
        <f>VLOOKUP($A85,'OI(Volume)'!$A$7:$O$427,11)</f>
        <v>1101750</v>
      </c>
      <c r="K85" s="103">
        <f>VLOOKUP($A85,'OI(Volume)'!$A$7:$O$427,12)</f>
        <v>-9750</v>
      </c>
      <c r="L85" s="103">
        <f>VLOOKUP($A85,'OI(Value)'!$A$7:$O$306,8,0)</f>
        <v>652</v>
      </c>
      <c r="M85" s="103">
        <f>VLOOKUP($A85,'OI(Value)'!$A$7:$O$306,9,0)</f>
        <v>19</v>
      </c>
      <c r="N85" s="103">
        <f>VLOOKUP($A85,'OI(Value)'!$A$7:$O$306,11,0)</f>
        <v>301</v>
      </c>
      <c r="O85" s="103">
        <f>VLOOKUP($A85,'OI(Value)'!$A$7:$O$306,12,0)</f>
        <v>-3</v>
      </c>
      <c r="P85" s="179">
        <f>VLOOKUP(A85,'OI(Value)'!A85:O286,8,0)</f>
        <v>652</v>
      </c>
      <c r="Q85" s="179">
        <f>VLOOKUP(A85,'OI(Value)'!A85:O286,9,0)</f>
        <v>19</v>
      </c>
      <c r="R85" s="179">
        <f>VLOOKUP(A85,'OI(Value)'!A85:O286,11,0)</f>
        <v>301</v>
      </c>
      <c r="S85" s="179">
        <f>VLOOKUP(A85,'OI(Value)'!A85:O286,11,0)</f>
        <v>301</v>
      </c>
    </row>
    <row r="86" spans="1:19" x14ac:dyDescent="0.25">
      <c r="A86" s="105" t="str">
        <f>'Data shares'!C81</f>
        <v>HAL</v>
      </c>
      <c r="B86" s="143">
        <f>VLOOKUP($A86,'Data shares'!$C:$FA,118)</f>
        <v>0.52</v>
      </c>
      <c r="C86" s="143">
        <f>VLOOKUP($A86,'Data shares'!$C:$FA,119)</f>
        <v>0.5</v>
      </c>
      <c r="D86" s="143">
        <f>VLOOKUP($A86,'Data shares'!$C:$FA,121)*100</f>
        <v>4</v>
      </c>
      <c r="E86" s="143">
        <f>VLOOKUP($A86,'Data shares'!$C:$FA,124)</f>
        <v>0.36</v>
      </c>
      <c r="F86" s="143">
        <f>VLOOKUP($A86,'Data shares'!$C:$FA,125)</f>
        <v>0.4</v>
      </c>
      <c r="G86" s="143">
        <f>VLOOKUP($A86,'Data shares'!$C:$FA,127)*100</f>
        <v>-10</v>
      </c>
      <c r="H86" s="103">
        <f>VLOOKUP($A86,'OI(Volume)'!$A$7:$O$427,8)</f>
        <v>7079700</v>
      </c>
      <c r="I86" s="103">
        <f>VLOOKUP($A86,'OI(Volume)'!$A$7:$O$427,9)</f>
        <v>-107550</v>
      </c>
      <c r="J86" s="103">
        <f>VLOOKUP($A86,'OI(Volume)'!$A$7:$O$427,11)</f>
        <v>3652350</v>
      </c>
      <c r="K86" s="103">
        <f>VLOOKUP($A86,'OI(Volume)'!$A$7:$O$427,12)</f>
        <v>50700</v>
      </c>
      <c r="L86" s="103">
        <f>VLOOKUP($A86,'OI(Value)'!$A$7:$O$306,8,0)</f>
        <v>3376</v>
      </c>
      <c r="M86" s="103">
        <f>VLOOKUP($A86,'OI(Value)'!$A$7:$O$306,9,0)</f>
        <v>-51</v>
      </c>
      <c r="N86" s="103">
        <f>VLOOKUP($A86,'OI(Value)'!$A$7:$O$306,11,0)</f>
        <v>1742</v>
      </c>
      <c r="O86" s="103">
        <f>VLOOKUP($A86,'OI(Value)'!$A$7:$O$306,12,0)</f>
        <v>24</v>
      </c>
      <c r="P86" s="179">
        <f>VLOOKUP(A86,'OI(Value)'!A86:O287,8,0)</f>
        <v>3376</v>
      </c>
      <c r="Q86" s="179">
        <f>VLOOKUP(A86,'OI(Value)'!A86:O287,9,0)</f>
        <v>-51</v>
      </c>
      <c r="R86" s="179">
        <f>VLOOKUP(A86,'OI(Value)'!A86:O287,11,0)</f>
        <v>1742</v>
      </c>
      <c r="S86" s="179">
        <f>VLOOKUP(A86,'OI(Value)'!A86:O287,11,0)</f>
        <v>1742</v>
      </c>
    </row>
    <row r="87" spans="1:19" x14ac:dyDescent="0.25">
      <c r="A87" s="105" t="str">
        <f>'Data shares'!C82</f>
        <v>HAVELLS</v>
      </c>
      <c r="B87" s="143">
        <f>VLOOKUP($A87,'Data shares'!$C:$FA,118)</f>
        <v>1.03</v>
      </c>
      <c r="C87" s="143">
        <f>VLOOKUP($A87,'Data shares'!$C:$FA,119)</f>
        <v>0.89</v>
      </c>
      <c r="D87" s="143">
        <f>VLOOKUP($A87,'Data shares'!$C:$FA,121)*100</f>
        <v>15.73</v>
      </c>
      <c r="E87" s="143">
        <f>VLOOKUP($A87,'Data shares'!$C:$FA,124)</f>
        <v>0.57999999999999996</v>
      </c>
      <c r="F87" s="143">
        <f>VLOOKUP($A87,'Data shares'!$C:$FA,125)</f>
        <v>0.72</v>
      </c>
      <c r="G87" s="143">
        <f>VLOOKUP($A87,'Data shares'!$C:$FA,127)*100</f>
        <v>-19.439999999999998</v>
      </c>
      <c r="H87" s="103">
        <f>VLOOKUP($A87,'OI(Volume)'!$A$7:$O$427,8)</f>
        <v>3740000</v>
      </c>
      <c r="I87" s="103">
        <f>VLOOKUP($A87,'OI(Volume)'!$A$7:$O$427,9)</f>
        <v>-631000</v>
      </c>
      <c r="J87" s="103">
        <f>VLOOKUP($A87,'OI(Volume)'!$A$7:$O$427,11)</f>
        <v>3853000</v>
      </c>
      <c r="K87" s="103">
        <f>VLOOKUP($A87,'OI(Volume)'!$A$7:$O$427,12)</f>
        <v>-41500</v>
      </c>
      <c r="L87" s="103">
        <f>VLOOKUP($A87,'OI(Value)'!$A$7:$O$306,8,0)</f>
        <v>591</v>
      </c>
      <c r="M87" s="103">
        <f>VLOOKUP($A87,'OI(Value)'!$A$7:$O$306,9,0)</f>
        <v>-100</v>
      </c>
      <c r="N87" s="103">
        <f>VLOOKUP($A87,'OI(Value)'!$A$7:$O$306,11,0)</f>
        <v>609</v>
      </c>
      <c r="O87" s="103">
        <f>VLOOKUP($A87,'OI(Value)'!$A$7:$O$306,12,0)</f>
        <v>-7</v>
      </c>
      <c r="P87" s="179">
        <f>VLOOKUP(A87,'OI(Value)'!A87:O288,8,0)</f>
        <v>591</v>
      </c>
      <c r="Q87" s="179">
        <f>VLOOKUP(A87,'OI(Value)'!A87:O288,9,0)</f>
        <v>-100</v>
      </c>
      <c r="R87" s="179">
        <f>VLOOKUP(A87,'OI(Value)'!A87:O288,11,0)</f>
        <v>609</v>
      </c>
      <c r="S87" s="179">
        <f>VLOOKUP(A87,'OI(Value)'!A87:O288,11,0)</f>
        <v>609</v>
      </c>
    </row>
    <row r="88" spans="1:19" x14ac:dyDescent="0.25">
      <c r="A88" s="105" t="str">
        <f>'Data shares'!C83</f>
        <v>HCLTECH</v>
      </c>
      <c r="B88" s="143">
        <f>VLOOKUP($A88,'Data shares'!$C:$FA,118)</f>
        <v>0.38</v>
      </c>
      <c r="C88" s="143">
        <f>VLOOKUP($A88,'Data shares'!$C:$FA,119)</f>
        <v>0.39</v>
      </c>
      <c r="D88" s="143">
        <f>VLOOKUP($A88,'Data shares'!$C:$FA,121)*100</f>
        <v>-2.56</v>
      </c>
      <c r="E88" s="143">
        <f>VLOOKUP($A88,'Data shares'!$C:$FA,124)</f>
        <v>0.34</v>
      </c>
      <c r="F88" s="143">
        <f>VLOOKUP($A88,'Data shares'!$C:$FA,125)</f>
        <v>0.35</v>
      </c>
      <c r="G88" s="143">
        <f>VLOOKUP($A88,'Data shares'!$C:$FA,127)*100</f>
        <v>-2.86</v>
      </c>
      <c r="H88" s="103">
        <f>VLOOKUP($A88,'OI(Volume)'!$A$7:$O$427,8)</f>
        <v>17356150</v>
      </c>
      <c r="I88" s="103">
        <f>VLOOKUP($A88,'OI(Volume)'!$A$7:$O$427,9)</f>
        <v>10500</v>
      </c>
      <c r="J88" s="103">
        <f>VLOOKUP($A88,'OI(Volume)'!$A$7:$O$427,11)</f>
        <v>6618500</v>
      </c>
      <c r="K88" s="103">
        <f>VLOOKUP($A88,'OI(Volume)'!$A$7:$O$427,12)</f>
        <v>-62300</v>
      </c>
      <c r="L88" s="103">
        <f>VLOOKUP($A88,'OI(Value)'!$A$7:$O$306,8,0)</f>
        <v>2647</v>
      </c>
      <c r="M88" s="103">
        <f>VLOOKUP($A88,'OI(Value)'!$A$7:$O$306,9,0)</f>
        <v>2</v>
      </c>
      <c r="N88" s="103">
        <f>VLOOKUP($A88,'OI(Value)'!$A$7:$O$306,11,0)</f>
        <v>1009</v>
      </c>
      <c r="O88" s="103">
        <f>VLOOKUP($A88,'OI(Value)'!$A$7:$O$306,12,0)</f>
        <v>-10</v>
      </c>
      <c r="P88" s="179">
        <f>VLOOKUP(A88,'OI(Value)'!A88:O289,8,0)</f>
        <v>2647</v>
      </c>
      <c r="Q88" s="179">
        <f>VLOOKUP(A88,'OI(Value)'!A88:O289,9,0)</f>
        <v>2</v>
      </c>
      <c r="R88" s="179">
        <f>VLOOKUP(A88,'OI(Value)'!A88:O289,11,0)</f>
        <v>1009</v>
      </c>
      <c r="S88" s="179">
        <f>VLOOKUP(A88,'OI(Value)'!A88:O289,11,0)</f>
        <v>1009</v>
      </c>
    </row>
    <row r="89" spans="1:19" x14ac:dyDescent="0.25">
      <c r="A89" s="105" t="str">
        <f>'Data shares'!C84</f>
        <v>HDFCAMC</v>
      </c>
      <c r="B89" s="143">
        <f>VLOOKUP($A89,'Data shares'!$C:$FA,118)</f>
        <v>0.7</v>
      </c>
      <c r="C89" s="143">
        <f>VLOOKUP($A89,'Data shares'!$C:$FA,119)</f>
        <v>0.72</v>
      </c>
      <c r="D89" s="143">
        <f>VLOOKUP($A89,'Data shares'!$C:$FA,121)*100</f>
        <v>-2.78</v>
      </c>
      <c r="E89" s="143">
        <f>VLOOKUP($A89,'Data shares'!$C:$FA,124)</f>
        <v>0.77</v>
      </c>
      <c r="F89" s="143">
        <f>VLOOKUP($A89,'Data shares'!$C:$FA,125)</f>
        <v>0.56999999999999995</v>
      </c>
      <c r="G89" s="143">
        <f>VLOOKUP($A89,'Data shares'!$C:$FA,127)*100</f>
        <v>35.089999999999996</v>
      </c>
      <c r="H89" s="103">
        <f>VLOOKUP($A89,'OI(Volume)'!$A$7:$O$427,8)</f>
        <v>2013900</v>
      </c>
      <c r="I89" s="103">
        <f>VLOOKUP($A89,'OI(Volume)'!$A$7:$O$427,9)</f>
        <v>-71850</v>
      </c>
      <c r="J89" s="103">
        <f>VLOOKUP($A89,'OI(Volume)'!$A$7:$O$427,11)</f>
        <v>1416300</v>
      </c>
      <c r="K89" s="103">
        <f>VLOOKUP($A89,'OI(Volume)'!$A$7:$O$427,12)</f>
        <v>-82500</v>
      </c>
      <c r="L89" s="103">
        <f>VLOOKUP($A89,'OI(Value)'!$A$7:$O$306,8,0)</f>
        <v>1126</v>
      </c>
      <c r="M89" s="103">
        <f>VLOOKUP($A89,'OI(Value)'!$A$7:$O$306,9,0)</f>
        <v>-40</v>
      </c>
      <c r="N89" s="103">
        <f>VLOOKUP($A89,'OI(Value)'!$A$7:$O$306,11,0)</f>
        <v>792</v>
      </c>
      <c r="O89" s="103">
        <f>VLOOKUP($A89,'OI(Value)'!$A$7:$O$306,12,0)</f>
        <v>-46</v>
      </c>
      <c r="P89" s="179">
        <f>VLOOKUP(A89,'OI(Value)'!A89:O290,8,0)</f>
        <v>1126</v>
      </c>
      <c r="Q89" s="179">
        <f>VLOOKUP(A89,'OI(Value)'!A89:O290,9,0)</f>
        <v>-40</v>
      </c>
      <c r="R89" s="179">
        <f>VLOOKUP(A89,'OI(Value)'!A89:O290,11,0)</f>
        <v>792</v>
      </c>
      <c r="S89" s="179">
        <f>VLOOKUP(A89,'OI(Value)'!A89:O290,11,0)</f>
        <v>792</v>
      </c>
    </row>
    <row r="90" spans="1:19" x14ac:dyDescent="0.25">
      <c r="A90" s="105" t="str">
        <f>'Data shares'!C85</f>
        <v>HDFCBANK</v>
      </c>
      <c r="B90" s="143">
        <f>VLOOKUP($A90,'Data shares'!$C:$FA,118)</f>
        <v>0.59</v>
      </c>
      <c r="C90" s="143">
        <f>VLOOKUP($A90,'Data shares'!$C:$FA,119)</f>
        <v>0.55000000000000004</v>
      </c>
      <c r="D90" s="143">
        <f>VLOOKUP($A90,'Data shares'!$C:$FA,121)*100</f>
        <v>7.2700000000000005</v>
      </c>
      <c r="E90" s="143">
        <f>VLOOKUP($A90,'Data shares'!$C:$FA,124)</f>
        <v>0.69</v>
      </c>
      <c r="F90" s="143">
        <f>VLOOKUP($A90,'Data shares'!$C:$FA,125)</f>
        <v>0.76</v>
      </c>
      <c r="G90" s="143">
        <f>VLOOKUP($A90,'Data shares'!$C:$FA,127)*100</f>
        <v>-9.2100000000000009</v>
      </c>
      <c r="H90" s="103">
        <f>VLOOKUP($A90,'OI(Volume)'!$A$7:$O$427,8)</f>
        <v>36168000</v>
      </c>
      <c r="I90" s="103">
        <f>VLOOKUP($A90,'OI(Volume)'!$A$7:$O$427,9)</f>
        <v>-1906850</v>
      </c>
      <c r="J90" s="103">
        <f>VLOOKUP($A90,'OI(Volume)'!$A$7:$O$427,11)</f>
        <v>21409300</v>
      </c>
      <c r="K90" s="103">
        <f>VLOOKUP($A90,'OI(Volume)'!$A$7:$O$427,12)</f>
        <v>529650</v>
      </c>
      <c r="L90" s="103">
        <f>VLOOKUP($A90,'OI(Value)'!$A$7:$O$306,8,0)</f>
        <v>7248</v>
      </c>
      <c r="M90" s="103">
        <f>VLOOKUP($A90,'OI(Value)'!$A$7:$O$306,9,0)</f>
        <v>-382</v>
      </c>
      <c r="N90" s="103">
        <f>VLOOKUP($A90,'OI(Value)'!$A$7:$O$306,11,0)</f>
        <v>4290</v>
      </c>
      <c r="O90" s="103">
        <f>VLOOKUP($A90,'OI(Value)'!$A$7:$O$306,12,0)</f>
        <v>106</v>
      </c>
      <c r="P90" s="179">
        <f>VLOOKUP(A90,'OI(Value)'!A90:O291,8,0)</f>
        <v>7248</v>
      </c>
      <c r="Q90" s="179">
        <f>VLOOKUP(A90,'OI(Value)'!A90:O291,9,0)</f>
        <v>-382</v>
      </c>
      <c r="R90" s="179">
        <f>VLOOKUP(A90,'OI(Value)'!A90:O291,11,0)</f>
        <v>4290</v>
      </c>
      <c r="S90" s="179">
        <f>VLOOKUP(A90,'OI(Value)'!A90:O291,11,0)</f>
        <v>4290</v>
      </c>
    </row>
    <row r="91" spans="1:19" x14ac:dyDescent="0.25">
      <c r="A91" s="105" t="str">
        <f>'Data shares'!C86</f>
        <v>HDFCLIFE</v>
      </c>
      <c r="B91" s="143">
        <f>VLOOKUP($A91,'Data shares'!$C:$FA,118)</f>
        <v>0.51</v>
      </c>
      <c r="C91" s="143">
        <f>VLOOKUP($A91,'Data shares'!$C:$FA,119)</f>
        <v>0.47</v>
      </c>
      <c r="D91" s="143">
        <f>VLOOKUP($A91,'Data shares'!$C:$FA,121)*100</f>
        <v>8.51</v>
      </c>
      <c r="E91" s="143">
        <f>VLOOKUP($A91,'Data shares'!$C:$FA,124)</f>
        <v>0.38</v>
      </c>
      <c r="F91" s="143">
        <f>VLOOKUP($A91,'Data shares'!$C:$FA,125)</f>
        <v>0.43</v>
      </c>
      <c r="G91" s="143">
        <f>VLOOKUP($A91,'Data shares'!$C:$FA,127)*100</f>
        <v>-11.63</v>
      </c>
      <c r="H91" s="103">
        <f>VLOOKUP($A91,'OI(Volume)'!$A$7:$O$427,8)</f>
        <v>20573300</v>
      </c>
      <c r="I91" s="103">
        <f>VLOOKUP($A91,'OI(Volume)'!$A$7:$O$427,9)</f>
        <v>-3052500</v>
      </c>
      <c r="J91" s="103">
        <f>VLOOKUP($A91,'OI(Volume)'!$A$7:$O$427,11)</f>
        <v>10430200</v>
      </c>
      <c r="K91" s="103">
        <f>VLOOKUP($A91,'OI(Volume)'!$A$7:$O$427,12)</f>
        <v>-655600</v>
      </c>
      <c r="L91" s="103">
        <f>VLOOKUP($A91,'OI(Value)'!$A$7:$O$306,8,0)</f>
        <v>1571</v>
      </c>
      <c r="M91" s="103">
        <f>VLOOKUP($A91,'OI(Value)'!$A$7:$O$306,9,0)</f>
        <v>-233</v>
      </c>
      <c r="N91" s="103">
        <f>VLOOKUP($A91,'OI(Value)'!$A$7:$O$306,11,0)</f>
        <v>797</v>
      </c>
      <c r="O91" s="103">
        <f>VLOOKUP($A91,'OI(Value)'!$A$7:$O$306,12,0)</f>
        <v>-50</v>
      </c>
      <c r="P91" s="179">
        <f>VLOOKUP(A91,'OI(Value)'!A91:O292,8,0)</f>
        <v>1571</v>
      </c>
      <c r="Q91" s="179">
        <f>VLOOKUP(A91,'OI(Value)'!A91:O292,9,0)</f>
        <v>-233</v>
      </c>
      <c r="R91" s="179">
        <f>VLOOKUP(A91,'OI(Value)'!A91:O292,11,0)</f>
        <v>797</v>
      </c>
      <c r="S91" s="179">
        <f>VLOOKUP(A91,'OI(Value)'!A91:O292,11,0)</f>
        <v>797</v>
      </c>
    </row>
    <row r="92" spans="1:19" x14ac:dyDescent="0.25">
      <c r="A92" s="105" t="str">
        <f>'Data shares'!C87</f>
        <v>HEROMOTOCO</v>
      </c>
      <c r="B92" s="143">
        <f>VLOOKUP($A92,'Data shares'!$C:$FA,118)</f>
        <v>0.54</v>
      </c>
      <c r="C92" s="143">
        <f>VLOOKUP($A92,'Data shares'!$C:$FA,119)</f>
        <v>0.57999999999999996</v>
      </c>
      <c r="D92" s="143">
        <f>VLOOKUP($A92,'Data shares'!$C:$FA,121)*100</f>
        <v>-6.9</v>
      </c>
      <c r="E92" s="143">
        <f>VLOOKUP($A92,'Data shares'!$C:$FA,124)</f>
        <v>0.37</v>
      </c>
      <c r="F92" s="143">
        <f>VLOOKUP($A92,'Data shares'!$C:$FA,125)</f>
        <v>0.36</v>
      </c>
      <c r="G92" s="143">
        <f>VLOOKUP($A92,'Data shares'!$C:$FA,127)*100</f>
        <v>2.78</v>
      </c>
      <c r="H92" s="103">
        <f>VLOOKUP($A92,'OI(Volume)'!$A$7:$O$427,8)</f>
        <v>4189350</v>
      </c>
      <c r="I92" s="103">
        <f>VLOOKUP($A92,'OI(Volume)'!$A$7:$O$427,9)</f>
        <v>300150</v>
      </c>
      <c r="J92" s="103">
        <f>VLOOKUP($A92,'OI(Volume)'!$A$7:$O$427,11)</f>
        <v>2267100</v>
      </c>
      <c r="K92" s="103">
        <f>VLOOKUP($A92,'OI(Volume)'!$A$7:$O$427,12)</f>
        <v>-7800</v>
      </c>
      <c r="L92" s="103">
        <f>VLOOKUP($A92,'OI(Value)'!$A$7:$O$306,8,0)</f>
        <v>1786</v>
      </c>
      <c r="M92" s="103">
        <f>VLOOKUP($A92,'OI(Value)'!$A$7:$O$306,9,0)</f>
        <v>128</v>
      </c>
      <c r="N92" s="103">
        <f>VLOOKUP($A92,'OI(Value)'!$A$7:$O$306,11,0)</f>
        <v>966</v>
      </c>
      <c r="O92" s="103">
        <f>VLOOKUP($A92,'OI(Value)'!$A$7:$O$306,12,0)</f>
        <v>-3</v>
      </c>
      <c r="P92" s="179">
        <f>VLOOKUP(A92,'OI(Value)'!A92:O293,8,0)</f>
        <v>1786</v>
      </c>
      <c r="Q92" s="179">
        <f>VLOOKUP(A92,'OI(Value)'!A92:O293,9,0)</f>
        <v>128</v>
      </c>
      <c r="R92" s="179">
        <f>VLOOKUP(A92,'OI(Value)'!A92:O293,11,0)</f>
        <v>966</v>
      </c>
      <c r="S92" s="179">
        <f>VLOOKUP(A92,'OI(Value)'!A92:O293,11,0)</f>
        <v>966</v>
      </c>
    </row>
    <row r="93" spans="1:19" x14ac:dyDescent="0.25">
      <c r="A93" s="105" t="str">
        <f>'Data shares'!C88</f>
        <v>HFCL</v>
      </c>
      <c r="B93" s="143">
        <f>VLOOKUP($A93,'Data shares'!$C:$FA,118)</f>
        <v>0.65</v>
      </c>
      <c r="C93" s="143">
        <f>VLOOKUP($A93,'Data shares'!$C:$FA,119)</f>
        <v>0.64</v>
      </c>
      <c r="D93" s="143">
        <f>VLOOKUP($A93,'Data shares'!$C:$FA,121)*100</f>
        <v>1.5599999999999998</v>
      </c>
      <c r="E93" s="143">
        <f>VLOOKUP($A93,'Data shares'!$C:$FA,124)</f>
        <v>0.41</v>
      </c>
      <c r="F93" s="143">
        <f>VLOOKUP($A93,'Data shares'!$C:$FA,125)</f>
        <v>0.47</v>
      </c>
      <c r="G93" s="143">
        <f>VLOOKUP($A93,'Data shares'!$C:$FA,127)*100</f>
        <v>-12.770000000000001</v>
      </c>
      <c r="H93" s="103">
        <f>VLOOKUP($A93,'OI(Volume)'!$A$7:$O$427,8)</f>
        <v>32624100</v>
      </c>
      <c r="I93" s="103">
        <f>VLOOKUP($A93,'OI(Volume)'!$A$7:$O$427,9)</f>
        <v>335400</v>
      </c>
      <c r="J93" s="103">
        <f>VLOOKUP($A93,'OI(Volume)'!$A$7:$O$427,11)</f>
        <v>21336600</v>
      </c>
      <c r="K93" s="103">
        <f>VLOOKUP($A93,'OI(Volume)'!$A$7:$O$427,12)</f>
        <v>580500</v>
      </c>
      <c r="L93" s="103">
        <f>VLOOKUP($A93,'OI(Value)'!$A$7:$O$306,8,0)</f>
        <v>263</v>
      </c>
      <c r="M93" s="103">
        <f>VLOOKUP($A93,'OI(Value)'!$A$7:$O$306,9,0)</f>
        <v>3</v>
      </c>
      <c r="N93" s="103">
        <f>VLOOKUP($A93,'OI(Value)'!$A$7:$O$306,11,0)</f>
        <v>172</v>
      </c>
      <c r="O93" s="103">
        <f>VLOOKUP($A93,'OI(Value)'!$A$7:$O$306,12,0)</f>
        <v>5</v>
      </c>
      <c r="P93" s="179">
        <f>VLOOKUP(A93,'OI(Value)'!A93:O294,8,0)</f>
        <v>263</v>
      </c>
      <c r="Q93" s="179">
        <f>VLOOKUP(A93,'OI(Value)'!A93:O294,9,0)</f>
        <v>3</v>
      </c>
      <c r="R93" s="179">
        <f>VLOOKUP(A93,'OI(Value)'!A93:O294,11,0)</f>
        <v>172</v>
      </c>
      <c r="S93" s="179">
        <f>VLOOKUP(A93,'OI(Value)'!A93:O294,11,0)</f>
        <v>172</v>
      </c>
    </row>
    <row r="94" spans="1:19" x14ac:dyDescent="0.25">
      <c r="A94" s="105" t="str">
        <f>'Data shares'!C89</f>
        <v>HINDALCO</v>
      </c>
      <c r="B94" s="143">
        <f>VLOOKUP($A94,'Data shares'!$C:$FA,118)</f>
        <v>0.55000000000000004</v>
      </c>
      <c r="C94" s="143">
        <f>VLOOKUP($A94,'Data shares'!$C:$FA,119)</f>
        <v>0.56000000000000005</v>
      </c>
      <c r="D94" s="143">
        <f>VLOOKUP($A94,'Data shares'!$C:$FA,121)*100</f>
        <v>-1.79</v>
      </c>
      <c r="E94" s="143">
        <f>VLOOKUP($A94,'Data shares'!$C:$FA,124)</f>
        <v>0.44</v>
      </c>
      <c r="F94" s="143">
        <f>VLOOKUP($A94,'Data shares'!$C:$FA,125)</f>
        <v>0.5</v>
      </c>
      <c r="G94" s="143">
        <f>VLOOKUP($A94,'Data shares'!$C:$FA,127)*100</f>
        <v>-12</v>
      </c>
      <c r="H94" s="103">
        <f>VLOOKUP($A94,'OI(Volume)'!$A$7:$O$427,8)</f>
        <v>18641000</v>
      </c>
      <c r="I94" s="103">
        <f>VLOOKUP($A94,'OI(Volume)'!$A$7:$O$427,9)</f>
        <v>855400</v>
      </c>
      <c r="J94" s="103">
        <f>VLOOKUP($A94,'OI(Volume)'!$A$7:$O$427,11)</f>
        <v>10255000</v>
      </c>
      <c r="K94" s="103">
        <f>VLOOKUP($A94,'OI(Volume)'!$A$7:$O$427,12)</f>
        <v>338800</v>
      </c>
      <c r="L94" s="103">
        <f>VLOOKUP($A94,'OI(Value)'!$A$7:$O$306,8,0)</f>
        <v>1286</v>
      </c>
      <c r="M94" s="103">
        <f>VLOOKUP($A94,'OI(Value)'!$A$7:$O$306,9,0)</f>
        <v>59</v>
      </c>
      <c r="N94" s="103">
        <f>VLOOKUP($A94,'OI(Value)'!$A$7:$O$306,11,0)</f>
        <v>708</v>
      </c>
      <c r="O94" s="103">
        <f>VLOOKUP($A94,'OI(Value)'!$A$7:$O$306,12,0)</f>
        <v>23</v>
      </c>
      <c r="P94" s="179">
        <f>VLOOKUP(A94,'OI(Value)'!A94:O295,8,0)</f>
        <v>1286</v>
      </c>
      <c r="Q94" s="179">
        <f>VLOOKUP(A94,'OI(Value)'!A94:O295,9,0)</f>
        <v>59</v>
      </c>
      <c r="R94" s="179">
        <f>VLOOKUP(A94,'OI(Value)'!A94:O295,11,0)</f>
        <v>708</v>
      </c>
      <c r="S94" s="179">
        <f>VLOOKUP(A94,'OI(Value)'!A94:O295,11,0)</f>
        <v>708</v>
      </c>
    </row>
    <row r="95" spans="1:19" x14ac:dyDescent="0.25">
      <c r="A95" s="105" t="str">
        <f>'Data shares'!C90</f>
        <v>HINDCOPPER</v>
      </c>
      <c r="B95" s="143">
        <f>VLOOKUP($A95,'Data shares'!$C:$FA,118)</f>
        <v>0.48</v>
      </c>
      <c r="C95" s="143">
        <f>VLOOKUP($A95,'Data shares'!$C:$FA,119)</f>
        <v>0.56000000000000005</v>
      </c>
      <c r="D95" s="143">
        <f>VLOOKUP($A95,'Data shares'!$C:$FA,121)*100</f>
        <v>-14.29</v>
      </c>
      <c r="E95" s="143">
        <f>VLOOKUP($A95,'Data shares'!$C:$FA,124)</f>
        <v>0.38</v>
      </c>
      <c r="F95" s="143">
        <f>VLOOKUP($A95,'Data shares'!$C:$FA,125)</f>
        <v>0.42</v>
      </c>
      <c r="G95" s="143">
        <f>VLOOKUP($A95,'Data shares'!$C:$FA,127)*100</f>
        <v>-9.5200000000000014</v>
      </c>
      <c r="H95" s="103">
        <f>VLOOKUP($A95,'OI(Volume)'!$A$7:$O$427,8)</f>
        <v>12261550</v>
      </c>
      <c r="I95" s="103">
        <f>VLOOKUP($A95,'OI(Volume)'!$A$7:$O$427,9)</f>
        <v>-344500</v>
      </c>
      <c r="J95" s="103">
        <f>VLOOKUP($A95,'OI(Volume)'!$A$7:$O$427,11)</f>
        <v>5922750</v>
      </c>
      <c r="K95" s="103">
        <f>VLOOKUP($A95,'OI(Volume)'!$A$7:$O$427,12)</f>
        <v>-1102400</v>
      </c>
      <c r="L95" s="103">
        <f>VLOOKUP($A95,'OI(Value)'!$A$7:$O$306,8,0)</f>
        <v>335</v>
      </c>
      <c r="M95" s="103">
        <f>VLOOKUP($A95,'OI(Value)'!$A$7:$O$306,9,0)</f>
        <v>-9</v>
      </c>
      <c r="N95" s="103">
        <f>VLOOKUP($A95,'OI(Value)'!$A$7:$O$306,11,0)</f>
        <v>162</v>
      </c>
      <c r="O95" s="103">
        <f>VLOOKUP($A95,'OI(Value)'!$A$7:$O$306,12,0)</f>
        <v>-30</v>
      </c>
      <c r="P95" s="179">
        <f>VLOOKUP(A95,'OI(Value)'!A95:O296,8,0)</f>
        <v>335</v>
      </c>
      <c r="Q95" s="179">
        <f>VLOOKUP(A95,'OI(Value)'!A95:O296,9,0)</f>
        <v>-9</v>
      </c>
      <c r="R95" s="179">
        <f>VLOOKUP(A95,'OI(Value)'!A95:O296,11,0)</f>
        <v>162</v>
      </c>
      <c r="S95" s="179">
        <f>VLOOKUP(A95,'OI(Value)'!A95:O296,11,0)</f>
        <v>162</v>
      </c>
    </row>
    <row r="96" spans="1:19" x14ac:dyDescent="0.25">
      <c r="A96" s="105" t="str">
        <f>'Data shares'!C91</f>
        <v>HINDPETRO</v>
      </c>
      <c r="B96" s="143">
        <f>VLOOKUP($A96,'Data shares'!$C:$FA,118)</f>
        <v>0.69</v>
      </c>
      <c r="C96" s="143">
        <f>VLOOKUP($A96,'Data shares'!$C:$FA,119)</f>
        <v>0.71</v>
      </c>
      <c r="D96" s="143">
        <f>VLOOKUP($A96,'Data shares'!$C:$FA,121)*100</f>
        <v>-2.82</v>
      </c>
      <c r="E96" s="143">
        <f>VLOOKUP($A96,'Data shares'!$C:$FA,124)</f>
        <v>0.57999999999999996</v>
      </c>
      <c r="F96" s="143">
        <f>VLOOKUP($A96,'Data shares'!$C:$FA,125)</f>
        <v>0.72</v>
      </c>
      <c r="G96" s="143">
        <f>VLOOKUP($A96,'Data shares'!$C:$FA,127)*100</f>
        <v>-19.439999999999998</v>
      </c>
      <c r="H96" s="103">
        <f>VLOOKUP($A96,'OI(Volume)'!$A$7:$O$427,8)</f>
        <v>16764975</v>
      </c>
      <c r="I96" s="103">
        <f>VLOOKUP($A96,'OI(Volume)'!$A$7:$O$427,9)</f>
        <v>133650</v>
      </c>
      <c r="J96" s="103">
        <f>VLOOKUP($A96,'OI(Volume)'!$A$7:$O$427,11)</f>
        <v>11518200</v>
      </c>
      <c r="K96" s="103">
        <f>VLOOKUP($A96,'OI(Volume)'!$A$7:$O$427,12)</f>
        <v>-238950</v>
      </c>
      <c r="L96" s="103">
        <f>VLOOKUP($A96,'OI(Value)'!$A$7:$O$306,8,0)</f>
        <v>720</v>
      </c>
      <c r="M96" s="103">
        <f>VLOOKUP($A96,'OI(Value)'!$A$7:$O$306,9,0)</f>
        <v>6</v>
      </c>
      <c r="N96" s="103">
        <f>VLOOKUP($A96,'OI(Value)'!$A$7:$O$306,11,0)</f>
        <v>495</v>
      </c>
      <c r="O96" s="103">
        <f>VLOOKUP($A96,'OI(Value)'!$A$7:$O$306,12,0)</f>
        <v>-10</v>
      </c>
      <c r="P96" s="179">
        <f>VLOOKUP(A96,'OI(Value)'!A96:O297,8,0)</f>
        <v>720</v>
      </c>
      <c r="Q96" s="179">
        <f>VLOOKUP(A96,'OI(Value)'!A96:O297,9,0)</f>
        <v>6</v>
      </c>
      <c r="R96" s="179">
        <f>VLOOKUP(A96,'OI(Value)'!A96:O297,11,0)</f>
        <v>495</v>
      </c>
      <c r="S96" s="179">
        <f>VLOOKUP(A96,'OI(Value)'!A96:O297,11,0)</f>
        <v>495</v>
      </c>
    </row>
    <row r="97" spans="1:19" x14ac:dyDescent="0.25">
      <c r="A97" s="105" t="str">
        <f>'Data shares'!C92</f>
        <v>HINDUNILVR</v>
      </c>
      <c r="B97" s="143">
        <f>VLOOKUP($A97,'Data shares'!$C:$FA,118)</f>
        <v>0.71</v>
      </c>
      <c r="C97" s="143">
        <f>VLOOKUP($A97,'Data shares'!$C:$FA,119)</f>
        <v>0.7</v>
      </c>
      <c r="D97" s="143">
        <f>VLOOKUP($A97,'Data shares'!$C:$FA,121)*100</f>
        <v>1.43</v>
      </c>
      <c r="E97" s="143">
        <f>VLOOKUP($A97,'Data shares'!$C:$FA,124)</f>
        <v>0.47</v>
      </c>
      <c r="F97" s="143">
        <f>VLOOKUP($A97,'Data shares'!$C:$FA,125)</f>
        <v>0.85</v>
      </c>
      <c r="G97" s="143">
        <f>VLOOKUP($A97,'Data shares'!$C:$FA,127)*100</f>
        <v>-44.71</v>
      </c>
      <c r="H97" s="103">
        <f>VLOOKUP($A97,'OI(Volume)'!$A$7:$O$427,8)</f>
        <v>10020000</v>
      </c>
      <c r="I97" s="103">
        <f>VLOOKUP($A97,'OI(Volume)'!$A$7:$O$427,9)</f>
        <v>-138900</v>
      </c>
      <c r="J97" s="103">
        <f>VLOOKUP($A97,'OI(Volume)'!$A$7:$O$427,11)</f>
        <v>7103700</v>
      </c>
      <c r="K97" s="103">
        <f>VLOOKUP($A97,'OI(Volume)'!$A$7:$O$427,12)</f>
        <v>-17700</v>
      </c>
      <c r="L97" s="103">
        <f>VLOOKUP($A97,'OI(Value)'!$A$7:$O$306,8,0)</f>
        <v>2486</v>
      </c>
      <c r="M97" s="103">
        <f>VLOOKUP($A97,'OI(Value)'!$A$7:$O$306,9,0)</f>
        <v>-34</v>
      </c>
      <c r="N97" s="103">
        <f>VLOOKUP($A97,'OI(Value)'!$A$7:$O$306,11,0)</f>
        <v>1762</v>
      </c>
      <c r="O97" s="103">
        <f>VLOOKUP($A97,'OI(Value)'!$A$7:$O$306,12,0)</f>
        <v>-4</v>
      </c>
      <c r="P97" s="179">
        <f>VLOOKUP(A97,'OI(Value)'!A97:O298,8,0)</f>
        <v>2486</v>
      </c>
      <c r="Q97" s="179">
        <f>VLOOKUP(A97,'OI(Value)'!A97:O298,9,0)</f>
        <v>-34</v>
      </c>
      <c r="R97" s="179">
        <f>VLOOKUP(A97,'OI(Value)'!A97:O298,11,0)</f>
        <v>1762</v>
      </c>
      <c r="S97" s="179">
        <f>VLOOKUP(A97,'OI(Value)'!A97:O298,11,0)</f>
        <v>1762</v>
      </c>
    </row>
    <row r="98" spans="1:19" x14ac:dyDescent="0.25">
      <c r="A98" s="105" t="str">
        <f>'Data shares'!C93</f>
        <v>HINDZINC</v>
      </c>
      <c r="B98" s="143">
        <f>VLOOKUP($A98,'Data shares'!$C:$FA,118)</f>
        <v>0.59</v>
      </c>
      <c r="C98" s="143">
        <f>VLOOKUP($A98,'Data shares'!$C:$FA,119)</f>
        <v>0.61</v>
      </c>
      <c r="D98" s="143">
        <f>VLOOKUP($A98,'Data shares'!$C:$FA,121)*100</f>
        <v>-3.2800000000000002</v>
      </c>
      <c r="E98" s="143">
        <f>VLOOKUP($A98,'Data shares'!$C:$FA,124)</f>
        <v>0.51</v>
      </c>
      <c r="F98" s="143">
        <f>VLOOKUP($A98,'Data shares'!$C:$FA,125)</f>
        <v>0.65</v>
      </c>
      <c r="G98" s="143">
        <f>VLOOKUP($A98,'Data shares'!$C:$FA,127)*100</f>
        <v>-21.54</v>
      </c>
      <c r="H98" s="103">
        <f>VLOOKUP($A98,'OI(Volume)'!$A$7:$O$427,8)</f>
        <v>22065925</v>
      </c>
      <c r="I98" s="103">
        <f>VLOOKUP($A98,'OI(Volume)'!$A$7:$O$427,9)</f>
        <v>-531650</v>
      </c>
      <c r="J98" s="103">
        <f>VLOOKUP($A98,'OI(Volume)'!$A$7:$O$427,11)</f>
        <v>12922525</v>
      </c>
      <c r="K98" s="103">
        <f>VLOOKUP($A98,'OI(Volume)'!$A$7:$O$427,12)</f>
        <v>-777875</v>
      </c>
      <c r="L98" s="103">
        <f>VLOOKUP($A98,'OI(Value)'!$A$7:$O$306,8,0)</f>
        <v>978</v>
      </c>
      <c r="M98" s="103">
        <f>VLOOKUP($A98,'OI(Value)'!$A$7:$O$306,9,0)</f>
        <v>-24</v>
      </c>
      <c r="N98" s="103">
        <f>VLOOKUP($A98,'OI(Value)'!$A$7:$O$306,11,0)</f>
        <v>573</v>
      </c>
      <c r="O98" s="103">
        <f>VLOOKUP($A98,'OI(Value)'!$A$7:$O$306,12,0)</f>
        <v>-34</v>
      </c>
      <c r="P98" s="179">
        <f>VLOOKUP(A98,'OI(Value)'!A98:O299,8,0)</f>
        <v>978</v>
      </c>
      <c r="Q98" s="179">
        <f>VLOOKUP(A98,'OI(Value)'!A98:O299,9,0)</f>
        <v>-24</v>
      </c>
      <c r="R98" s="179">
        <f>VLOOKUP(A98,'OI(Value)'!A98:O299,11,0)</f>
        <v>573</v>
      </c>
      <c r="S98" s="179">
        <f>VLOOKUP(A98,'OI(Value)'!A98:O299,11,0)</f>
        <v>573</v>
      </c>
    </row>
    <row r="99" spans="1:19" x14ac:dyDescent="0.25">
      <c r="A99" s="105" t="str">
        <f>'Data shares'!C94</f>
        <v>HUDCO</v>
      </c>
      <c r="B99" s="143">
        <f>VLOOKUP($A99,'Data shares'!$C:$FA,118)</f>
        <v>0.54</v>
      </c>
      <c r="C99" s="143">
        <f>VLOOKUP($A99,'Data shares'!$C:$FA,119)</f>
        <v>0.55000000000000004</v>
      </c>
      <c r="D99" s="143">
        <f>VLOOKUP($A99,'Data shares'!$C:$FA,121)*100</f>
        <v>-1.82</v>
      </c>
      <c r="E99" s="143">
        <f>VLOOKUP($A99,'Data shares'!$C:$FA,124)</f>
        <v>0.45</v>
      </c>
      <c r="F99" s="143">
        <f>VLOOKUP($A99,'Data shares'!$C:$FA,125)</f>
        <v>0.46</v>
      </c>
      <c r="G99" s="143">
        <f>VLOOKUP($A99,'Data shares'!$C:$FA,127)*100</f>
        <v>-2.17</v>
      </c>
      <c r="H99" s="103">
        <f>VLOOKUP($A99,'OI(Volume)'!$A$7:$O$427,8)</f>
        <v>16958025</v>
      </c>
      <c r="I99" s="103">
        <f>VLOOKUP($A99,'OI(Volume)'!$A$7:$O$427,9)</f>
        <v>-391275</v>
      </c>
      <c r="J99" s="103">
        <f>VLOOKUP($A99,'OI(Volume)'!$A$7:$O$427,11)</f>
        <v>9113100</v>
      </c>
      <c r="K99" s="103">
        <f>VLOOKUP($A99,'OI(Volume)'!$A$7:$O$427,12)</f>
        <v>-416250</v>
      </c>
      <c r="L99" s="103">
        <f>VLOOKUP($A99,'OI(Value)'!$A$7:$O$306,8,0)</f>
        <v>382</v>
      </c>
      <c r="M99" s="103">
        <f>VLOOKUP($A99,'OI(Value)'!$A$7:$O$306,9,0)</f>
        <v>-9</v>
      </c>
      <c r="N99" s="103">
        <f>VLOOKUP($A99,'OI(Value)'!$A$7:$O$306,11,0)</f>
        <v>205</v>
      </c>
      <c r="O99" s="103">
        <f>VLOOKUP($A99,'OI(Value)'!$A$7:$O$306,12,0)</f>
        <v>-9</v>
      </c>
      <c r="P99" s="179">
        <f>VLOOKUP(A99,'OI(Value)'!A99:O300,8,0)</f>
        <v>382</v>
      </c>
      <c r="Q99" s="179">
        <f>VLOOKUP(A99,'OI(Value)'!A99:O300,9,0)</f>
        <v>-9</v>
      </c>
      <c r="R99" s="179">
        <f>VLOOKUP(A99,'OI(Value)'!A99:O300,11,0)</f>
        <v>205</v>
      </c>
      <c r="S99" s="179">
        <f>VLOOKUP(A99,'OI(Value)'!A99:O300,11,0)</f>
        <v>205</v>
      </c>
    </row>
    <row r="100" spans="1:19" x14ac:dyDescent="0.25">
      <c r="A100" s="105" t="str">
        <f>'Data shares'!C95</f>
        <v>ICICIBANK</v>
      </c>
      <c r="B100" s="143">
        <f>VLOOKUP($A100,'Data shares'!$C:$FA,118)</f>
        <v>0.89</v>
      </c>
      <c r="C100" s="143">
        <f>VLOOKUP($A100,'Data shares'!$C:$FA,119)</f>
        <v>0.82</v>
      </c>
      <c r="D100" s="143">
        <f>VLOOKUP($A100,'Data shares'!$C:$FA,121)*100</f>
        <v>8.5400000000000009</v>
      </c>
      <c r="E100" s="143">
        <f>VLOOKUP($A100,'Data shares'!$C:$FA,124)</f>
        <v>0.64</v>
      </c>
      <c r="F100" s="143">
        <f>VLOOKUP($A100,'Data shares'!$C:$FA,125)</f>
        <v>0.56000000000000005</v>
      </c>
      <c r="G100" s="143">
        <f>VLOOKUP($A100,'Data shares'!$C:$FA,127)*100</f>
        <v>14.29</v>
      </c>
      <c r="H100" s="103">
        <f>VLOOKUP($A100,'OI(Volume)'!$A$7:$O$427,8)</f>
        <v>24581900</v>
      </c>
      <c r="I100" s="103">
        <f>VLOOKUP($A100,'OI(Volume)'!$A$7:$O$427,9)</f>
        <v>-539700</v>
      </c>
      <c r="J100" s="103">
        <f>VLOOKUP($A100,'OI(Volume)'!$A$7:$O$427,11)</f>
        <v>21929600</v>
      </c>
      <c r="K100" s="103">
        <f>VLOOKUP($A100,'OI(Volume)'!$A$7:$O$427,12)</f>
        <v>1251600</v>
      </c>
      <c r="L100" s="103">
        <f>VLOOKUP($A100,'OI(Value)'!$A$7:$O$306,8,0)</f>
        <v>3624</v>
      </c>
      <c r="M100" s="103">
        <f>VLOOKUP($A100,'OI(Value)'!$A$7:$O$306,9,0)</f>
        <v>-80</v>
      </c>
      <c r="N100" s="103">
        <f>VLOOKUP($A100,'OI(Value)'!$A$7:$O$306,11,0)</f>
        <v>3233</v>
      </c>
      <c r="O100" s="103">
        <f>VLOOKUP($A100,'OI(Value)'!$A$7:$O$306,12,0)</f>
        <v>185</v>
      </c>
      <c r="P100" s="179">
        <f>VLOOKUP(A100,'OI(Value)'!A100:O301,8,0)</f>
        <v>3624</v>
      </c>
      <c r="Q100" s="179">
        <f>VLOOKUP(A100,'OI(Value)'!A100:O301,9,0)</f>
        <v>-80</v>
      </c>
      <c r="R100" s="179">
        <f>VLOOKUP(A100,'OI(Value)'!A100:O301,11,0)</f>
        <v>3233</v>
      </c>
      <c r="S100" s="179">
        <f>VLOOKUP(A100,'OI(Value)'!A100:O301,11,0)</f>
        <v>3233</v>
      </c>
    </row>
    <row r="101" spans="1:19" x14ac:dyDescent="0.25">
      <c r="A101" s="105" t="str">
        <f>'Data shares'!C96</f>
        <v>ICICIGI</v>
      </c>
      <c r="B101" s="143">
        <f>VLOOKUP($A101,'Data shares'!$C:$FA,118)</f>
        <v>0.38</v>
      </c>
      <c r="C101" s="143">
        <f>VLOOKUP($A101,'Data shares'!$C:$FA,119)</f>
        <v>0.37</v>
      </c>
      <c r="D101" s="143">
        <f>VLOOKUP($A101,'Data shares'!$C:$FA,121)*100</f>
        <v>2.7</v>
      </c>
      <c r="E101" s="143">
        <f>VLOOKUP($A101,'Data shares'!$C:$FA,124)</f>
        <v>0.38</v>
      </c>
      <c r="F101" s="143">
        <f>VLOOKUP($A101,'Data shares'!$C:$FA,125)</f>
        <v>0.26</v>
      </c>
      <c r="G101" s="143">
        <f>VLOOKUP($A101,'Data shares'!$C:$FA,127)*100</f>
        <v>46.150000000000006</v>
      </c>
      <c r="H101" s="103">
        <f>VLOOKUP($A101,'OI(Volume)'!$A$7:$O$427,8)</f>
        <v>2910050</v>
      </c>
      <c r="I101" s="103">
        <f>VLOOKUP($A101,'OI(Volume)'!$A$7:$O$427,9)</f>
        <v>-383825</v>
      </c>
      <c r="J101" s="103">
        <f>VLOOKUP($A101,'OI(Volume)'!$A$7:$O$427,11)</f>
        <v>1093950</v>
      </c>
      <c r="K101" s="103">
        <f>VLOOKUP($A101,'OI(Volume)'!$A$7:$O$427,12)</f>
        <v>-120900</v>
      </c>
      <c r="L101" s="103">
        <f>VLOOKUP($A101,'OI(Value)'!$A$7:$O$306,8,0)</f>
        <v>571</v>
      </c>
      <c r="M101" s="103">
        <f>VLOOKUP($A101,'OI(Value)'!$A$7:$O$306,9,0)</f>
        <v>-75</v>
      </c>
      <c r="N101" s="103">
        <f>VLOOKUP($A101,'OI(Value)'!$A$7:$O$306,11,0)</f>
        <v>215</v>
      </c>
      <c r="O101" s="103">
        <f>VLOOKUP($A101,'OI(Value)'!$A$7:$O$306,12,0)</f>
        <v>-24</v>
      </c>
      <c r="P101" s="179">
        <f>VLOOKUP(A101,'OI(Value)'!A101:O302,8,0)</f>
        <v>571</v>
      </c>
      <c r="Q101" s="179">
        <f>VLOOKUP(A101,'OI(Value)'!A101:O302,9,0)</f>
        <v>-75</v>
      </c>
      <c r="R101" s="179">
        <f>VLOOKUP(A101,'OI(Value)'!A101:O302,11,0)</f>
        <v>215</v>
      </c>
      <c r="S101" s="179">
        <f>VLOOKUP(A101,'OI(Value)'!A101:O302,11,0)</f>
        <v>215</v>
      </c>
    </row>
    <row r="102" spans="1:19" x14ac:dyDescent="0.25">
      <c r="A102" s="105" t="str">
        <f>'Data shares'!C97</f>
        <v>ICICIPRULI</v>
      </c>
      <c r="B102" s="143">
        <f>VLOOKUP($A102,'Data shares'!$C:$FA,118)</f>
        <v>0.38</v>
      </c>
      <c r="C102" s="143">
        <f>VLOOKUP($A102,'Data shares'!$C:$FA,119)</f>
        <v>0.39</v>
      </c>
      <c r="D102" s="143">
        <f>VLOOKUP($A102,'Data shares'!$C:$FA,121)*100</f>
        <v>-2.56</v>
      </c>
      <c r="E102" s="143">
        <f>VLOOKUP($A102,'Data shares'!$C:$FA,124)</f>
        <v>0.26</v>
      </c>
      <c r="F102" s="143">
        <f>VLOOKUP($A102,'Data shares'!$C:$FA,125)</f>
        <v>0.3</v>
      </c>
      <c r="G102" s="143">
        <f>VLOOKUP($A102,'Data shares'!$C:$FA,127)*100</f>
        <v>-13.33</v>
      </c>
      <c r="H102" s="103">
        <f>VLOOKUP($A102,'OI(Volume)'!$A$7:$O$427,8)</f>
        <v>8855950</v>
      </c>
      <c r="I102" s="103">
        <f>VLOOKUP($A102,'OI(Volume)'!$A$7:$O$427,9)</f>
        <v>317275</v>
      </c>
      <c r="J102" s="103">
        <f>VLOOKUP($A102,'OI(Volume)'!$A$7:$O$427,11)</f>
        <v>3327225</v>
      </c>
      <c r="K102" s="103">
        <f>VLOOKUP($A102,'OI(Volume)'!$A$7:$O$427,12)</f>
        <v>-5550</v>
      </c>
      <c r="L102" s="103">
        <f>VLOOKUP($A102,'OI(Value)'!$A$7:$O$306,8,0)</f>
        <v>556</v>
      </c>
      <c r="M102" s="103">
        <f>VLOOKUP($A102,'OI(Value)'!$A$7:$O$306,9,0)</f>
        <v>20</v>
      </c>
      <c r="N102" s="103">
        <f>VLOOKUP($A102,'OI(Value)'!$A$7:$O$306,11,0)</f>
        <v>209</v>
      </c>
      <c r="O102" s="103">
        <f>VLOOKUP($A102,'OI(Value)'!$A$7:$O$306,12,0)</f>
        <v>0</v>
      </c>
      <c r="P102" s="179">
        <f>VLOOKUP(A102,'OI(Value)'!A102:O303,8,0)</f>
        <v>556</v>
      </c>
      <c r="Q102" s="179">
        <f>VLOOKUP(A102,'OI(Value)'!A102:O303,9,0)</f>
        <v>20</v>
      </c>
      <c r="R102" s="179">
        <f>VLOOKUP(A102,'OI(Value)'!A102:O303,11,0)</f>
        <v>209</v>
      </c>
      <c r="S102" s="179">
        <f>VLOOKUP(A102,'OI(Value)'!A102:O303,11,0)</f>
        <v>209</v>
      </c>
    </row>
    <row r="103" spans="1:19" x14ac:dyDescent="0.25">
      <c r="A103" s="105" t="str">
        <f>'Data shares'!C98</f>
        <v>IDEA</v>
      </c>
      <c r="B103" s="143">
        <f>VLOOKUP($A103,'Data shares'!$C:$FA,118)</f>
        <v>0.52</v>
      </c>
      <c r="C103" s="143">
        <f>VLOOKUP($A103,'Data shares'!$C:$FA,119)</f>
        <v>0.54</v>
      </c>
      <c r="D103" s="143">
        <f>VLOOKUP($A103,'Data shares'!$C:$FA,121)*100</f>
        <v>-3.6999999999999997</v>
      </c>
      <c r="E103" s="143">
        <f>VLOOKUP($A103,'Data shares'!$C:$FA,124)</f>
        <v>0.16</v>
      </c>
      <c r="F103" s="143">
        <f>VLOOKUP($A103,'Data shares'!$C:$FA,125)</f>
        <v>0.25</v>
      </c>
      <c r="G103" s="143">
        <f>VLOOKUP($A103,'Data shares'!$C:$FA,127)*100</f>
        <v>-36</v>
      </c>
      <c r="H103" s="103">
        <f>VLOOKUP($A103,'OI(Volume)'!$A$7:$O$427,8)</f>
        <v>1432501950</v>
      </c>
      <c r="I103" s="103">
        <f>VLOOKUP($A103,'OI(Volume)'!$A$7:$O$427,9)</f>
        <v>62683575</v>
      </c>
      <c r="J103" s="103">
        <f>VLOOKUP($A103,'OI(Volume)'!$A$7:$O$427,11)</f>
        <v>747842925</v>
      </c>
      <c r="K103" s="103">
        <f>VLOOKUP($A103,'OI(Volume)'!$A$7:$O$427,12)</f>
        <v>12436650</v>
      </c>
      <c r="L103" s="103">
        <f>VLOOKUP($A103,'OI(Value)'!$A$7:$O$306,8,0)</f>
        <v>1059</v>
      </c>
      <c r="M103" s="103">
        <f>VLOOKUP($A103,'OI(Value)'!$A$7:$O$306,9,0)</f>
        <v>46</v>
      </c>
      <c r="N103" s="103">
        <f>VLOOKUP($A103,'OI(Value)'!$A$7:$O$306,11,0)</f>
        <v>553</v>
      </c>
      <c r="O103" s="103">
        <f>VLOOKUP($A103,'OI(Value)'!$A$7:$O$306,12,0)</f>
        <v>9</v>
      </c>
      <c r="P103" s="179">
        <f>VLOOKUP(A103,'OI(Value)'!A103:O304,8,0)</f>
        <v>1059</v>
      </c>
      <c r="Q103" s="179">
        <f>VLOOKUP(A103,'OI(Value)'!A103:O304,9,0)</f>
        <v>46</v>
      </c>
      <c r="R103" s="179">
        <f>VLOOKUP(A103,'OI(Value)'!A103:O304,11,0)</f>
        <v>553</v>
      </c>
      <c r="S103" s="179">
        <f>VLOOKUP(A103,'OI(Value)'!A103:O304,11,0)</f>
        <v>553</v>
      </c>
    </row>
    <row r="104" spans="1:19" x14ac:dyDescent="0.25">
      <c r="A104" s="105" t="str">
        <f>'Data shares'!C99</f>
        <v>IDFCFIRSTB</v>
      </c>
      <c r="B104" s="143">
        <f>VLOOKUP($A104,'Data shares'!$C:$FA,118)</f>
        <v>0.63</v>
      </c>
      <c r="C104" s="143">
        <f>VLOOKUP($A104,'Data shares'!$C:$FA,119)</f>
        <v>0.65</v>
      </c>
      <c r="D104" s="143">
        <f>VLOOKUP($A104,'Data shares'!$C:$FA,121)*100</f>
        <v>-3.08</v>
      </c>
      <c r="E104" s="143">
        <f>VLOOKUP($A104,'Data shares'!$C:$FA,124)</f>
        <v>0.42</v>
      </c>
      <c r="F104" s="143">
        <f>VLOOKUP($A104,'Data shares'!$C:$FA,125)</f>
        <v>0.43</v>
      </c>
      <c r="G104" s="143">
        <f>VLOOKUP($A104,'Data shares'!$C:$FA,127)*100</f>
        <v>-2.33</v>
      </c>
      <c r="H104" s="103">
        <f>VLOOKUP($A104,'OI(Volume)'!$A$7:$O$427,8)</f>
        <v>146823250</v>
      </c>
      <c r="I104" s="103">
        <f>VLOOKUP($A104,'OI(Volume)'!$A$7:$O$427,9)</f>
        <v>4906475</v>
      </c>
      <c r="J104" s="103">
        <f>VLOOKUP($A104,'OI(Volume)'!$A$7:$O$427,11)</f>
        <v>92722175</v>
      </c>
      <c r="K104" s="103">
        <f>VLOOKUP($A104,'OI(Volume)'!$A$7:$O$427,12)</f>
        <v>816200</v>
      </c>
      <c r="L104" s="103">
        <f>VLOOKUP($A104,'OI(Value)'!$A$7:$O$306,8,0)</f>
        <v>1065</v>
      </c>
      <c r="M104" s="103">
        <f>VLOOKUP($A104,'OI(Value)'!$A$7:$O$306,9,0)</f>
        <v>36</v>
      </c>
      <c r="N104" s="103">
        <f>VLOOKUP($A104,'OI(Value)'!$A$7:$O$306,11,0)</f>
        <v>673</v>
      </c>
      <c r="O104" s="103">
        <f>VLOOKUP($A104,'OI(Value)'!$A$7:$O$306,12,0)</f>
        <v>6</v>
      </c>
      <c r="P104" s="179">
        <f>VLOOKUP(A104,'OI(Value)'!A104:O305,8,0)</f>
        <v>1065</v>
      </c>
      <c r="Q104" s="179">
        <f>VLOOKUP(A104,'OI(Value)'!A104:O305,9,0)</f>
        <v>36</v>
      </c>
      <c r="R104" s="179">
        <f>VLOOKUP(A104,'OI(Value)'!A104:O305,11,0)</f>
        <v>673</v>
      </c>
      <c r="S104" s="179">
        <f>VLOOKUP(A104,'OI(Value)'!A104:O305,11,0)</f>
        <v>673</v>
      </c>
    </row>
    <row r="105" spans="1:19" x14ac:dyDescent="0.25">
      <c r="A105" s="105" t="str">
        <f>'Data shares'!C100</f>
        <v>IEX</v>
      </c>
      <c r="B105" s="143">
        <f>VLOOKUP($A105,'Data shares'!$C:$FA,118)</f>
        <v>2.2999999999999998</v>
      </c>
      <c r="C105" s="143">
        <f>VLOOKUP($A105,'Data shares'!$C:$FA,119)</f>
        <v>1.72</v>
      </c>
      <c r="D105" s="143">
        <f>VLOOKUP($A105,'Data shares'!$C:$FA,121)*100</f>
        <v>33.72</v>
      </c>
      <c r="E105" s="143">
        <f>VLOOKUP($A105,'Data shares'!$C:$FA,124)</f>
        <v>2.16</v>
      </c>
      <c r="F105" s="143">
        <f>VLOOKUP($A105,'Data shares'!$C:$FA,125)</f>
        <v>2.61</v>
      </c>
      <c r="G105" s="143">
        <f>VLOOKUP($A105,'Data shares'!$C:$FA,127)*100</f>
        <v>-17.239999999999998</v>
      </c>
      <c r="H105" s="103">
        <f>VLOOKUP($A105,'OI(Volume)'!$A$7:$O$427,8)</f>
        <v>45723750</v>
      </c>
      <c r="I105" s="103">
        <f>VLOOKUP($A105,'OI(Volume)'!$A$7:$O$427,9)</f>
        <v>12315000</v>
      </c>
      <c r="J105" s="103">
        <f>VLOOKUP($A105,'OI(Volume)'!$A$7:$O$427,11)</f>
        <v>105390000</v>
      </c>
      <c r="K105" s="103">
        <f>VLOOKUP($A105,'OI(Volume)'!$A$7:$O$427,12)</f>
        <v>47898750</v>
      </c>
      <c r="L105" s="103">
        <f>VLOOKUP($A105,'OI(Value)'!$A$7:$O$306,8,0)</f>
        <v>881</v>
      </c>
      <c r="M105" s="103">
        <f>VLOOKUP($A105,'OI(Value)'!$A$7:$O$306,9,0)</f>
        <v>237</v>
      </c>
      <c r="N105" s="103">
        <f>VLOOKUP($A105,'OI(Value)'!$A$7:$O$306,11,0)</f>
        <v>2030</v>
      </c>
      <c r="O105" s="103">
        <f>VLOOKUP($A105,'OI(Value)'!$A$7:$O$306,12,0)</f>
        <v>923</v>
      </c>
      <c r="P105" s="179">
        <f>VLOOKUP(A105,'OI(Value)'!A105:O306,8,0)</f>
        <v>881</v>
      </c>
      <c r="Q105" s="179">
        <f>VLOOKUP(A105,'OI(Value)'!A105:O306,9,0)</f>
        <v>237</v>
      </c>
      <c r="R105" s="179">
        <f>VLOOKUP(A105,'OI(Value)'!A105:O306,11,0)</f>
        <v>2030</v>
      </c>
      <c r="S105" s="179">
        <f>VLOOKUP(A105,'OI(Value)'!A105:O306,11,0)</f>
        <v>2030</v>
      </c>
    </row>
    <row r="106" spans="1:19" x14ac:dyDescent="0.25">
      <c r="A106" s="105" t="str">
        <f>'Data shares'!C101</f>
        <v>IGL</v>
      </c>
      <c r="B106" s="143">
        <f>VLOOKUP($A106,'Data shares'!$C:$FA,118)</f>
        <v>0.68</v>
      </c>
      <c r="C106" s="143">
        <f>VLOOKUP($A106,'Data shares'!$C:$FA,119)</f>
        <v>0.61</v>
      </c>
      <c r="D106" s="143">
        <f>VLOOKUP($A106,'Data shares'!$C:$FA,121)*100</f>
        <v>11.48</v>
      </c>
      <c r="E106" s="143">
        <f>VLOOKUP($A106,'Data shares'!$C:$FA,124)</f>
        <v>1.07</v>
      </c>
      <c r="F106" s="143">
        <f>VLOOKUP($A106,'Data shares'!$C:$FA,125)</f>
        <v>1.61</v>
      </c>
      <c r="G106" s="143">
        <f>VLOOKUP($A106,'Data shares'!$C:$FA,127)*100</f>
        <v>-33.54</v>
      </c>
      <c r="H106" s="103">
        <f>VLOOKUP($A106,'OI(Volume)'!$A$7:$O$427,8)</f>
        <v>14971000</v>
      </c>
      <c r="I106" s="103">
        <f>VLOOKUP($A106,'OI(Volume)'!$A$7:$O$427,9)</f>
        <v>519750</v>
      </c>
      <c r="J106" s="103">
        <f>VLOOKUP($A106,'OI(Volume)'!$A$7:$O$427,11)</f>
        <v>10243750</v>
      </c>
      <c r="K106" s="103">
        <f>VLOOKUP($A106,'OI(Volume)'!$A$7:$O$427,12)</f>
        <v>1383250</v>
      </c>
      <c r="L106" s="103">
        <f>VLOOKUP($A106,'OI(Value)'!$A$7:$O$306,8,0)</f>
        <v>320</v>
      </c>
      <c r="M106" s="103">
        <f>VLOOKUP($A106,'OI(Value)'!$A$7:$O$306,9,0)</f>
        <v>11</v>
      </c>
      <c r="N106" s="103">
        <f>VLOOKUP($A106,'OI(Value)'!$A$7:$O$306,11,0)</f>
        <v>219</v>
      </c>
      <c r="O106" s="103">
        <f>VLOOKUP($A106,'OI(Value)'!$A$7:$O$306,12,0)</f>
        <v>30</v>
      </c>
      <c r="P106" s="179">
        <f>VLOOKUP(A106,'OI(Value)'!A106:O307,8,0)</f>
        <v>320</v>
      </c>
      <c r="Q106" s="179">
        <f>VLOOKUP(A106,'OI(Value)'!A106:O307,9,0)</f>
        <v>11</v>
      </c>
      <c r="R106" s="179">
        <f>VLOOKUP(A106,'OI(Value)'!A106:O307,11,0)</f>
        <v>219</v>
      </c>
      <c r="S106" s="179">
        <f>VLOOKUP(A106,'OI(Value)'!A106:O307,11,0)</f>
        <v>219</v>
      </c>
    </row>
    <row r="107" spans="1:19" x14ac:dyDescent="0.25">
      <c r="A107" s="105" t="str">
        <f>'Data shares'!C102</f>
        <v>IIFL</v>
      </c>
      <c r="B107" s="143">
        <f>VLOOKUP($A107,'Data shares'!$C:$FA,118)</f>
        <v>0.8</v>
      </c>
      <c r="C107" s="143">
        <f>VLOOKUP($A107,'Data shares'!$C:$FA,119)</f>
        <v>0.83</v>
      </c>
      <c r="D107" s="143">
        <f>VLOOKUP($A107,'Data shares'!$C:$FA,121)*100</f>
        <v>-3.61</v>
      </c>
      <c r="E107" s="143">
        <f>VLOOKUP($A107,'Data shares'!$C:$FA,124)</f>
        <v>0.72</v>
      </c>
      <c r="F107" s="143">
        <f>VLOOKUP($A107,'Data shares'!$C:$FA,125)</f>
        <v>0.66</v>
      </c>
      <c r="G107" s="143">
        <f>VLOOKUP($A107,'Data shares'!$C:$FA,127)*100</f>
        <v>9.09</v>
      </c>
      <c r="H107" s="103">
        <f>VLOOKUP($A107,'OI(Volume)'!$A$7:$O$427,8)</f>
        <v>4060650</v>
      </c>
      <c r="I107" s="103">
        <f>VLOOKUP($A107,'OI(Volume)'!$A$7:$O$427,9)</f>
        <v>-297000</v>
      </c>
      <c r="J107" s="103">
        <f>VLOOKUP($A107,'OI(Volume)'!$A$7:$O$427,11)</f>
        <v>3255450</v>
      </c>
      <c r="K107" s="103">
        <f>VLOOKUP($A107,'OI(Volume)'!$A$7:$O$427,12)</f>
        <v>-367950</v>
      </c>
      <c r="L107" s="103">
        <f>VLOOKUP($A107,'OI(Value)'!$A$7:$O$306,8,0)</f>
        <v>215</v>
      </c>
      <c r="M107" s="103">
        <f>VLOOKUP($A107,'OI(Value)'!$A$7:$O$306,9,0)</f>
        <v>-16</v>
      </c>
      <c r="N107" s="103">
        <f>VLOOKUP($A107,'OI(Value)'!$A$7:$O$306,11,0)</f>
        <v>173</v>
      </c>
      <c r="O107" s="103">
        <f>VLOOKUP($A107,'OI(Value)'!$A$7:$O$306,12,0)</f>
        <v>-20</v>
      </c>
      <c r="P107" s="179">
        <f>VLOOKUP(A107,'OI(Value)'!A107:O308,8,0)</f>
        <v>215</v>
      </c>
      <c r="Q107" s="179">
        <f>VLOOKUP(A107,'OI(Value)'!A107:O308,9,0)</f>
        <v>-16</v>
      </c>
      <c r="R107" s="179">
        <f>VLOOKUP(A107,'OI(Value)'!A107:O308,11,0)</f>
        <v>173</v>
      </c>
      <c r="S107" s="179">
        <f>VLOOKUP(A107,'OI(Value)'!A107:O308,11,0)</f>
        <v>173</v>
      </c>
    </row>
    <row r="108" spans="1:19" x14ac:dyDescent="0.25">
      <c r="A108" s="105" t="str">
        <f>'Data shares'!C103</f>
        <v>INDHOTEL</v>
      </c>
      <c r="B108" s="143">
        <f>VLOOKUP($A108,'Data shares'!$C:$FA,118)</f>
        <v>0.62</v>
      </c>
      <c r="C108" s="143">
        <f>VLOOKUP($A108,'Data shares'!$C:$FA,119)</f>
        <v>0.68</v>
      </c>
      <c r="D108" s="143">
        <f>VLOOKUP($A108,'Data shares'!$C:$FA,121)*100</f>
        <v>-8.82</v>
      </c>
      <c r="E108" s="143">
        <f>VLOOKUP($A108,'Data shares'!$C:$FA,124)</f>
        <v>0.49</v>
      </c>
      <c r="F108" s="143">
        <f>VLOOKUP($A108,'Data shares'!$C:$FA,125)</f>
        <v>0.46</v>
      </c>
      <c r="G108" s="143">
        <f>VLOOKUP($A108,'Data shares'!$C:$FA,127)*100</f>
        <v>6.52</v>
      </c>
      <c r="H108" s="103">
        <f>VLOOKUP($A108,'OI(Volume)'!$A$7:$O$427,8)</f>
        <v>11053000</v>
      </c>
      <c r="I108" s="103">
        <f>VLOOKUP($A108,'OI(Volume)'!$A$7:$O$427,9)</f>
        <v>561000</v>
      </c>
      <c r="J108" s="103">
        <f>VLOOKUP($A108,'OI(Volume)'!$A$7:$O$427,11)</f>
        <v>6859000</v>
      </c>
      <c r="K108" s="103">
        <f>VLOOKUP($A108,'OI(Volume)'!$A$7:$O$427,12)</f>
        <v>-249000</v>
      </c>
      <c r="L108" s="103">
        <f>VLOOKUP($A108,'OI(Value)'!$A$7:$O$306,8,0)</f>
        <v>837</v>
      </c>
      <c r="M108" s="103">
        <f>VLOOKUP($A108,'OI(Value)'!$A$7:$O$306,9,0)</f>
        <v>42</v>
      </c>
      <c r="N108" s="103">
        <f>VLOOKUP($A108,'OI(Value)'!$A$7:$O$306,11,0)</f>
        <v>520</v>
      </c>
      <c r="O108" s="103">
        <f>VLOOKUP($A108,'OI(Value)'!$A$7:$O$306,12,0)</f>
        <v>-19</v>
      </c>
      <c r="P108" s="179">
        <f>VLOOKUP(A108,'OI(Value)'!A108:O309,8,0)</f>
        <v>837</v>
      </c>
      <c r="Q108" s="179">
        <f>VLOOKUP(A108,'OI(Value)'!A108:O309,9,0)</f>
        <v>42</v>
      </c>
      <c r="R108" s="179">
        <f>VLOOKUP(A108,'OI(Value)'!A108:O309,11,0)</f>
        <v>520</v>
      </c>
      <c r="S108" s="179">
        <f>VLOOKUP(A108,'OI(Value)'!A108:O309,11,0)</f>
        <v>520</v>
      </c>
    </row>
    <row r="109" spans="1:19" x14ac:dyDescent="0.25">
      <c r="A109" s="105" t="str">
        <f>'Data shares'!C104</f>
        <v>INDIANB</v>
      </c>
      <c r="B109" s="143">
        <f>VLOOKUP($A109,'Data shares'!$C:$FA,118)</f>
        <v>0.67</v>
      </c>
      <c r="C109" s="143">
        <f>VLOOKUP($A109,'Data shares'!$C:$FA,119)</f>
        <v>0.66</v>
      </c>
      <c r="D109" s="143">
        <f>VLOOKUP($A109,'Data shares'!$C:$FA,121)*100</f>
        <v>1.52</v>
      </c>
      <c r="E109" s="143">
        <f>VLOOKUP($A109,'Data shares'!$C:$FA,124)</f>
        <v>0.54</v>
      </c>
      <c r="F109" s="143">
        <f>VLOOKUP($A109,'Data shares'!$C:$FA,125)</f>
        <v>0.51</v>
      </c>
      <c r="G109" s="143">
        <f>VLOOKUP($A109,'Data shares'!$C:$FA,127)*100</f>
        <v>5.88</v>
      </c>
      <c r="H109" s="103">
        <f>VLOOKUP($A109,'OI(Volume)'!$A$7:$O$427,8)</f>
        <v>2731000</v>
      </c>
      <c r="I109" s="103">
        <f>VLOOKUP($A109,'OI(Volume)'!$A$7:$O$427,9)</f>
        <v>-41000</v>
      </c>
      <c r="J109" s="103">
        <f>VLOOKUP($A109,'OI(Volume)'!$A$7:$O$427,11)</f>
        <v>1836000</v>
      </c>
      <c r="K109" s="103">
        <f>VLOOKUP($A109,'OI(Volume)'!$A$7:$O$427,12)</f>
        <v>14000</v>
      </c>
      <c r="L109" s="103">
        <f>VLOOKUP($A109,'OI(Value)'!$A$7:$O$306,8,0)</f>
        <v>172</v>
      </c>
      <c r="M109" s="103">
        <f>VLOOKUP($A109,'OI(Value)'!$A$7:$O$306,9,0)</f>
        <v>-3</v>
      </c>
      <c r="N109" s="103">
        <f>VLOOKUP($A109,'OI(Value)'!$A$7:$O$306,11,0)</f>
        <v>115</v>
      </c>
      <c r="O109" s="103">
        <f>VLOOKUP($A109,'OI(Value)'!$A$7:$O$306,12,0)</f>
        <v>1</v>
      </c>
      <c r="P109" s="179">
        <f>VLOOKUP(A109,'OI(Value)'!A109:O310,8,0)</f>
        <v>172</v>
      </c>
      <c r="Q109" s="179">
        <f>VLOOKUP(A109,'OI(Value)'!A109:O310,9,0)</f>
        <v>-3</v>
      </c>
      <c r="R109" s="179">
        <f>VLOOKUP(A109,'OI(Value)'!A109:O310,11,0)</f>
        <v>115</v>
      </c>
      <c r="S109" s="179">
        <f>VLOOKUP(A109,'OI(Value)'!A109:O310,11,0)</f>
        <v>115</v>
      </c>
    </row>
    <row r="110" spans="1:19" x14ac:dyDescent="0.25">
      <c r="A110" s="105" t="str">
        <f>'Data shares'!C105</f>
        <v>INDIAVIX</v>
      </c>
      <c r="B110" s="143">
        <f>VLOOKUP($A110,'Data shares'!$C:$FA,118)</f>
        <v>0</v>
      </c>
      <c r="C110" s="143">
        <f>VLOOKUP($A110,'Data shares'!$C:$FA,119)</f>
        <v>0</v>
      </c>
      <c r="D110" s="143">
        <f>VLOOKUP($A110,'Data shares'!$C:$FA,121)*100</f>
        <v>0</v>
      </c>
      <c r="E110" s="143">
        <f>VLOOKUP($A110,'Data shares'!$C:$FA,124)</f>
        <v>0</v>
      </c>
      <c r="F110" s="143">
        <f>VLOOKUP($A110,'Data shares'!$C:$FA,125)</f>
        <v>0</v>
      </c>
      <c r="G110" s="143">
        <f>VLOOKUP($A110,'Data shares'!$C:$FA,127)*100</f>
        <v>0</v>
      </c>
      <c r="H110" s="103">
        <f>VLOOKUP($A110,'OI(Volume)'!$A$7:$O$427,8)</f>
        <v>0</v>
      </c>
      <c r="I110" s="103">
        <f>VLOOKUP($A110,'OI(Volume)'!$A$7:$O$427,9)</f>
        <v>0</v>
      </c>
      <c r="J110" s="103">
        <f>VLOOKUP($A110,'OI(Volume)'!$A$7:$O$427,11)</f>
        <v>0</v>
      </c>
      <c r="K110" s="103">
        <f>VLOOKUP($A110,'OI(Volume)'!$A$7:$O$427,12)</f>
        <v>0</v>
      </c>
      <c r="L110" s="103">
        <f>VLOOKUP($A110,'OI(Value)'!$A$7:$O$306,8,0)</f>
        <v>0</v>
      </c>
      <c r="M110" s="103">
        <f>VLOOKUP($A110,'OI(Value)'!$A$7:$O$306,9,0)</f>
        <v>0</v>
      </c>
      <c r="N110" s="103">
        <f>VLOOKUP($A110,'OI(Value)'!$A$7:$O$306,11,0)</f>
        <v>0</v>
      </c>
      <c r="O110" s="103">
        <f>VLOOKUP($A110,'OI(Value)'!$A$7:$O$306,12,0)</f>
        <v>0</v>
      </c>
      <c r="P110" s="179">
        <f>VLOOKUP(A110,'OI(Value)'!A110:O311,8,0)</f>
        <v>0</v>
      </c>
      <c r="Q110" s="179">
        <f>VLOOKUP(A110,'OI(Value)'!A110:O311,9,0)</f>
        <v>0</v>
      </c>
      <c r="R110" s="179">
        <f>VLOOKUP(A110,'OI(Value)'!A110:O311,11,0)</f>
        <v>0</v>
      </c>
      <c r="S110" s="179">
        <f>VLOOKUP(A110,'OI(Value)'!A110:O311,11,0)</f>
        <v>0</v>
      </c>
    </row>
    <row r="111" spans="1:19" x14ac:dyDescent="0.25">
      <c r="A111" s="105" t="str">
        <f>'Data shares'!C106</f>
        <v>INDIGO</v>
      </c>
      <c r="B111" s="143">
        <f>VLOOKUP($A111,'Data shares'!$C:$FA,118)</f>
        <v>0.82</v>
      </c>
      <c r="C111" s="143">
        <f>VLOOKUP($A111,'Data shares'!$C:$FA,119)</f>
        <v>0.79</v>
      </c>
      <c r="D111" s="143">
        <f>VLOOKUP($A111,'Data shares'!$C:$FA,121)*100</f>
        <v>3.8</v>
      </c>
      <c r="E111" s="143">
        <f>VLOOKUP($A111,'Data shares'!$C:$FA,124)</f>
        <v>0.41</v>
      </c>
      <c r="F111" s="143">
        <f>VLOOKUP($A111,'Data shares'!$C:$FA,125)</f>
        <v>0.49</v>
      </c>
      <c r="G111" s="143">
        <f>VLOOKUP($A111,'Data shares'!$C:$FA,127)*100</f>
        <v>-16.329999999999998</v>
      </c>
      <c r="H111" s="103">
        <f>VLOOKUP($A111,'OI(Volume)'!$A$7:$O$427,8)</f>
        <v>3321900</v>
      </c>
      <c r="I111" s="103">
        <f>VLOOKUP($A111,'OI(Volume)'!$A$7:$O$427,9)</f>
        <v>-36000</v>
      </c>
      <c r="J111" s="103">
        <f>VLOOKUP($A111,'OI(Volume)'!$A$7:$O$427,11)</f>
        <v>2714400</v>
      </c>
      <c r="K111" s="103">
        <f>VLOOKUP($A111,'OI(Volume)'!$A$7:$O$427,12)</f>
        <v>49650</v>
      </c>
      <c r="L111" s="103">
        <f>VLOOKUP($A111,'OI(Value)'!$A$7:$O$306,8,0)</f>
        <v>1973</v>
      </c>
      <c r="M111" s="103">
        <f>VLOOKUP($A111,'OI(Value)'!$A$7:$O$306,9,0)</f>
        <v>-21</v>
      </c>
      <c r="N111" s="103">
        <f>VLOOKUP($A111,'OI(Value)'!$A$7:$O$306,11,0)</f>
        <v>1612</v>
      </c>
      <c r="O111" s="103">
        <f>VLOOKUP($A111,'OI(Value)'!$A$7:$O$306,12,0)</f>
        <v>29</v>
      </c>
      <c r="P111" s="179">
        <f>VLOOKUP(A111,'OI(Value)'!A111:O312,8,0)</f>
        <v>1973</v>
      </c>
      <c r="Q111" s="179">
        <f>VLOOKUP(A111,'OI(Value)'!A111:O312,9,0)</f>
        <v>-21</v>
      </c>
      <c r="R111" s="179">
        <f>VLOOKUP(A111,'OI(Value)'!A111:O312,11,0)</f>
        <v>1612</v>
      </c>
      <c r="S111" s="179">
        <f>VLOOKUP(A111,'OI(Value)'!A111:O312,11,0)</f>
        <v>1612</v>
      </c>
    </row>
    <row r="112" spans="1:19" x14ac:dyDescent="0.25">
      <c r="A112" s="105" t="str">
        <f>'Data shares'!C107</f>
        <v>INDUSINDBK</v>
      </c>
      <c r="B112" s="143">
        <f>VLOOKUP($A112,'Data shares'!$C:$FA,118)</f>
        <v>0.52</v>
      </c>
      <c r="C112" s="143">
        <f>VLOOKUP($A112,'Data shares'!$C:$FA,119)</f>
        <v>0.56000000000000005</v>
      </c>
      <c r="D112" s="143">
        <f>VLOOKUP($A112,'Data shares'!$C:$FA,121)*100</f>
        <v>-7.1400000000000006</v>
      </c>
      <c r="E112" s="143">
        <f>VLOOKUP($A112,'Data shares'!$C:$FA,124)</f>
        <v>0.67</v>
      </c>
      <c r="F112" s="143">
        <f>VLOOKUP($A112,'Data shares'!$C:$FA,125)</f>
        <v>0.75</v>
      </c>
      <c r="G112" s="143">
        <f>VLOOKUP($A112,'Data shares'!$C:$FA,127)*100</f>
        <v>-10.67</v>
      </c>
      <c r="H112" s="103">
        <f>VLOOKUP($A112,'OI(Volume)'!$A$7:$O$427,8)</f>
        <v>20682200</v>
      </c>
      <c r="I112" s="103">
        <f>VLOOKUP($A112,'OI(Volume)'!$A$7:$O$427,9)</f>
        <v>1374800</v>
      </c>
      <c r="J112" s="103">
        <f>VLOOKUP($A112,'OI(Volume)'!$A$7:$O$427,11)</f>
        <v>10781400</v>
      </c>
      <c r="K112" s="103">
        <f>VLOOKUP($A112,'OI(Volume)'!$A$7:$O$427,12)</f>
        <v>-102200</v>
      </c>
      <c r="L112" s="103">
        <f>VLOOKUP($A112,'OI(Value)'!$A$7:$O$306,8,0)</f>
        <v>1748</v>
      </c>
      <c r="M112" s="103">
        <f>VLOOKUP($A112,'OI(Value)'!$A$7:$O$306,9,0)</f>
        <v>116</v>
      </c>
      <c r="N112" s="103">
        <f>VLOOKUP($A112,'OI(Value)'!$A$7:$O$306,11,0)</f>
        <v>911</v>
      </c>
      <c r="O112" s="103">
        <f>VLOOKUP($A112,'OI(Value)'!$A$7:$O$306,12,0)</f>
        <v>-9</v>
      </c>
      <c r="P112" s="179">
        <f>VLOOKUP(A112,'OI(Value)'!A112:O313,8,0)</f>
        <v>1748</v>
      </c>
      <c r="Q112" s="179">
        <f>VLOOKUP(A112,'OI(Value)'!A112:O313,9,0)</f>
        <v>116</v>
      </c>
      <c r="R112" s="179">
        <f>VLOOKUP(A112,'OI(Value)'!A112:O313,11,0)</f>
        <v>911</v>
      </c>
      <c r="S112" s="179">
        <f>VLOOKUP(A112,'OI(Value)'!A112:O313,11,0)</f>
        <v>911</v>
      </c>
    </row>
    <row r="113" spans="1:19" x14ac:dyDescent="0.25">
      <c r="A113" s="105" t="str">
        <f>'Data shares'!C108</f>
        <v>INDUSTOWER</v>
      </c>
      <c r="B113" s="143">
        <f>VLOOKUP($A113,'Data shares'!$C:$FA,118)</f>
        <v>0.57999999999999996</v>
      </c>
      <c r="C113" s="143">
        <f>VLOOKUP($A113,'Data shares'!$C:$FA,119)</f>
        <v>0.56999999999999995</v>
      </c>
      <c r="D113" s="143">
        <f>VLOOKUP($A113,'Data shares'!$C:$FA,121)*100</f>
        <v>1.7500000000000002</v>
      </c>
      <c r="E113" s="143">
        <f>VLOOKUP($A113,'Data shares'!$C:$FA,124)</f>
        <v>0.43</v>
      </c>
      <c r="F113" s="143">
        <f>VLOOKUP($A113,'Data shares'!$C:$FA,125)</f>
        <v>0.42</v>
      </c>
      <c r="G113" s="143">
        <f>VLOOKUP($A113,'Data shares'!$C:$FA,127)*100</f>
        <v>2.3800000000000003</v>
      </c>
      <c r="H113" s="103">
        <f>VLOOKUP($A113,'OI(Volume)'!$A$7:$O$427,8)</f>
        <v>16204400</v>
      </c>
      <c r="I113" s="103">
        <f>VLOOKUP($A113,'OI(Volume)'!$A$7:$O$427,9)</f>
        <v>280500</v>
      </c>
      <c r="J113" s="103">
        <f>VLOOKUP($A113,'OI(Volume)'!$A$7:$O$427,11)</f>
        <v>9395900</v>
      </c>
      <c r="K113" s="103">
        <f>VLOOKUP($A113,'OI(Volume)'!$A$7:$O$427,12)</f>
        <v>326400</v>
      </c>
      <c r="L113" s="103">
        <f>VLOOKUP($A113,'OI(Value)'!$A$7:$O$306,8,0)</f>
        <v>643</v>
      </c>
      <c r="M113" s="103">
        <f>VLOOKUP($A113,'OI(Value)'!$A$7:$O$306,9,0)</f>
        <v>11</v>
      </c>
      <c r="N113" s="103">
        <f>VLOOKUP($A113,'OI(Value)'!$A$7:$O$306,11,0)</f>
        <v>373</v>
      </c>
      <c r="O113" s="103">
        <f>VLOOKUP($A113,'OI(Value)'!$A$7:$O$306,12,0)</f>
        <v>13</v>
      </c>
      <c r="P113" s="179">
        <f>VLOOKUP(A113,'OI(Value)'!A113:O314,8,0)</f>
        <v>643</v>
      </c>
      <c r="Q113" s="179">
        <f>VLOOKUP(A113,'OI(Value)'!A113:O314,9,0)</f>
        <v>11</v>
      </c>
      <c r="R113" s="179">
        <f>VLOOKUP(A113,'OI(Value)'!A113:O314,11,0)</f>
        <v>373</v>
      </c>
      <c r="S113" s="179">
        <f>VLOOKUP(A113,'OI(Value)'!A113:O314,11,0)</f>
        <v>373</v>
      </c>
    </row>
    <row r="114" spans="1:19" x14ac:dyDescent="0.25">
      <c r="A114" s="105" t="str">
        <f>'Data shares'!C109</f>
        <v>INFY</v>
      </c>
      <c r="B114" s="143">
        <f>VLOOKUP($A114,'Data shares'!$C:$FA,118)</f>
        <v>0.53</v>
      </c>
      <c r="C114" s="143">
        <f>VLOOKUP($A114,'Data shares'!$C:$FA,119)</f>
        <v>0.52</v>
      </c>
      <c r="D114" s="143">
        <f>VLOOKUP($A114,'Data shares'!$C:$FA,121)*100</f>
        <v>1.92</v>
      </c>
      <c r="E114" s="143">
        <f>VLOOKUP($A114,'Data shares'!$C:$FA,124)</f>
        <v>0.55000000000000004</v>
      </c>
      <c r="F114" s="143">
        <f>VLOOKUP($A114,'Data shares'!$C:$FA,125)</f>
        <v>0.53</v>
      </c>
      <c r="G114" s="143">
        <f>VLOOKUP($A114,'Data shares'!$C:$FA,127)*100</f>
        <v>3.7699999999999996</v>
      </c>
      <c r="H114" s="103">
        <f>VLOOKUP($A114,'OI(Volume)'!$A$7:$O$427,8)</f>
        <v>28663200</v>
      </c>
      <c r="I114" s="103">
        <f>VLOOKUP($A114,'OI(Volume)'!$A$7:$O$427,9)</f>
        <v>2165600</v>
      </c>
      <c r="J114" s="103">
        <f>VLOOKUP($A114,'OI(Volume)'!$A$7:$O$427,11)</f>
        <v>15308000</v>
      </c>
      <c r="K114" s="103">
        <f>VLOOKUP($A114,'OI(Volume)'!$A$7:$O$427,12)</f>
        <v>1401200</v>
      </c>
      <c r="L114" s="103">
        <f>VLOOKUP($A114,'OI(Value)'!$A$7:$O$306,8,0)</f>
        <v>4519</v>
      </c>
      <c r="M114" s="103">
        <f>VLOOKUP($A114,'OI(Value)'!$A$7:$O$306,9,0)</f>
        <v>341</v>
      </c>
      <c r="N114" s="103">
        <f>VLOOKUP($A114,'OI(Value)'!$A$7:$O$306,11,0)</f>
        <v>2413</v>
      </c>
      <c r="O114" s="103">
        <f>VLOOKUP($A114,'OI(Value)'!$A$7:$O$306,12,0)</f>
        <v>221</v>
      </c>
      <c r="P114" s="179">
        <f>VLOOKUP(A114,'OI(Value)'!A114:O315,8,0)</f>
        <v>4519</v>
      </c>
      <c r="Q114" s="179">
        <f>VLOOKUP(A114,'OI(Value)'!A114:O315,9,0)</f>
        <v>341</v>
      </c>
      <c r="R114" s="179">
        <f>VLOOKUP(A114,'OI(Value)'!A114:O315,11,0)</f>
        <v>2413</v>
      </c>
      <c r="S114" s="179">
        <f>VLOOKUP(A114,'OI(Value)'!A114:O315,11,0)</f>
        <v>2413</v>
      </c>
    </row>
    <row r="115" spans="1:19" x14ac:dyDescent="0.25">
      <c r="A115" s="105" t="str">
        <f>'Data shares'!C110</f>
        <v>INOXWIND</v>
      </c>
      <c r="B115" s="143">
        <f>VLOOKUP($A115,'Data shares'!$C:$FA,118)</f>
        <v>0.52</v>
      </c>
      <c r="C115" s="143">
        <f>VLOOKUP($A115,'Data shares'!$C:$FA,119)</f>
        <v>0.46</v>
      </c>
      <c r="D115" s="143">
        <f>VLOOKUP($A115,'Data shares'!$C:$FA,121)*100</f>
        <v>13.04</v>
      </c>
      <c r="E115" s="143">
        <f>VLOOKUP($A115,'Data shares'!$C:$FA,124)</f>
        <v>0.88</v>
      </c>
      <c r="F115" s="143">
        <f>VLOOKUP($A115,'Data shares'!$C:$FA,125)</f>
        <v>0.53</v>
      </c>
      <c r="G115" s="143">
        <f>VLOOKUP($A115,'Data shares'!$C:$FA,127)*100</f>
        <v>66.039999999999992</v>
      </c>
      <c r="H115" s="103">
        <f>VLOOKUP($A115,'OI(Volume)'!$A$7:$O$427,8)</f>
        <v>18975900</v>
      </c>
      <c r="I115" s="103">
        <f>VLOOKUP($A115,'OI(Volume)'!$A$7:$O$427,9)</f>
        <v>-1077150</v>
      </c>
      <c r="J115" s="103">
        <f>VLOOKUP($A115,'OI(Volume)'!$A$7:$O$427,11)</f>
        <v>9881400</v>
      </c>
      <c r="K115" s="103">
        <f>VLOOKUP($A115,'OI(Volume)'!$A$7:$O$427,12)</f>
        <v>625650</v>
      </c>
      <c r="L115" s="103">
        <f>VLOOKUP($A115,'OI(Value)'!$A$7:$O$306,8,0)</f>
        <v>315</v>
      </c>
      <c r="M115" s="103">
        <f>VLOOKUP($A115,'OI(Value)'!$A$7:$O$306,9,0)</f>
        <v>-18</v>
      </c>
      <c r="N115" s="103">
        <f>VLOOKUP($A115,'OI(Value)'!$A$7:$O$306,11,0)</f>
        <v>164</v>
      </c>
      <c r="O115" s="103">
        <f>VLOOKUP($A115,'OI(Value)'!$A$7:$O$306,12,0)</f>
        <v>10</v>
      </c>
      <c r="P115" s="179">
        <f>VLOOKUP(A115,'OI(Value)'!A115:O316,8,0)</f>
        <v>315</v>
      </c>
      <c r="Q115" s="179">
        <f>VLOOKUP(A115,'OI(Value)'!A115:O316,9,0)</f>
        <v>-18</v>
      </c>
      <c r="R115" s="179">
        <f>VLOOKUP(A115,'OI(Value)'!A115:O316,11,0)</f>
        <v>164</v>
      </c>
      <c r="S115" s="179">
        <f>VLOOKUP(A115,'OI(Value)'!A115:O316,11,0)</f>
        <v>164</v>
      </c>
    </row>
    <row r="116" spans="1:19" x14ac:dyDescent="0.25">
      <c r="A116" s="105" t="str">
        <f>'Data shares'!C111</f>
        <v>IOC</v>
      </c>
      <c r="B116" s="143">
        <f>VLOOKUP($A116,'Data shares'!$C:$FA,118)</f>
        <v>0.69</v>
      </c>
      <c r="C116" s="143">
        <f>VLOOKUP($A116,'Data shares'!$C:$FA,119)</f>
        <v>0.68</v>
      </c>
      <c r="D116" s="143">
        <f>VLOOKUP($A116,'Data shares'!$C:$FA,121)*100</f>
        <v>1.47</v>
      </c>
      <c r="E116" s="143">
        <f>VLOOKUP($A116,'Data shares'!$C:$FA,124)</f>
        <v>0.75</v>
      </c>
      <c r="F116" s="143">
        <f>VLOOKUP($A116,'Data shares'!$C:$FA,125)</f>
        <v>0.56999999999999995</v>
      </c>
      <c r="G116" s="143">
        <f>VLOOKUP($A116,'Data shares'!$C:$FA,127)*100</f>
        <v>31.580000000000002</v>
      </c>
      <c r="H116" s="103">
        <f>VLOOKUP($A116,'OI(Volume)'!$A$7:$O$427,8)</f>
        <v>67435875</v>
      </c>
      <c r="I116" s="103">
        <f>VLOOKUP($A116,'OI(Volume)'!$A$7:$O$427,9)</f>
        <v>-214500</v>
      </c>
      <c r="J116" s="103">
        <f>VLOOKUP($A116,'OI(Volume)'!$A$7:$O$427,11)</f>
        <v>46546500</v>
      </c>
      <c r="K116" s="103">
        <f>VLOOKUP($A116,'OI(Volume)'!$A$7:$O$427,12)</f>
        <v>419250</v>
      </c>
      <c r="L116" s="103">
        <f>VLOOKUP($A116,'OI(Value)'!$A$7:$O$306,8,0)</f>
        <v>1025</v>
      </c>
      <c r="M116" s="103">
        <f>VLOOKUP($A116,'OI(Value)'!$A$7:$O$306,9,0)</f>
        <v>-3</v>
      </c>
      <c r="N116" s="103">
        <f>VLOOKUP($A116,'OI(Value)'!$A$7:$O$306,11,0)</f>
        <v>708</v>
      </c>
      <c r="O116" s="103">
        <f>VLOOKUP($A116,'OI(Value)'!$A$7:$O$306,12,0)</f>
        <v>6</v>
      </c>
      <c r="P116" s="179">
        <f>VLOOKUP(A116,'OI(Value)'!A116:O317,8,0)</f>
        <v>1025</v>
      </c>
      <c r="Q116" s="179">
        <f>VLOOKUP(A116,'OI(Value)'!A116:O317,9,0)</f>
        <v>-3</v>
      </c>
      <c r="R116" s="179">
        <f>VLOOKUP(A116,'OI(Value)'!A116:O317,11,0)</f>
        <v>708</v>
      </c>
      <c r="S116" s="179">
        <f>VLOOKUP(A116,'OI(Value)'!A116:O317,11,0)</f>
        <v>708</v>
      </c>
    </row>
    <row r="117" spans="1:19" x14ac:dyDescent="0.25">
      <c r="A117" s="105" t="str">
        <f>'Data shares'!C112</f>
        <v>IRB</v>
      </c>
      <c r="B117" s="143">
        <f>VLOOKUP($A117,'Data shares'!$C:$FA,118)</f>
        <v>0.43</v>
      </c>
      <c r="C117" s="143">
        <f>VLOOKUP($A117,'Data shares'!$C:$FA,119)</f>
        <v>0.37</v>
      </c>
      <c r="D117" s="143">
        <f>VLOOKUP($A117,'Data shares'!$C:$FA,121)*100</f>
        <v>16.220000000000002</v>
      </c>
      <c r="E117" s="143">
        <f>VLOOKUP($A117,'Data shares'!$C:$FA,124)</f>
        <v>0.1</v>
      </c>
      <c r="F117" s="143">
        <f>VLOOKUP($A117,'Data shares'!$C:$FA,125)</f>
        <v>0.24</v>
      </c>
      <c r="G117" s="143">
        <f>VLOOKUP($A117,'Data shares'!$C:$FA,127)*100</f>
        <v>-58.330000000000005</v>
      </c>
      <c r="H117" s="103">
        <f>VLOOKUP($A117,'OI(Volume)'!$A$7:$O$427,8)</f>
        <v>33518925</v>
      </c>
      <c r="I117" s="103">
        <f>VLOOKUP($A117,'OI(Volume)'!$A$7:$O$427,9)</f>
        <v>-5475575</v>
      </c>
      <c r="J117" s="103">
        <f>VLOOKUP($A117,'OI(Volume)'!$A$7:$O$427,11)</f>
        <v>14430300</v>
      </c>
      <c r="K117" s="103">
        <f>VLOOKUP($A117,'OI(Volume)'!$A$7:$O$427,12)</f>
        <v>81725</v>
      </c>
      <c r="L117" s="103">
        <f>VLOOKUP($A117,'OI(Value)'!$A$7:$O$306,8,0)</f>
        <v>162</v>
      </c>
      <c r="M117" s="103">
        <f>VLOOKUP($A117,'OI(Value)'!$A$7:$O$306,9,0)</f>
        <v>-26</v>
      </c>
      <c r="N117" s="103">
        <f>VLOOKUP($A117,'OI(Value)'!$A$7:$O$306,11,0)</f>
        <v>70</v>
      </c>
      <c r="O117" s="103">
        <f>VLOOKUP($A117,'OI(Value)'!$A$7:$O$306,12,0)</f>
        <v>0</v>
      </c>
      <c r="P117" s="179">
        <f>VLOOKUP(A117,'OI(Value)'!A117:O318,8,0)</f>
        <v>162</v>
      </c>
      <c r="Q117" s="179">
        <f>VLOOKUP(A117,'OI(Value)'!A117:O318,9,0)</f>
        <v>-26</v>
      </c>
      <c r="R117" s="179">
        <f>VLOOKUP(A117,'OI(Value)'!A117:O318,11,0)</f>
        <v>70</v>
      </c>
      <c r="S117" s="179">
        <f>VLOOKUP(A117,'OI(Value)'!A117:O318,11,0)</f>
        <v>70</v>
      </c>
    </row>
    <row r="118" spans="1:19" x14ac:dyDescent="0.25">
      <c r="A118" s="105" t="str">
        <f>'Data shares'!C113</f>
        <v>IRCTC</v>
      </c>
      <c r="B118" s="143">
        <f>VLOOKUP($A118,'Data shares'!$C:$FA,118)</f>
        <v>0.7</v>
      </c>
      <c r="C118" s="143">
        <f>VLOOKUP($A118,'Data shares'!$C:$FA,119)</f>
        <v>0.68</v>
      </c>
      <c r="D118" s="143">
        <f>VLOOKUP($A118,'Data shares'!$C:$FA,121)*100</f>
        <v>2.94</v>
      </c>
      <c r="E118" s="143">
        <f>VLOOKUP($A118,'Data shares'!$C:$FA,124)</f>
        <v>0.46</v>
      </c>
      <c r="F118" s="143">
        <f>VLOOKUP($A118,'Data shares'!$C:$FA,125)</f>
        <v>0.6</v>
      </c>
      <c r="G118" s="143">
        <f>VLOOKUP($A118,'Data shares'!$C:$FA,127)*100</f>
        <v>-23.330000000000002</v>
      </c>
      <c r="H118" s="103">
        <f>VLOOKUP($A118,'OI(Volume)'!$A$7:$O$427,8)</f>
        <v>8294125</v>
      </c>
      <c r="I118" s="103">
        <f>VLOOKUP($A118,'OI(Volume)'!$A$7:$O$427,9)</f>
        <v>234500</v>
      </c>
      <c r="J118" s="103">
        <f>VLOOKUP($A118,'OI(Volume)'!$A$7:$O$427,11)</f>
        <v>5774125</v>
      </c>
      <c r="K118" s="103">
        <f>VLOOKUP($A118,'OI(Volume)'!$A$7:$O$427,12)</f>
        <v>292250</v>
      </c>
      <c r="L118" s="103">
        <f>VLOOKUP($A118,'OI(Value)'!$A$7:$O$306,8,0)</f>
        <v>631</v>
      </c>
      <c r="M118" s="103">
        <f>VLOOKUP($A118,'OI(Value)'!$A$7:$O$306,9,0)</f>
        <v>18</v>
      </c>
      <c r="N118" s="103">
        <f>VLOOKUP($A118,'OI(Value)'!$A$7:$O$306,11,0)</f>
        <v>439</v>
      </c>
      <c r="O118" s="103">
        <f>VLOOKUP($A118,'OI(Value)'!$A$7:$O$306,12,0)</f>
        <v>22</v>
      </c>
      <c r="P118" s="179">
        <f>VLOOKUP(A118,'OI(Value)'!A118:O319,8,0)</f>
        <v>631</v>
      </c>
      <c r="Q118" s="179">
        <f>VLOOKUP(A118,'OI(Value)'!A118:O319,9,0)</f>
        <v>18</v>
      </c>
      <c r="R118" s="179">
        <f>VLOOKUP(A118,'OI(Value)'!A118:O319,11,0)</f>
        <v>439</v>
      </c>
      <c r="S118" s="179">
        <f>VLOOKUP(A118,'OI(Value)'!A118:O319,11,0)</f>
        <v>439</v>
      </c>
    </row>
    <row r="119" spans="1:19" x14ac:dyDescent="0.25">
      <c r="A119" s="105" t="str">
        <f>'Data shares'!C114</f>
        <v>IREDA</v>
      </c>
      <c r="B119" s="143">
        <f>VLOOKUP($A119,'Data shares'!$C:$FA,118)</f>
        <v>0.48</v>
      </c>
      <c r="C119" s="143">
        <f>VLOOKUP($A119,'Data shares'!$C:$FA,119)</f>
        <v>0.47</v>
      </c>
      <c r="D119" s="143">
        <f>VLOOKUP($A119,'Data shares'!$C:$FA,121)*100</f>
        <v>2.13</v>
      </c>
      <c r="E119" s="143">
        <f>VLOOKUP($A119,'Data shares'!$C:$FA,124)</f>
        <v>0.21</v>
      </c>
      <c r="F119" s="143">
        <f>VLOOKUP($A119,'Data shares'!$C:$FA,125)</f>
        <v>0.26</v>
      </c>
      <c r="G119" s="143">
        <f>VLOOKUP($A119,'Data shares'!$C:$FA,127)*100</f>
        <v>-19.23</v>
      </c>
      <c r="H119" s="103">
        <f>VLOOKUP($A119,'OI(Volume)'!$A$7:$O$427,8)</f>
        <v>36507900</v>
      </c>
      <c r="I119" s="103">
        <f>VLOOKUP($A119,'OI(Volume)'!$A$7:$O$427,9)</f>
        <v>-721050</v>
      </c>
      <c r="J119" s="103">
        <f>VLOOKUP($A119,'OI(Volume)'!$A$7:$O$427,11)</f>
        <v>17539800</v>
      </c>
      <c r="K119" s="103">
        <f>VLOOKUP($A119,'OI(Volume)'!$A$7:$O$427,12)</f>
        <v>158700</v>
      </c>
      <c r="L119" s="103">
        <f>VLOOKUP($A119,'OI(Value)'!$A$7:$O$306,8,0)</f>
        <v>571</v>
      </c>
      <c r="M119" s="103">
        <f>VLOOKUP($A119,'OI(Value)'!$A$7:$O$306,9,0)</f>
        <v>-11</v>
      </c>
      <c r="N119" s="103">
        <f>VLOOKUP($A119,'OI(Value)'!$A$7:$O$306,11,0)</f>
        <v>274</v>
      </c>
      <c r="O119" s="103">
        <f>VLOOKUP($A119,'OI(Value)'!$A$7:$O$306,12,0)</f>
        <v>2</v>
      </c>
      <c r="P119" s="179">
        <f>VLOOKUP(A119,'OI(Value)'!A119:O320,8,0)</f>
        <v>571</v>
      </c>
      <c r="Q119" s="179">
        <f>VLOOKUP(A119,'OI(Value)'!A119:O320,9,0)</f>
        <v>-11</v>
      </c>
      <c r="R119" s="179">
        <f>VLOOKUP(A119,'OI(Value)'!A119:O320,11,0)</f>
        <v>274</v>
      </c>
      <c r="S119" s="179">
        <f>VLOOKUP(A119,'OI(Value)'!A119:O320,11,0)</f>
        <v>274</v>
      </c>
    </row>
    <row r="120" spans="1:19" x14ac:dyDescent="0.25">
      <c r="A120" s="105" t="str">
        <f>'Data shares'!C115</f>
        <v>IRFC</v>
      </c>
      <c r="B120" s="143">
        <f>VLOOKUP($A120,'Data shares'!$C:$FA,118)</f>
        <v>0.44</v>
      </c>
      <c r="C120" s="143">
        <f>VLOOKUP($A120,'Data shares'!$C:$FA,119)</f>
        <v>0.43</v>
      </c>
      <c r="D120" s="143">
        <f>VLOOKUP($A120,'Data shares'!$C:$FA,121)*100</f>
        <v>2.33</v>
      </c>
      <c r="E120" s="143">
        <f>VLOOKUP($A120,'Data shares'!$C:$FA,124)</f>
        <v>0.53</v>
      </c>
      <c r="F120" s="143">
        <f>VLOOKUP($A120,'Data shares'!$C:$FA,125)</f>
        <v>0.45</v>
      </c>
      <c r="G120" s="143">
        <f>VLOOKUP($A120,'Data shares'!$C:$FA,127)*100</f>
        <v>17.78</v>
      </c>
      <c r="H120" s="103">
        <f>VLOOKUP($A120,'OI(Volume)'!$A$7:$O$427,8)</f>
        <v>48152500</v>
      </c>
      <c r="I120" s="103">
        <f>VLOOKUP($A120,'OI(Volume)'!$A$7:$O$427,9)</f>
        <v>11343250</v>
      </c>
      <c r="J120" s="103">
        <f>VLOOKUP($A120,'OI(Volume)'!$A$7:$O$427,11)</f>
        <v>21177750</v>
      </c>
      <c r="K120" s="103">
        <f>VLOOKUP($A120,'OI(Volume)'!$A$7:$O$427,12)</f>
        <v>5282750</v>
      </c>
      <c r="L120" s="103">
        <f>VLOOKUP($A120,'OI(Value)'!$A$7:$O$306,8,0)</f>
        <v>627</v>
      </c>
      <c r="M120" s="103">
        <f>VLOOKUP($A120,'OI(Value)'!$A$7:$O$306,9,0)</f>
        <v>148</v>
      </c>
      <c r="N120" s="103">
        <f>VLOOKUP($A120,'OI(Value)'!$A$7:$O$306,11,0)</f>
        <v>276</v>
      </c>
      <c r="O120" s="103">
        <f>VLOOKUP($A120,'OI(Value)'!$A$7:$O$306,12,0)</f>
        <v>69</v>
      </c>
      <c r="P120" s="179">
        <f>VLOOKUP(A120,'OI(Value)'!A120:O321,8,0)</f>
        <v>627</v>
      </c>
      <c r="Q120" s="179">
        <f>VLOOKUP(A120,'OI(Value)'!A120:O321,9,0)</f>
        <v>148</v>
      </c>
      <c r="R120" s="179">
        <f>VLOOKUP(A120,'OI(Value)'!A120:O321,11,0)</f>
        <v>276</v>
      </c>
      <c r="S120" s="179">
        <f>VLOOKUP(A120,'OI(Value)'!A120:O321,11,0)</f>
        <v>276</v>
      </c>
    </row>
    <row r="121" spans="1:19" x14ac:dyDescent="0.25">
      <c r="A121" s="105" t="str">
        <f>'Data shares'!C116</f>
        <v>ITC</v>
      </c>
      <c r="B121" s="143">
        <f>VLOOKUP($A121,'Data shares'!$C:$FA,118)</f>
        <v>0.57999999999999996</v>
      </c>
      <c r="C121" s="143">
        <f>VLOOKUP($A121,'Data shares'!$C:$FA,119)</f>
        <v>0.56999999999999995</v>
      </c>
      <c r="D121" s="143">
        <f>VLOOKUP($A121,'Data shares'!$C:$FA,121)*100</f>
        <v>1.7500000000000002</v>
      </c>
      <c r="E121" s="143">
        <f>VLOOKUP($A121,'Data shares'!$C:$FA,124)</f>
        <v>0.55000000000000004</v>
      </c>
      <c r="F121" s="143">
        <f>VLOOKUP($A121,'Data shares'!$C:$FA,125)</f>
        <v>0.43</v>
      </c>
      <c r="G121" s="143">
        <f>VLOOKUP($A121,'Data shares'!$C:$FA,127)*100</f>
        <v>27.91</v>
      </c>
      <c r="H121" s="103">
        <f>VLOOKUP($A121,'OI(Volume)'!$A$7:$O$427,8)</f>
        <v>53152000</v>
      </c>
      <c r="I121" s="103">
        <f>VLOOKUP($A121,'OI(Volume)'!$A$7:$O$427,9)</f>
        <v>1217600</v>
      </c>
      <c r="J121" s="103">
        <f>VLOOKUP($A121,'OI(Volume)'!$A$7:$O$427,11)</f>
        <v>30582400</v>
      </c>
      <c r="K121" s="103">
        <f>VLOOKUP($A121,'OI(Volume)'!$A$7:$O$427,12)</f>
        <v>860800</v>
      </c>
      <c r="L121" s="103">
        <f>VLOOKUP($A121,'OI(Value)'!$A$7:$O$306,8,0)</f>
        <v>2218</v>
      </c>
      <c r="M121" s="103">
        <f>VLOOKUP($A121,'OI(Value)'!$A$7:$O$306,9,0)</f>
        <v>51</v>
      </c>
      <c r="N121" s="103">
        <f>VLOOKUP($A121,'OI(Value)'!$A$7:$O$306,11,0)</f>
        <v>1276</v>
      </c>
      <c r="O121" s="103">
        <f>VLOOKUP($A121,'OI(Value)'!$A$7:$O$306,12,0)</f>
        <v>36</v>
      </c>
      <c r="P121" s="179">
        <f>VLOOKUP(A121,'OI(Value)'!A121:O322,8,0)</f>
        <v>2218</v>
      </c>
      <c r="Q121" s="179">
        <f>VLOOKUP(A121,'OI(Value)'!A121:O322,9,0)</f>
        <v>51</v>
      </c>
      <c r="R121" s="179">
        <f>VLOOKUP(A121,'OI(Value)'!A121:O322,11,0)</f>
        <v>1276</v>
      </c>
      <c r="S121" s="179">
        <f>VLOOKUP(A121,'OI(Value)'!A121:O322,11,0)</f>
        <v>1276</v>
      </c>
    </row>
    <row r="122" spans="1:19" x14ac:dyDescent="0.25">
      <c r="A122" s="105" t="str">
        <f>'Data shares'!C117</f>
        <v>JINDALSTEL</v>
      </c>
      <c r="B122" s="143">
        <f>VLOOKUP($A122,'Data shares'!$C:$FA,118)</f>
        <v>0.83</v>
      </c>
      <c r="C122" s="143">
        <f>VLOOKUP($A122,'Data shares'!$C:$FA,119)</f>
        <v>0.81</v>
      </c>
      <c r="D122" s="143">
        <f>VLOOKUP($A122,'Data shares'!$C:$FA,121)*100</f>
        <v>2.4699999999999998</v>
      </c>
      <c r="E122" s="143">
        <f>VLOOKUP($A122,'Data shares'!$C:$FA,124)</f>
        <v>0.64</v>
      </c>
      <c r="F122" s="143">
        <f>VLOOKUP($A122,'Data shares'!$C:$FA,125)</f>
        <v>0.56999999999999995</v>
      </c>
      <c r="G122" s="143">
        <f>VLOOKUP($A122,'Data shares'!$C:$FA,127)*100</f>
        <v>12.280000000000001</v>
      </c>
      <c r="H122" s="103">
        <f>VLOOKUP($A122,'OI(Volume)'!$A$7:$O$427,8)</f>
        <v>4855625</v>
      </c>
      <c r="I122" s="103">
        <f>VLOOKUP($A122,'OI(Volume)'!$A$7:$O$427,9)</f>
        <v>43750</v>
      </c>
      <c r="J122" s="103">
        <f>VLOOKUP($A122,'OI(Volume)'!$A$7:$O$427,11)</f>
        <v>4020000</v>
      </c>
      <c r="K122" s="103">
        <f>VLOOKUP($A122,'OI(Volume)'!$A$7:$O$427,12)</f>
        <v>116250</v>
      </c>
      <c r="L122" s="103">
        <f>VLOOKUP($A122,'OI(Value)'!$A$7:$O$306,8,0)</f>
        <v>469</v>
      </c>
      <c r="M122" s="103">
        <f>VLOOKUP($A122,'OI(Value)'!$A$7:$O$306,9,0)</f>
        <v>4</v>
      </c>
      <c r="N122" s="103">
        <f>VLOOKUP($A122,'OI(Value)'!$A$7:$O$306,11,0)</f>
        <v>388</v>
      </c>
      <c r="O122" s="103">
        <f>VLOOKUP($A122,'OI(Value)'!$A$7:$O$306,12,0)</f>
        <v>11</v>
      </c>
      <c r="P122" s="179">
        <f>VLOOKUP(A122,'OI(Value)'!A122:O323,8,0)</f>
        <v>469</v>
      </c>
      <c r="Q122" s="179">
        <f>VLOOKUP(A122,'OI(Value)'!A122:O323,9,0)</f>
        <v>4</v>
      </c>
      <c r="R122" s="179">
        <f>VLOOKUP(A122,'OI(Value)'!A122:O323,11,0)</f>
        <v>388</v>
      </c>
      <c r="S122" s="179">
        <f>VLOOKUP(A122,'OI(Value)'!A122:O323,11,0)</f>
        <v>388</v>
      </c>
    </row>
    <row r="123" spans="1:19" x14ac:dyDescent="0.25">
      <c r="A123" s="105" t="str">
        <f>'Data shares'!C118</f>
        <v>JIOFIN</v>
      </c>
      <c r="B123" s="143">
        <f>VLOOKUP($A123,'Data shares'!$C:$FA,118)</f>
        <v>0.51</v>
      </c>
      <c r="C123" s="143">
        <f>VLOOKUP($A123,'Data shares'!$C:$FA,119)</f>
        <v>0.53</v>
      </c>
      <c r="D123" s="143">
        <f>VLOOKUP($A123,'Data shares'!$C:$FA,121)*100</f>
        <v>-3.7699999999999996</v>
      </c>
      <c r="E123" s="143">
        <f>VLOOKUP($A123,'Data shares'!$C:$FA,124)</f>
        <v>0.44</v>
      </c>
      <c r="F123" s="143">
        <f>VLOOKUP($A123,'Data shares'!$C:$FA,125)</f>
        <v>0.46</v>
      </c>
      <c r="G123" s="143">
        <f>VLOOKUP($A123,'Data shares'!$C:$FA,127)*100</f>
        <v>-4.3499999999999996</v>
      </c>
      <c r="H123" s="103">
        <f>VLOOKUP($A123,'OI(Volume)'!$A$7:$O$427,8)</f>
        <v>97555550</v>
      </c>
      <c r="I123" s="103">
        <f>VLOOKUP($A123,'OI(Volume)'!$A$7:$O$427,9)</f>
        <v>6326200</v>
      </c>
      <c r="J123" s="103">
        <f>VLOOKUP($A123,'OI(Volume)'!$A$7:$O$427,11)</f>
        <v>50238300</v>
      </c>
      <c r="K123" s="103">
        <f>VLOOKUP($A123,'OI(Volume)'!$A$7:$O$427,12)</f>
        <v>2037450</v>
      </c>
      <c r="L123" s="103">
        <f>VLOOKUP($A123,'OI(Value)'!$A$7:$O$306,8,0)</f>
        <v>3038</v>
      </c>
      <c r="M123" s="103">
        <f>VLOOKUP($A123,'OI(Value)'!$A$7:$O$306,9,0)</f>
        <v>197</v>
      </c>
      <c r="N123" s="103">
        <f>VLOOKUP($A123,'OI(Value)'!$A$7:$O$306,11,0)</f>
        <v>1565</v>
      </c>
      <c r="O123" s="103">
        <f>VLOOKUP($A123,'OI(Value)'!$A$7:$O$306,12,0)</f>
        <v>63</v>
      </c>
      <c r="P123" s="179">
        <f>VLOOKUP(A123,'OI(Value)'!A123:O324,8,0)</f>
        <v>3038</v>
      </c>
      <c r="Q123" s="179">
        <f>VLOOKUP(A123,'OI(Value)'!A123:O324,9,0)</f>
        <v>197</v>
      </c>
      <c r="R123" s="179">
        <f>VLOOKUP(A123,'OI(Value)'!A123:O324,11,0)</f>
        <v>1565</v>
      </c>
      <c r="S123" s="179">
        <f>VLOOKUP(A123,'OI(Value)'!A123:O324,11,0)</f>
        <v>1565</v>
      </c>
    </row>
    <row r="124" spans="1:19" x14ac:dyDescent="0.25">
      <c r="A124" s="105" t="str">
        <f>'Data shares'!C119</f>
        <v>JSL</v>
      </c>
      <c r="B124" s="143">
        <f>VLOOKUP($A124,'Data shares'!$C:$FA,118)</f>
        <v>0.57999999999999996</v>
      </c>
      <c r="C124" s="143">
        <f>VLOOKUP($A124,'Data shares'!$C:$FA,119)</f>
        <v>0.61</v>
      </c>
      <c r="D124" s="143">
        <f>VLOOKUP($A124,'Data shares'!$C:$FA,121)*100</f>
        <v>-4.92</v>
      </c>
      <c r="E124" s="143">
        <f>VLOOKUP($A124,'Data shares'!$C:$FA,124)</f>
        <v>0.83</v>
      </c>
      <c r="F124" s="143">
        <f>VLOOKUP($A124,'Data shares'!$C:$FA,125)</f>
        <v>0.23</v>
      </c>
      <c r="G124" s="143">
        <f>VLOOKUP($A124,'Data shares'!$C:$FA,127)*100</f>
        <v>260.87</v>
      </c>
      <c r="H124" s="103">
        <f>VLOOKUP($A124,'OI(Volume)'!$A$7:$O$427,8)</f>
        <v>1925250</v>
      </c>
      <c r="I124" s="103">
        <f>VLOOKUP($A124,'OI(Volume)'!$A$7:$O$427,9)</f>
        <v>-17850</v>
      </c>
      <c r="J124" s="103">
        <f>VLOOKUP($A124,'OI(Volume)'!$A$7:$O$427,11)</f>
        <v>1108400</v>
      </c>
      <c r="K124" s="103">
        <f>VLOOKUP($A124,'OI(Volume)'!$A$7:$O$427,12)</f>
        <v>-68850</v>
      </c>
      <c r="L124" s="103">
        <f>VLOOKUP($A124,'OI(Value)'!$A$7:$O$306,8,0)</f>
        <v>133</v>
      </c>
      <c r="M124" s="103">
        <f>VLOOKUP($A124,'OI(Value)'!$A$7:$O$306,9,0)</f>
        <v>-1</v>
      </c>
      <c r="N124" s="103">
        <f>VLOOKUP($A124,'OI(Value)'!$A$7:$O$306,11,0)</f>
        <v>77</v>
      </c>
      <c r="O124" s="103">
        <f>VLOOKUP($A124,'OI(Value)'!$A$7:$O$306,12,0)</f>
        <v>-5</v>
      </c>
      <c r="P124" s="179">
        <f>VLOOKUP(A124,'OI(Value)'!A124:O325,8,0)</f>
        <v>133</v>
      </c>
      <c r="Q124" s="179">
        <f>VLOOKUP(A124,'OI(Value)'!A124:O325,9,0)</f>
        <v>-1</v>
      </c>
      <c r="R124" s="179">
        <f>VLOOKUP(A124,'OI(Value)'!A124:O325,11,0)</f>
        <v>77</v>
      </c>
      <c r="S124" s="179">
        <f>VLOOKUP(A124,'OI(Value)'!A124:O325,11,0)</f>
        <v>77</v>
      </c>
    </row>
    <row r="125" spans="1:19" x14ac:dyDescent="0.25">
      <c r="A125" s="105" t="str">
        <f>'Data shares'!C120</f>
        <v>JSWENERGY</v>
      </c>
      <c r="B125" s="143">
        <f>VLOOKUP($A125,'Data shares'!$C:$FA,118)</f>
        <v>0.51</v>
      </c>
      <c r="C125" s="143">
        <f>VLOOKUP($A125,'Data shares'!$C:$FA,119)</f>
        <v>0.52</v>
      </c>
      <c r="D125" s="143">
        <f>VLOOKUP($A125,'Data shares'!$C:$FA,121)*100</f>
        <v>-1.92</v>
      </c>
      <c r="E125" s="143">
        <f>VLOOKUP($A125,'Data shares'!$C:$FA,124)</f>
        <v>0.28000000000000003</v>
      </c>
      <c r="F125" s="143">
        <f>VLOOKUP($A125,'Data shares'!$C:$FA,125)</f>
        <v>0.28000000000000003</v>
      </c>
      <c r="G125" s="143">
        <f>VLOOKUP($A125,'Data shares'!$C:$FA,127)*100</f>
        <v>0</v>
      </c>
      <c r="H125" s="103">
        <f>VLOOKUP($A125,'OI(Volume)'!$A$7:$O$427,8)</f>
        <v>11265000</v>
      </c>
      <c r="I125" s="103">
        <f>VLOOKUP($A125,'OI(Volume)'!$A$7:$O$427,9)</f>
        <v>182000</v>
      </c>
      <c r="J125" s="103">
        <f>VLOOKUP($A125,'OI(Volume)'!$A$7:$O$427,11)</f>
        <v>5721000</v>
      </c>
      <c r="K125" s="103">
        <f>VLOOKUP($A125,'OI(Volume)'!$A$7:$O$427,12)</f>
        <v>-58000</v>
      </c>
      <c r="L125" s="103">
        <f>VLOOKUP($A125,'OI(Value)'!$A$7:$O$306,8,0)</f>
        <v>599</v>
      </c>
      <c r="M125" s="103">
        <f>VLOOKUP($A125,'OI(Value)'!$A$7:$O$306,9,0)</f>
        <v>10</v>
      </c>
      <c r="N125" s="103">
        <f>VLOOKUP($A125,'OI(Value)'!$A$7:$O$306,11,0)</f>
        <v>304</v>
      </c>
      <c r="O125" s="103">
        <f>VLOOKUP($A125,'OI(Value)'!$A$7:$O$306,12,0)</f>
        <v>-3</v>
      </c>
      <c r="P125" s="179">
        <f>VLOOKUP(A125,'OI(Value)'!A125:O326,8,0)</f>
        <v>599</v>
      </c>
      <c r="Q125" s="179">
        <f>VLOOKUP(A125,'OI(Value)'!A125:O326,9,0)</f>
        <v>10</v>
      </c>
      <c r="R125" s="179">
        <f>VLOOKUP(A125,'OI(Value)'!A125:O326,11,0)</f>
        <v>304</v>
      </c>
      <c r="S125" s="179">
        <f>VLOOKUP(A125,'OI(Value)'!A125:O326,11,0)</f>
        <v>304</v>
      </c>
    </row>
    <row r="126" spans="1:19" x14ac:dyDescent="0.25">
      <c r="A126" s="105" t="str">
        <f>'Data shares'!C121</f>
        <v>JSWSTEEL</v>
      </c>
      <c r="B126" s="143">
        <f>VLOOKUP($A126,'Data shares'!$C:$FA,118)</f>
        <v>0.64</v>
      </c>
      <c r="C126" s="143">
        <f>VLOOKUP($A126,'Data shares'!$C:$FA,119)</f>
        <v>0.62</v>
      </c>
      <c r="D126" s="143">
        <f>VLOOKUP($A126,'Data shares'!$C:$FA,121)*100</f>
        <v>3.2300000000000004</v>
      </c>
      <c r="E126" s="143">
        <f>VLOOKUP($A126,'Data shares'!$C:$FA,124)</f>
        <v>0.42</v>
      </c>
      <c r="F126" s="143">
        <f>VLOOKUP($A126,'Data shares'!$C:$FA,125)</f>
        <v>0.33</v>
      </c>
      <c r="G126" s="143">
        <f>VLOOKUP($A126,'Data shares'!$C:$FA,127)*100</f>
        <v>27.27</v>
      </c>
      <c r="H126" s="103">
        <f>VLOOKUP($A126,'OI(Volume)'!$A$7:$O$427,8)</f>
        <v>9427725</v>
      </c>
      <c r="I126" s="103">
        <f>VLOOKUP($A126,'OI(Volume)'!$A$7:$O$427,9)</f>
        <v>-1130625</v>
      </c>
      <c r="J126" s="103">
        <f>VLOOKUP($A126,'OI(Volume)'!$A$7:$O$427,11)</f>
        <v>6058800</v>
      </c>
      <c r="K126" s="103">
        <f>VLOOKUP($A126,'OI(Volume)'!$A$7:$O$427,12)</f>
        <v>-448200</v>
      </c>
      <c r="L126" s="103">
        <f>VLOOKUP($A126,'OI(Value)'!$A$7:$O$306,8,0)</f>
        <v>974</v>
      </c>
      <c r="M126" s="103">
        <f>VLOOKUP($A126,'OI(Value)'!$A$7:$O$306,9,0)</f>
        <v>-117</v>
      </c>
      <c r="N126" s="103">
        <f>VLOOKUP($A126,'OI(Value)'!$A$7:$O$306,11,0)</f>
        <v>626</v>
      </c>
      <c r="O126" s="103">
        <f>VLOOKUP($A126,'OI(Value)'!$A$7:$O$306,12,0)</f>
        <v>-46</v>
      </c>
      <c r="P126" s="179">
        <f>VLOOKUP(A126,'OI(Value)'!A126:O327,8,0)</f>
        <v>974</v>
      </c>
      <c r="Q126" s="179">
        <f>VLOOKUP(A126,'OI(Value)'!A126:O327,9,0)</f>
        <v>-117</v>
      </c>
      <c r="R126" s="179">
        <f>VLOOKUP(A126,'OI(Value)'!A126:O327,11,0)</f>
        <v>626</v>
      </c>
      <c r="S126" s="179">
        <f>VLOOKUP(A126,'OI(Value)'!A126:O327,11,0)</f>
        <v>626</v>
      </c>
    </row>
    <row r="127" spans="1:19" x14ac:dyDescent="0.25">
      <c r="A127" s="105" t="str">
        <f>'Data shares'!C122</f>
        <v>JUBLFOOD</v>
      </c>
      <c r="B127" s="143">
        <f>VLOOKUP($A127,'Data shares'!$C:$FA,118)</f>
        <v>0.41</v>
      </c>
      <c r="C127" s="143">
        <f>VLOOKUP($A127,'Data shares'!$C:$FA,119)</f>
        <v>0.42</v>
      </c>
      <c r="D127" s="143">
        <f>VLOOKUP($A127,'Data shares'!$C:$FA,121)*100</f>
        <v>-2.3800000000000003</v>
      </c>
      <c r="E127" s="143">
        <f>VLOOKUP($A127,'Data shares'!$C:$FA,124)</f>
        <v>0.44</v>
      </c>
      <c r="F127" s="143">
        <f>VLOOKUP($A127,'Data shares'!$C:$FA,125)</f>
        <v>0.4</v>
      </c>
      <c r="G127" s="143">
        <f>VLOOKUP($A127,'Data shares'!$C:$FA,127)*100</f>
        <v>10</v>
      </c>
      <c r="H127" s="103">
        <f>VLOOKUP($A127,'OI(Volume)'!$A$7:$O$427,8)</f>
        <v>8662500</v>
      </c>
      <c r="I127" s="103">
        <f>VLOOKUP($A127,'OI(Volume)'!$A$7:$O$427,9)</f>
        <v>410000</v>
      </c>
      <c r="J127" s="103">
        <f>VLOOKUP($A127,'OI(Volume)'!$A$7:$O$427,11)</f>
        <v>3512500</v>
      </c>
      <c r="K127" s="103">
        <f>VLOOKUP($A127,'OI(Volume)'!$A$7:$O$427,12)</f>
        <v>43750</v>
      </c>
      <c r="L127" s="103">
        <f>VLOOKUP($A127,'OI(Value)'!$A$7:$O$306,8,0)</f>
        <v>574</v>
      </c>
      <c r="M127" s="103">
        <f>VLOOKUP($A127,'OI(Value)'!$A$7:$O$306,9,0)</f>
        <v>27</v>
      </c>
      <c r="N127" s="103">
        <f>VLOOKUP($A127,'OI(Value)'!$A$7:$O$306,11,0)</f>
        <v>233</v>
      </c>
      <c r="O127" s="103">
        <f>VLOOKUP($A127,'OI(Value)'!$A$7:$O$306,12,0)</f>
        <v>3</v>
      </c>
      <c r="P127" s="179">
        <f>VLOOKUP(A127,'OI(Value)'!A127:O328,8,0)</f>
        <v>574</v>
      </c>
      <c r="Q127" s="179">
        <f>VLOOKUP(A127,'OI(Value)'!A127:O328,9,0)</f>
        <v>27</v>
      </c>
      <c r="R127" s="179">
        <f>VLOOKUP(A127,'OI(Value)'!A127:O328,11,0)</f>
        <v>233</v>
      </c>
      <c r="S127" s="179">
        <f>VLOOKUP(A127,'OI(Value)'!A127:O328,11,0)</f>
        <v>233</v>
      </c>
    </row>
    <row r="128" spans="1:19" x14ac:dyDescent="0.25">
      <c r="A128" s="105" t="str">
        <f>'Data shares'!C123</f>
        <v>KALYANKJIL</v>
      </c>
      <c r="B128" s="143">
        <f>VLOOKUP($A128,'Data shares'!$C:$FA,118)</f>
        <v>0.67</v>
      </c>
      <c r="C128" s="143">
        <f>VLOOKUP($A128,'Data shares'!$C:$FA,119)</f>
        <v>0.65</v>
      </c>
      <c r="D128" s="143">
        <f>VLOOKUP($A128,'Data shares'!$C:$FA,121)*100</f>
        <v>3.08</v>
      </c>
      <c r="E128" s="143">
        <f>VLOOKUP($A128,'Data shares'!$C:$FA,124)</f>
        <v>0.38</v>
      </c>
      <c r="F128" s="143">
        <f>VLOOKUP($A128,'Data shares'!$C:$FA,125)</f>
        <v>0.39</v>
      </c>
      <c r="G128" s="143">
        <f>VLOOKUP($A128,'Data shares'!$C:$FA,127)*100</f>
        <v>-2.56</v>
      </c>
      <c r="H128" s="103">
        <f>VLOOKUP($A128,'OI(Volume)'!$A$7:$O$427,8)</f>
        <v>5965475</v>
      </c>
      <c r="I128" s="103">
        <f>VLOOKUP($A128,'OI(Volume)'!$A$7:$O$427,9)</f>
        <v>-377175</v>
      </c>
      <c r="J128" s="103">
        <f>VLOOKUP($A128,'OI(Volume)'!$A$7:$O$427,11)</f>
        <v>3984425</v>
      </c>
      <c r="K128" s="103">
        <f>VLOOKUP($A128,'OI(Volume)'!$A$7:$O$427,12)</f>
        <v>-117500</v>
      </c>
      <c r="L128" s="103">
        <f>VLOOKUP($A128,'OI(Value)'!$A$7:$O$306,8,0)</f>
        <v>355</v>
      </c>
      <c r="M128" s="103">
        <f>VLOOKUP($A128,'OI(Value)'!$A$7:$O$306,9,0)</f>
        <v>-22</v>
      </c>
      <c r="N128" s="103">
        <f>VLOOKUP($A128,'OI(Value)'!$A$7:$O$306,11,0)</f>
        <v>237</v>
      </c>
      <c r="O128" s="103">
        <f>VLOOKUP($A128,'OI(Value)'!$A$7:$O$306,12,0)</f>
        <v>-7</v>
      </c>
      <c r="P128" s="179">
        <f>VLOOKUP(A128,'OI(Value)'!A128:O329,8,0)</f>
        <v>355</v>
      </c>
      <c r="Q128" s="179">
        <f>VLOOKUP(A128,'OI(Value)'!A128:O329,9,0)</f>
        <v>-22</v>
      </c>
      <c r="R128" s="179">
        <f>VLOOKUP(A128,'OI(Value)'!A128:O329,11,0)</f>
        <v>237</v>
      </c>
      <c r="S128" s="179">
        <f>VLOOKUP(A128,'OI(Value)'!A128:O329,11,0)</f>
        <v>237</v>
      </c>
    </row>
    <row r="129" spans="1:19" x14ac:dyDescent="0.25">
      <c r="A129" s="105" t="str">
        <f>'Data shares'!C124</f>
        <v>KAYNES</v>
      </c>
      <c r="B129" s="143">
        <f>VLOOKUP($A129,'Data shares'!$C:$FA,118)</f>
        <v>0.42</v>
      </c>
      <c r="C129" s="143">
        <f>VLOOKUP($A129,'Data shares'!$C:$FA,119)</f>
        <v>0.42</v>
      </c>
      <c r="D129" s="143">
        <f>VLOOKUP($A129,'Data shares'!$C:$FA,121)*100</f>
        <v>0</v>
      </c>
      <c r="E129" s="143">
        <f>VLOOKUP($A129,'Data shares'!$C:$FA,124)</f>
        <v>0.21</v>
      </c>
      <c r="F129" s="143">
        <f>VLOOKUP($A129,'Data shares'!$C:$FA,125)</f>
        <v>0.2</v>
      </c>
      <c r="G129" s="143">
        <f>VLOOKUP($A129,'Data shares'!$C:$FA,127)*100</f>
        <v>5</v>
      </c>
      <c r="H129" s="103">
        <f>VLOOKUP($A129,'OI(Volume)'!$A$7:$O$427,8)</f>
        <v>596100</v>
      </c>
      <c r="I129" s="103">
        <f>VLOOKUP($A129,'OI(Volume)'!$A$7:$O$427,9)</f>
        <v>5800</v>
      </c>
      <c r="J129" s="103">
        <f>VLOOKUP($A129,'OI(Volume)'!$A$7:$O$427,11)</f>
        <v>249300</v>
      </c>
      <c r="K129" s="103">
        <f>VLOOKUP($A129,'OI(Volume)'!$A$7:$O$427,12)</f>
        <v>4300</v>
      </c>
      <c r="L129" s="103">
        <f>VLOOKUP($A129,'OI(Value)'!$A$7:$O$306,8,0)</f>
        <v>346</v>
      </c>
      <c r="M129" s="103">
        <f>VLOOKUP($A129,'OI(Value)'!$A$7:$O$306,9,0)</f>
        <v>3</v>
      </c>
      <c r="N129" s="103">
        <f>VLOOKUP($A129,'OI(Value)'!$A$7:$O$306,11,0)</f>
        <v>145</v>
      </c>
      <c r="O129" s="103">
        <f>VLOOKUP($A129,'OI(Value)'!$A$7:$O$306,12,0)</f>
        <v>2</v>
      </c>
      <c r="P129" s="179">
        <f>VLOOKUP(A129,'OI(Value)'!A129:O330,8,0)</f>
        <v>346</v>
      </c>
      <c r="Q129" s="179">
        <f>VLOOKUP(A129,'OI(Value)'!A129:O330,9,0)</f>
        <v>3</v>
      </c>
      <c r="R129" s="179">
        <f>VLOOKUP(A129,'OI(Value)'!A129:O330,11,0)</f>
        <v>145</v>
      </c>
      <c r="S129" s="179">
        <f>VLOOKUP(A129,'OI(Value)'!A129:O330,11,0)</f>
        <v>145</v>
      </c>
    </row>
    <row r="130" spans="1:19" x14ac:dyDescent="0.25">
      <c r="A130" s="105" t="str">
        <f>'Data shares'!C125</f>
        <v>KEI</v>
      </c>
      <c r="B130" s="143">
        <f>VLOOKUP($A130,'Data shares'!$C:$FA,118)</f>
        <v>0.62</v>
      </c>
      <c r="C130" s="143">
        <f>VLOOKUP($A130,'Data shares'!$C:$FA,119)</f>
        <v>0.63</v>
      </c>
      <c r="D130" s="143">
        <f>VLOOKUP($A130,'Data shares'!$C:$FA,121)*100</f>
        <v>-1.59</v>
      </c>
      <c r="E130" s="143">
        <f>VLOOKUP($A130,'Data shares'!$C:$FA,124)</f>
        <v>0.34</v>
      </c>
      <c r="F130" s="143">
        <f>VLOOKUP($A130,'Data shares'!$C:$FA,125)</f>
        <v>0.38</v>
      </c>
      <c r="G130" s="143">
        <f>VLOOKUP($A130,'Data shares'!$C:$FA,127)*100</f>
        <v>-10.530000000000001</v>
      </c>
      <c r="H130" s="103">
        <f>VLOOKUP($A130,'OI(Volume)'!$A$7:$O$427,8)</f>
        <v>816550</v>
      </c>
      <c r="I130" s="103">
        <f>VLOOKUP($A130,'OI(Volume)'!$A$7:$O$427,9)</f>
        <v>208075</v>
      </c>
      <c r="J130" s="103">
        <f>VLOOKUP($A130,'OI(Volume)'!$A$7:$O$427,11)</f>
        <v>506625</v>
      </c>
      <c r="K130" s="103">
        <f>VLOOKUP($A130,'OI(Volume)'!$A$7:$O$427,12)</f>
        <v>121975</v>
      </c>
      <c r="L130" s="103">
        <f>VLOOKUP($A130,'OI(Value)'!$A$7:$O$306,8,0)</f>
        <v>326</v>
      </c>
      <c r="M130" s="103">
        <f>VLOOKUP($A130,'OI(Value)'!$A$7:$O$306,9,0)</f>
        <v>83</v>
      </c>
      <c r="N130" s="103">
        <f>VLOOKUP($A130,'OI(Value)'!$A$7:$O$306,11,0)</f>
        <v>202</v>
      </c>
      <c r="O130" s="103">
        <f>VLOOKUP($A130,'OI(Value)'!$A$7:$O$306,12,0)</f>
        <v>49</v>
      </c>
      <c r="P130" s="179">
        <f>VLOOKUP(A130,'OI(Value)'!A130:O331,8,0)</f>
        <v>326</v>
      </c>
      <c r="Q130" s="179">
        <f>VLOOKUP(A130,'OI(Value)'!A130:O331,9,0)</f>
        <v>83</v>
      </c>
      <c r="R130" s="179">
        <f>VLOOKUP(A130,'OI(Value)'!A130:O331,11,0)</f>
        <v>202</v>
      </c>
      <c r="S130" s="179">
        <f>VLOOKUP(A130,'OI(Value)'!A130:O331,11,0)</f>
        <v>202</v>
      </c>
    </row>
    <row r="131" spans="1:19" x14ac:dyDescent="0.25">
      <c r="A131" s="105" t="str">
        <f>'Data shares'!C126</f>
        <v>KFINTECH</v>
      </c>
      <c r="B131" s="143">
        <f>VLOOKUP($A131,'Data shares'!$C:$FA,118)</f>
        <v>0.34</v>
      </c>
      <c r="C131" s="143">
        <f>VLOOKUP($A131,'Data shares'!$C:$FA,119)</f>
        <v>0.37</v>
      </c>
      <c r="D131" s="143">
        <f>VLOOKUP($A131,'Data shares'!$C:$FA,121)*100</f>
        <v>-8.1100000000000012</v>
      </c>
      <c r="E131" s="143">
        <f>VLOOKUP($A131,'Data shares'!$C:$FA,124)</f>
        <v>0.18</v>
      </c>
      <c r="F131" s="143">
        <f>VLOOKUP($A131,'Data shares'!$C:$FA,125)</f>
        <v>0.23</v>
      </c>
      <c r="G131" s="143">
        <f>VLOOKUP($A131,'Data shares'!$C:$FA,127)*100</f>
        <v>-21.740000000000002</v>
      </c>
      <c r="H131" s="103">
        <f>VLOOKUP($A131,'OI(Volume)'!$A$7:$O$427,8)</f>
        <v>877500</v>
      </c>
      <c r="I131" s="103">
        <f>VLOOKUP($A131,'OI(Volume)'!$A$7:$O$427,9)</f>
        <v>0</v>
      </c>
      <c r="J131" s="103">
        <f>VLOOKUP($A131,'OI(Volume)'!$A$7:$O$427,11)</f>
        <v>298350</v>
      </c>
      <c r="K131" s="103">
        <f>VLOOKUP($A131,'OI(Volume)'!$A$7:$O$427,12)</f>
        <v>-22950</v>
      </c>
      <c r="L131" s="103">
        <f>VLOOKUP($A131,'OI(Value)'!$A$7:$O$306,8,0)</f>
        <v>113</v>
      </c>
      <c r="M131" s="103">
        <f>VLOOKUP($A131,'OI(Value)'!$A$7:$O$306,9,0)</f>
        <v>0</v>
      </c>
      <c r="N131" s="103">
        <f>VLOOKUP($A131,'OI(Value)'!$A$7:$O$306,11,0)</f>
        <v>38</v>
      </c>
      <c r="O131" s="103">
        <f>VLOOKUP($A131,'OI(Value)'!$A$7:$O$306,12,0)</f>
        <v>-3</v>
      </c>
      <c r="P131" s="179">
        <f>VLOOKUP(A131,'OI(Value)'!A131:O332,8,0)</f>
        <v>113</v>
      </c>
      <c r="Q131" s="179">
        <f>VLOOKUP(A131,'OI(Value)'!A131:O332,9,0)</f>
        <v>0</v>
      </c>
      <c r="R131" s="179">
        <f>VLOOKUP(A131,'OI(Value)'!A131:O332,11,0)</f>
        <v>38</v>
      </c>
      <c r="S131" s="179">
        <f>VLOOKUP(A131,'OI(Value)'!A131:O332,11,0)</f>
        <v>38</v>
      </c>
    </row>
    <row r="132" spans="1:19" x14ac:dyDescent="0.25">
      <c r="A132" s="105" t="str">
        <f>'Data shares'!C127</f>
        <v>KOTAKBANK</v>
      </c>
      <c r="B132" s="143">
        <f>VLOOKUP($A132,'Data shares'!$C:$FA,118)</f>
        <v>0.82</v>
      </c>
      <c r="C132" s="143">
        <f>VLOOKUP($A132,'Data shares'!$C:$FA,119)</f>
        <v>0.83</v>
      </c>
      <c r="D132" s="143">
        <f>VLOOKUP($A132,'Data shares'!$C:$FA,121)*100</f>
        <v>-1.2</v>
      </c>
      <c r="E132" s="143">
        <f>VLOOKUP($A132,'Data shares'!$C:$FA,124)</f>
        <v>0.61</v>
      </c>
      <c r="F132" s="143">
        <f>VLOOKUP($A132,'Data shares'!$C:$FA,125)</f>
        <v>0.56000000000000005</v>
      </c>
      <c r="G132" s="143">
        <f>VLOOKUP($A132,'Data shares'!$C:$FA,127)*100</f>
        <v>8.93</v>
      </c>
      <c r="H132" s="103">
        <f>VLOOKUP($A132,'OI(Volume)'!$A$7:$O$427,8)</f>
        <v>8566000</v>
      </c>
      <c r="I132" s="103">
        <f>VLOOKUP($A132,'OI(Volume)'!$A$7:$O$427,9)</f>
        <v>76000</v>
      </c>
      <c r="J132" s="103">
        <f>VLOOKUP($A132,'OI(Volume)'!$A$7:$O$427,11)</f>
        <v>6984400</v>
      </c>
      <c r="K132" s="103">
        <f>VLOOKUP($A132,'OI(Volume)'!$A$7:$O$427,12)</f>
        <v>-20400</v>
      </c>
      <c r="L132" s="103">
        <f>VLOOKUP($A132,'OI(Value)'!$A$7:$O$306,8,0)</f>
        <v>1852</v>
      </c>
      <c r="M132" s="103">
        <f>VLOOKUP($A132,'OI(Value)'!$A$7:$O$306,9,0)</f>
        <v>16</v>
      </c>
      <c r="N132" s="103">
        <f>VLOOKUP($A132,'OI(Value)'!$A$7:$O$306,11,0)</f>
        <v>1510</v>
      </c>
      <c r="O132" s="103">
        <f>VLOOKUP($A132,'OI(Value)'!$A$7:$O$306,12,0)</f>
        <v>-4</v>
      </c>
      <c r="P132" s="179">
        <f>VLOOKUP(A132,'OI(Value)'!A132:O333,8,0)</f>
        <v>1852</v>
      </c>
      <c r="Q132" s="179">
        <f>VLOOKUP(A132,'OI(Value)'!A132:O333,9,0)</f>
        <v>16</v>
      </c>
      <c r="R132" s="179">
        <f>VLOOKUP(A132,'OI(Value)'!A132:O333,11,0)</f>
        <v>1510</v>
      </c>
      <c r="S132" s="179">
        <f>VLOOKUP(A132,'OI(Value)'!A132:O333,11,0)</f>
        <v>1510</v>
      </c>
    </row>
    <row r="133" spans="1:19" x14ac:dyDescent="0.25">
      <c r="A133" s="105" t="str">
        <f>'Data shares'!C128</f>
        <v>KPITTECH</v>
      </c>
      <c r="B133" s="143">
        <f>VLOOKUP($A133,'Data shares'!$C:$FA,118)</f>
        <v>0.67</v>
      </c>
      <c r="C133" s="143">
        <f>VLOOKUP($A133,'Data shares'!$C:$FA,119)</f>
        <v>0.64</v>
      </c>
      <c r="D133" s="143">
        <f>VLOOKUP($A133,'Data shares'!$C:$FA,121)*100</f>
        <v>4.6899999999999995</v>
      </c>
      <c r="E133" s="143">
        <f>VLOOKUP($A133,'Data shares'!$C:$FA,124)</f>
        <v>0.47</v>
      </c>
      <c r="F133" s="143">
        <f>VLOOKUP($A133,'Data shares'!$C:$FA,125)</f>
        <v>0.28999999999999998</v>
      </c>
      <c r="G133" s="143">
        <f>VLOOKUP($A133,'Data shares'!$C:$FA,127)*100</f>
        <v>62.07</v>
      </c>
      <c r="H133" s="103">
        <f>VLOOKUP($A133,'OI(Volume)'!$A$7:$O$427,8)</f>
        <v>3423200</v>
      </c>
      <c r="I133" s="103">
        <f>VLOOKUP($A133,'OI(Volume)'!$A$7:$O$427,9)</f>
        <v>14400</v>
      </c>
      <c r="J133" s="103">
        <f>VLOOKUP($A133,'OI(Volume)'!$A$7:$O$427,11)</f>
        <v>2278000</v>
      </c>
      <c r="K133" s="103">
        <f>VLOOKUP($A133,'OI(Volume)'!$A$7:$O$427,12)</f>
        <v>82400</v>
      </c>
      <c r="L133" s="103">
        <f>VLOOKUP($A133,'OI(Value)'!$A$7:$O$306,8,0)</f>
        <v>429</v>
      </c>
      <c r="M133" s="103">
        <f>VLOOKUP($A133,'OI(Value)'!$A$7:$O$306,9,0)</f>
        <v>2</v>
      </c>
      <c r="N133" s="103">
        <f>VLOOKUP($A133,'OI(Value)'!$A$7:$O$306,11,0)</f>
        <v>285</v>
      </c>
      <c r="O133" s="103">
        <f>VLOOKUP($A133,'OI(Value)'!$A$7:$O$306,12,0)</f>
        <v>10</v>
      </c>
      <c r="P133" s="179">
        <f>VLOOKUP(A133,'OI(Value)'!A133:O334,8,0)</f>
        <v>429</v>
      </c>
      <c r="Q133" s="179">
        <f>VLOOKUP(A133,'OI(Value)'!A133:O334,9,0)</f>
        <v>2</v>
      </c>
      <c r="R133" s="179">
        <f>VLOOKUP(A133,'OI(Value)'!A133:O334,11,0)</f>
        <v>285</v>
      </c>
      <c r="S133" s="179">
        <f>VLOOKUP(A133,'OI(Value)'!A133:O334,11,0)</f>
        <v>285</v>
      </c>
    </row>
    <row r="134" spans="1:19" x14ac:dyDescent="0.25">
      <c r="A134" s="105" t="str">
        <f>'Data shares'!C129</f>
        <v>LAURUSLABS</v>
      </c>
      <c r="B134" s="143">
        <f>VLOOKUP($A134,'Data shares'!$C:$FA,118)</f>
        <v>1.1599999999999999</v>
      </c>
      <c r="C134" s="143">
        <f>VLOOKUP($A134,'Data shares'!$C:$FA,119)</f>
        <v>1.1599999999999999</v>
      </c>
      <c r="D134" s="143">
        <f>VLOOKUP($A134,'Data shares'!$C:$FA,121)*100</f>
        <v>0</v>
      </c>
      <c r="E134" s="143">
        <f>VLOOKUP($A134,'Data shares'!$C:$FA,124)</f>
        <v>0.79</v>
      </c>
      <c r="F134" s="143">
        <f>VLOOKUP($A134,'Data shares'!$C:$FA,125)</f>
        <v>0.84</v>
      </c>
      <c r="G134" s="143">
        <f>VLOOKUP($A134,'Data shares'!$C:$FA,127)*100</f>
        <v>-5.9499999999999993</v>
      </c>
      <c r="H134" s="103">
        <f>VLOOKUP($A134,'OI(Volume)'!$A$7:$O$427,8)</f>
        <v>16609000</v>
      </c>
      <c r="I134" s="103">
        <f>VLOOKUP($A134,'OI(Volume)'!$A$7:$O$427,9)</f>
        <v>32300</v>
      </c>
      <c r="J134" s="103">
        <f>VLOOKUP($A134,'OI(Volume)'!$A$7:$O$427,11)</f>
        <v>19221900</v>
      </c>
      <c r="K134" s="103">
        <f>VLOOKUP($A134,'OI(Volume)'!$A$7:$O$427,12)</f>
        <v>-54400</v>
      </c>
      <c r="L134" s="103">
        <f>VLOOKUP($A134,'OI(Value)'!$A$7:$O$306,8,0)</f>
        <v>1370</v>
      </c>
      <c r="M134" s="103">
        <f>VLOOKUP($A134,'OI(Value)'!$A$7:$O$306,9,0)</f>
        <v>3</v>
      </c>
      <c r="N134" s="103">
        <f>VLOOKUP($A134,'OI(Value)'!$A$7:$O$306,11,0)</f>
        <v>1585</v>
      </c>
      <c r="O134" s="103">
        <f>VLOOKUP($A134,'OI(Value)'!$A$7:$O$306,12,0)</f>
        <v>-4</v>
      </c>
      <c r="P134" s="179">
        <f>VLOOKUP(A134,'OI(Value)'!A134:O335,8,0)</f>
        <v>1370</v>
      </c>
      <c r="Q134" s="179">
        <f>VLOOKUP(A134,'OI(Value)'!A134:O335,9,0)</f>
        <v>3</v>
      </c>
      <c r="R134" s="179">
        <f>VLOOKUP(A134,'OI(Value)'!A134:O335,11,0)</f>
        <v>1585</v>
      </c>
      <c r="S134" s="179">
        <f>VLOOKUP(A134,'OI(Value)'!A134:O335,11,0)</f>
        <v>1585</v>
      </c>
    </row>
    <row r="135" spans="1:19" x14ac:dyDescent="0.25">
      <c r="A135" s="105" t="str">
        <f>'Data shares'!C130</f>
        <v>LICHSGFIN</v>
      </c>
      <c r="B135" s="143">
        <f>VLOOKUP($A135,'Data shares'!$C:$FA,118)</f>
        <v>0.85</v>
      </c>
      <c r="C135" s="143">
        <f>VLOOKUP($A135,'Data shares'!$C:$FA,119)</f>
        <v>0.88</v>
      </c>
      <c r="D135" s="143">
        <f>VLOOKUP($A135,'Data shares'!$C:$FA,121)*100</f>
        <v>-3.4099999999999997</v>
      </c>
      <c r="E135" s="143">
        <f>VLOOKUP($A135,'Data shares'!$C:$FA,124)</f>
        <v>0.32</v>
      </c>
      <c r="F135" s="143">
        <f>VLOOKUP($A135,'Data shares'!$C:$FA,125)</f>
        <v>0.34</v>
      </c>
      <c r="G135" s="143">
        <f>VLOOKUP($A135,'Data shares'!$C:$FA,127)*100</f>
        <v>-5.88</v>
      </c>
      <c r="H135" s="103">
        <f>VLOOKUP($A135,'OI(Volume)'!$A$7:$O$427,8)</f>
        <v>8366000</v>
      </c>
      <c r="I135" s="103">
        <f>VLOOKUP($A135,'OI(Volume)'!$A$7:$O$427,9)</f>
        <v>189000</v>
      </c>
      <c r="J135" s="103">
        <f>VLOOKUP($A135,'OI(Volume)'!$A$7:$O$427,11)</f>
        <v>7120000</v>
      </c>
      <c r="K135" s="103">
        <f>VLOOKUP($A135,'OI(Volume)'!$A$7:$O$427,12)</f>
        <v>-67000</v>
      </c>
      <c r="L135" s="103">
        <f>VLOOKUP($A135,'OI(Value)'!$A$7:$O$306,8,0)</f>
        <v>520</v>
      </c>
      <c r="M135" s="103">
        <f>VLOOKUP($A135,'OI(Value)'!$A$7:$O$306,9,0)</f>
        <v>12</v>
      </c>
      <c r="N135" s="103">
        <f>VLOOKUP($A135,'OI(Value)'!$A$7:$O$306,11,0)</f>
        <v>443</v>
      </c>
      <c r="O135" s="103">
        <f>VLOOKUP($A135,'OI(Value)'!$A$7:$O$306,12,0)</f>
        <v>-4</v>
      </c>
      <c r="P135" s="179">
        <f>VLOOKUP(A135,'OI(Value)'!A135:O336,8,0)</f>
        <v>520</v>
      </c>
      <c r="Q135" s="179">
        <f>VLOOKUP(A135,'OI(Value)'!A135:O336,9,0)</f>
        <v>12</v>
      </c>
      <c r="R135" s="179">
        <f>VLOOKUP(A135,'OI(Value)'!A135:O336,11,0)</f>
        <v>443</v>
      </c>
      <c r="S135" s="179">
        <f>VLOOKUP(A135,'OI(Value)'!A135:O336,11,0)</f>
        <v>443</v>
      </c>
    </row>
    <row r="136" spans="1:19" x14ac:dyDescent="0.25">
      <c r="A136" s="105" t="str">
        <f>'Data shares'!C131</f>
        <v>LICI</v>
      </c>
      <c r="B136" s="143">
        <f>VLOOKUP($A136,'Data shares'!$C:$FA,118)</f>
        <v>0.46</v>
      </c>
      <c r="C136" s="143">
        <f>VLOOKUP($A136,'Data shares'!$C:$FA,119)</f>
        <v>0.45</v>
      </c>
      <c r="D136" s="143">
        <f>VLOOKUP($A136,'Data shares'!$C:$FA,121)*100</f>
        <v>2.2200000000000002</v>
      </c>
      <c r="E136" s="143">
        <f>VLOOKUP($A136,'Data shares'!$C:$FA,124)</f>
        <v>0.28000000000000003</v>
      </c>
      <c r="F136" s="143">
        <f>VLOOKUP($A136,'Data shares'!$C:$FA,125)</f>
        <v>0.3</v>
      </c>
      <c r="G136" s="143">
        <f>VLOOKUP($A136,'Data shares'!$C:$FA,127)*100</f>
        <v>-6.67</v>
      </c>
      <c r="H136" s="103">
        <f>VLOOKUP($A136,'OI(Volume)'!$A$7:$O$427,8)</f>
        <v>5427800</v>
      </c>
      <c r="I136" s="103">
        <f>VLOOKUP($A136,'OI(Volume)'!$A$7:$O$427,9)</f>
        <v>-9800</v>
      </c>
      <c r="J136" s="103">
        <f>VLOOKUP($A136,'OI(Volume)'!$A$7:$O$427,11)</f>
        <v>2487800</v>
      </c>
      <c r="K136" s="103">
        <f>VLOOKUP($A136,'OI(Volume)'!$A$7:$O$427,12)</f>
        <v>65100</v>
      </c>
      <c r="L136" s="103">
        <f>VLOOKUP($A136,'OI(Value)'!$A$7:$O$306,8,0)</f>
        <v>493</v>
      </c>
      <c r="M136" s="103">
        <f>VLOOKUP($A136,'OI(Value)'!$A$7:$O$306,9,0)</f>
        <v>-1</v>
      </c>
      <c r="N136" s="103">
        <f>VLOOKUP($A136,'OI(Value)'!$A$7:$O$306,11,0)</f>
        <v>226</v>
      </c>
      <c r="O136" s="103">
        <f>VLOOKUP($A136,'OI(Value)'!$A$7:$O$306,12,0)</f>
        <v>6</v>
      </c>
      <c r="P136" s="179">
        <f>VLOOKUP(A136,'OI(Value)'!A136:O337,8,0)</f>
        <v>493</v>
      </c>
      <c r="Q136" s="179">
        <f>VLOOKUP(A136,'OI(Value)'!A136:O337,9,0)</f>
        <v>-1</v>
      </c>
      <c r="R136" s="179">
        <f>VLOOKUP(A136,'OI(Value)'!A136:O337,11,0)</f>
        <v>226</v>
      </c>
      <c r="S136" s="179">
        <f>VLOOKUP(A136,'OI(Value)'!A136:O337,11,0)</f>
        <v>226</v>
      </c>
    </row>
    <row r="137" spans="1:19" x14ac:dyDescent="0.25">
      <c r="A137" s="105" t="str">
        <f>'Data shares'!C132</f>
        <v>LODHA</v>
      </c>
      <c r="B137" s="143">
        <f>VLOOKUP($A137,'Data shares'!$C:$FA,118)</f>
        <v>0.67</v>
      </c>
      <c r="C137" s="143">
        <f>VLOOKUP($A137,'Data shares'!$C:$FA,119)</f>
        <v>0.73</v>
      </c>
      <c r="D137" s="143">
        <f>VLOOKUP($A137,'Data shares'!$C:$FA,121)*100</f>
        <v>-8.2199999999999989</v>
      </c>
      <c r="E137" s="143">
        <f>VLOOKUP($A137,'Data shares'!$C:$FA,124)</f>
        <v>0.4</v>
      </c>
      <c r="F137" s="143">
        <f>VLOOKUP($A137,'Data shares'!$C:$FA,125)</f>
        <v>0.54</v>
      </c>
      <c r="G137" s="143">
        <f>VLOOKUP($A137,'Data shares'!$C:$FA,127)*100</f>
        <v>-25.929999999999996</v>
      </c>
      <c r="H137" s="103">
        <f>VLOOKUP($A137,'OI(Volume)'!$A$7:$O$427,8)</f>
        <v>1523700</v>
      </c>
      <c r="I137" s="103">
        <f>VLOOKUP($A137,'OI(Volume)'!$A$7:$O$427,9)</f>
        <v>102600</v>
      </c>
      <c r="J137" s="103">
        <f>VLOOKUP($A137,'OI(Volume)'!$A$7:$O$427,11)</f>
        <v>1017000</v>
      </c>
      <c r="K137" s="103">
        <f>VLOOKUP($A137,'OI(Volume)'!$A$7:$O$427,12)</f>
        <v>-13950</v>
      </c>
      <c r="L137" s="103">
        <f>VLOOKUP($A137,'OI(Value)'!$A$7:$O$306,8,0)</f>
        <v>220</v>
      </c>
      <c r="M137" s="103">
        <f>VLOOKUP($A137,'OI(Value)'!$A$7:$O$306,9,0)</f>
        <v>15</v>
      </c>
      <c r="N137" s="103">
        <f>VLOOKUP($A137,'OI(Value)'!$A$7:$O$306,11,0)</f>
        <v>147</v>
      </c>
      <c r="O137" s="103">
        <f>VLOOKUP($A137,'OI(Value)'!$A$7:$O$306,12,0)</f>
        <v>-2</v>
      </c>
      <c r="P137" s="179">
        <f>VLOOKUP(A137,'OI(Value)'!A137:O338,8,0)</f>
        <v>220</v>
      </c>
      <c r="Q137" s="179">
        <f>VLOOKUP(A137,'OI(Value)'!A137:O338,9,0)</f>
        <v>15</v>
      </c>
      <c r="R137" s="179">
        <f>VLOOKUP(A137,'OI(Value)'!A137:O338,11,0)</f>
        <v>147</v>
      </c>
      <c r="S137" s="179">
        <f>VLOOKUP(A137,'OI(Value)'!A137:O338,11,0)</f>
        <v>147</v>
      </c>
    </row>
    <row r="138" spans="1:19" x14ac:dyDescent="0.25">
      <c r="A138" s="105" t="str">
        <f>'Data shares'!C133</f>
        <v>LT</v>
      </c>
      <c r="B138" s="143">
        <f>VLOOKUP($A138,'Data shares'!$C:$FA,118)</f>
        <v>0.39</v>
      </c>
      <c r="C138" s="143">
        <f>VLOOKUP($A138,'Data shares'!$C:$FA,119)</f>
        <v>0.38</v>
      </c>
      <c r="D138" s="143">
        <f>VLOOKUP($A138,'Data shares'!$C:$FA,121)*100</f>
        <v>2.63</v>
      </c>
      <c r="E138" s="143">
        <f>VLOOKUP($A138,'Data shares'!$C:$FA,124)</f>
        <v>0.27</v>
      </c>
      <c r="F138" s="143">
        <f>VLOOKUP($A138,'Data shares'!$C:$FA,125)</f>
        <v>0.33</v>
      </c>
      <c r="G138" s="143">
        <f>VLOOKUP($A138,'Data shares'!$C:$FA,127)*100</f>
        <v>-18.18</v>
      </c>
      <c r="H138" s="103">
        <f>VLOOKUP($A138,'OI(Volume)'!$A$7:$O$427,8)</f>
        <v>9349375</v>
      </c>
      <c r="I138" s="103">
        <f>VLOOKUP($A138,'OI(Volume)'!$A$7:$O$427,9)</f>
        <v>137025</v>
      </c>
      <c r="J138" s="103">
        <f>VLOOKUP($A138,'OI(Volume)'!$A$7:$O$427,11)</f>
        <v>3644200</v>
      </c>
      <c r="K138" s="103">
        <f>VLOOKUP($A138,'OI(Volume)'!$A$7:$O$427,12)</f>
        <v>107975</v>
      </c>
      <c r="L138" s="103">
        <f>VLOOKUP($A138,'OI(Value)'!$A$7:$O$306,8,0)</f>
        <v>3249</v>
      </c>
      <c r="M138" s="103">
        <f>VLOOKUP($A138,'OI(Value)'!$A$7:$O$306,9,0)</f>
        <v>48</v>
      </c>
      <c r="N138" s="103">
        <f>VLOOKUP($A138,'OI(Value)'!$A$7:$O$306,11,0)</f>
        <v>1266</v>
      </c>
      <c r="O138" s="103">
        <f>VLOOKUP($A138,'OI(Value)'!$A$7:$O$306,12,0)</f>
        <v>38</v>
      </c>
      <c r="P138" s="179">
        <f>VLOOKUP(A138,'OI(Value)'!A138:O339,8,0)</f>
        <v>3249</v>
      </c>
      <c r="Q138" s="179">
        <f>VLOOKUP(A138,'OI(Value)'!A138:O339,9,0)</f>
        <v>48</v>
      </c>
      <c r="R138" s="179">
        <f>VLOOKUP(A138,'OI(Value)'!A138:O339,11,0)</f>
        <v>1266</v>
      </c>
      <c r="S138" s="179">
        <f>VLOOKUP(A138,'OI(Value)'!A138:O339,11,0)</f>
        <v>1266</v>
      </c>
    </row>
    <row r="139" spans="1:19" x14ac:dyDescent="0.25">
      <c r="A139" s="105" t="str">
        <f>'Data shares'!C134</f>
        <v>LTF</v>
      </c>
      <c r="B139" s="143">
        <f>VLOOKUP($A139,'Data shares'!$C:$FA,118)</f>
        <v>0.69</v>
      </c>
      <c r="C139" s="143">
        <f>VLOOKUP($A139,'Data shares'!$C:$FA,119)</f>
        <v>0.8</v>
      </c>
      <c r="D139" s="143">
        <f>VLOOKUP($A139,'Data shares'!$C:$FA,121)*100</f>
        <v>-13.750000000000002</v>
      </c>
      <c r="E139" s="143">
        <f>VLOOKUP($A139,'Data shares'!$C:$FA,124)</f>
        <v>0.52</v>
      </c>
      <c r="F139" s="143">
        <f>VLOOKUP($A139,'Data shares'!$C:$FA,125)</f>
        <v>0.56999999999999995</v>
      </c>
      <c r="G139" s="143">
        <f>VLOOKUP($A139,'Data shares'!$C:$FA,127)*100</f>
        <v>-8.77</v>
      </c>
      <c r="H139" s="103">
        <f>VLOOKUP($A139,'OI(Volume)'!$A$7:$O$427,8)</f>
        <v>39698414</v>
      </c>
      <c r="I139" s="103">
        <f>VLOOKUP($A139,'OI(Volume)'!$A$7:$O$427,9)</f>
        <v>-1137810</v>
      </c>
      <c r="J139" s="103">
        <f>VLOOKUP($A139,'OI(Volume)'!$A$7:$O$427,11)</f>
        <v>27316364</v>
      </c>
      <c r="K139" s="103">
        <f>VLOOKUP($A139,'OI(Volume)'!$A$7:$O$427,12)</f>
        <v>-5278546</v>
      </c>
      <c r="L139" s="103">
        <f>VLOOKUP($A139,'OI(Value)'!$A$7:$O$306,8,0)</f>
        <v>831</v>
      </c>
      <c r="M139" s="103">
        <f>VLOOKUP($A139,'OI(Value)'!$A$7:$O$306,9,0)</f>
        <v>-24</v>
      </c>
      <c r="N139" s="103">
        <f>VLOOKUP($A139,'OI(Value)'!$A$7:$O$306,11,0)</f>
        <v>572</v>
      </c>
      <c r="O139" s="103">
        <f>VLOOKUP($A139,'OI(Value)'!$A$7:$O$306,12,0)</f>
        <v>-111</v>
      </c>
      <c r="P139" s="179">
        <f>VLOOKUP(A139,'OI(Value)'!A139:O340,8,0)</f>
        <v>831</v>
      </c>
      <c r="Q139" s="179">
        <f>VLOOKUP(A139,'OI(Value)'!A139:O340,9,0)</f>
        <v>-24</v>
      </c>
      <c r="R139" s="179">
        <f>VLOOKUP(A139,'OI(Value)'!A139:O340,11,0)</f>
        <v>572</v>
      </c>
      <c r="S139" s="179">
        <f>VLOOKUP(A139,'OI(Value)'!A139:O340,11,0)</f>
        <v>572</v>
      </c>
    </row>
    <row r="140" spans="1:19" x14ac:dyDescent="0.25">
      <c r="A140" s="105" t="str">
        <f>'Data shares'!C135</f>
        <v>LTIM</v>
      </c>
      <c r="B140" s="143">
        <f>VLOOKUP($A140,'Data shares'!$C:$FA,118)</f>
        <v>0.61</v>
      </c>
      <c r="C140" s="143">
        <f>VLOOKUP($A140,'Data shares'!$C:$FA,119)</f>
        <v>0.6</v>
      </c>
      <c r="D140" s="143">
        <f>VLOOKUP($A140,'Data shares'!$C:$FA,121)*100</f>
        <v>1.67</v>
      </c>
      <c r="E140" s="143">
        <f>VLOOKUP($A140,'Data shares'!$C:$FA,124)</f>
        <v>0.52</v>
      </c>
      <c r="F140" s="143">
        <f>VLOOKUP($A140,'Data shares'!$C:$FA,125)</f>
        <v>0.46</v>
      </c>
      <c r="G140" s="143">
        <f>VLOOKUP($A140,'Data shares'!$C:$FA,127)*100</f>
        <v>13.04</v>
      </c>
      <c r="H140" s="103">
        <f>VLOOKUP($A140,'OI(Volume)'!$A$7:$O$427,8)</f>
        <v>1208850</v>
      </c>
      <c r="I140" s="103">
        <f>VLOOKUP($A140,'OI(Volume)'!$A$7:$O$427,9)</f>
        <v>-180750</v>
      </c>
      <c r="J140" s="103">
        <f>VLOOKUP($A140,'OI(Volume)'!$A$7:$O$427,11)</f>
        <v>743100</v>
      </c>
      <c r="K140" s="103">
        <f>VLOOKUP($A140,'OI(Volume)'!$A$7:$O$427,12)</f>
        <v>-86250</v>
      </c>
      <c r="L140" s="103">
        <f>VLOOKUP($A140,'OI(Value)'!$A$7:$O$306,8,0)</f>
        <v>626</v>
      </c>
      <c r="M140" s="103">
        <f>VLOOKUP($A140,'OI(Value)'!$A$7:$O$306,9,0)</f>
        <v>-94</v>
      </c>
      <c r="N140" s="103">
        <f>VLOOKUP($A140,'OI(Value)'!$A$7:$O$306,11,0)</f>
        <v>385</v>
      </c>
      <c r="O140" s="103">
        <f>VLOOKUP($A140,'OI(Value)'!$A$7:$O$306,12,0)</f>
        <v>-45</v>
      </c>
      <c r="P140" s="179">
        <f>VLOOKUP(A140,'OI(Value)'!A140:O341,8,0)</f>
        <v>626</v>
      </c>
      <c r="Q140" s="179">
        <f>VLOOKUP(A140,'OI(Value)'!A140:O341,9,0)</f>
        <v>-94</v>
      </c>
      <c r="R140" s="179">
        <f>VLOOKUP(A140,'OI(Value)'!A140:O341,11,0)</f>
        <v>385</v>
      </c>
      <c r="S140" s="179">
        <f>VLOOKUP(A140,'OI(Value)'!A140:O341,11,0)</f>
        <v>385</v>
      </c>
    </row>
    <row r="141" spans="1:19" x14ac:dyDescent="0.25">
      <c r="A141" s="105" t="str">
        <f>'Data shares'!C136</f>
        <v>LUPIN</v>
      </c>
      <c r="B141" s="143">
        <f>VLOOKUP($A141,'Data shares'!$C:$FA,118)</f>
        <v>0.64</v>
      </c>
      <c r="C141" s="143">
        <f>VLOOKUP($A141,'Data shares'!$C:$FA,119)</f>
        <v>0.62</v>
      </c>
      <c r="D141" s="143">
        <f>VLOOKUP($A141,'Data shares'!$C:$FA,121)*100</f>
        <v>3.2300000000000004</v>
      </c>
      <c r="E141" s="143">
        <f>VLOOKUP($A141,'Data shares'!$C:$FA,124)</f>
        <v>0.6</v>
      </c>
      <c r="F141" s="143">
        <f>VLOOKUP($A141,'Data shares'!$C:$FA,125)</f>
        <v>0.34</v>
      </c>
      <c r="G141" s="143">
        <f>VLOOKUP($A141,'Data shares'!$C:$FA,127)*100</f>
        <v>76.47</v>
      </c>
      <c r="H141" s="103">
        <f>VLOOKUP($A141,'OI(Volume)'!$A$7:$O$427,8)</f>
        <v>3983525</v>
      </c>
      <c r="I141" s="103">
        <f>VLOOKUP($A141,'OI(Volume)'!$A$7:$O$427,9)</f>
        <v>122825</v>
      </c>
      <c r="J141" s="103">
        <f>VLOOKUP($A141,'OI(Volume)'!$A$7:$O$427,11)</f>
        <v>2561475</v>
      </c>
      <c r="K141" s="103">
        <f>VLOOKUP($A141,'OI(Volume)'!$A$7:$O$427,12)</f>
        <v>182325</v>
      </c>
      <c r="L141" s="103">
        <f>VLOOKUP($A141,'OI(Value)'!$A$7:$O$306,8,0)</f>
        <v>755</v>
      </c>
      <c r="M141" s="103">
        <f>VLOOKUP($A141,'OI(Value)'!$A$7:$O$306,9,0)</f>
        <v>23</v>
      </c>
      <c r="N141" s="103">
        <f>VLOOKUP($A141,'OI(Value)'!$A$7:$O$306,11,0)</f>
        <v>486</v>
      </c>
      <c r="O141" s="103">
        <f>VLOOKUP($A141,'OI(Value)'!$A$7:$O$306,12,0)</f>
        <v>35</v>
      </c>
      <c r="P141" s="179">
        <f>VLOOKUP(A141,'OI(Value)'!A141:O342,8,0)</f>
        <v>755</v>
      </c>
      <c r="Q141" s="179">
        <f>VLOOKUP(A141,'OI(Value)'!A141:O342,9,0)</f>
        <v>23</v>
      </c>
      <c r="R141" s="179">
        <f>VLOOKUP(A141,'OI(Value)'!A141:O342,11,0)</f>
        <v>486</v>
      </c>
      <c r="S141" s="179">
        <f>VLOOKUP(A141,'OI(Value)'!A141:O342,11,0)</f>
        <v>486</v>
      </c>
    </row>
    <row r="142" spans="1:19" x14ac:dyDescent="0.25">
      <c r="A142" s="105" t="str">
        <f>'Data shares'!C137</f>
        <v>M&amp;M</v>
      </c>
      <c r="B142" s="143">
        <f>VLOOKUP($A142,'Data shares'!$C:$FA,118)</f>
        <v>0.6</v>
      </c>
      <c r="C142" s="143">
        <f>VLOOKUP($A142,'Data shares'!$C:$FA,119)</f>
        <v>0.6</v>
      </c>
      <c r="D142" s="143">
        <f>VLOOKUP($A142,'Data shares'!$C:$FA,121)*100</f>
        <v>0</v>
      </c>
      <c r="E142" s="143">
        <f>VLOOKUP($A142,'Data shares'!$C:$FA,124)</f>
        <v>0.43</v>
      </c>
      <c r="F142" s="143">
        <f>VLOOKUP($A142,'Data shares'!$C:$FA,125)</f>
        <v>0.48</v>
      </c>
      <c r="G142" s="143">
        <f>VLOOKUP($A142,'Data shares'!$C:$FA,127)*100</f>
        <v>-10.42</v>
      </c>
      <c r="H142" s="103">
        <f>VLOOKUP($A142,'OI(Volume)'!$A$7:$O$427,8)</f>
        <v>5962400</v>
      </c>
      <c r="I142" s="103">
        <f>VLOOKUP($A142,'OI(Volume)'!$A$7:$O$427,9)</f>
        <v>-103400</v>
      </c>
      <c r="J142" s="103">
        <f>VLOOKUP($A142,'OI(Volume)'!$A$7:$O$427,11)</f>
        <v>3586000</v>
      </c>
      <c r="K142" s="103">
        <f>VLOOKUP($A142,'OI(Volume)'!$A$7:$O$427,12)</f>
        <v>-46200</v>
      </c>
      <c r="L142" s="103">
        <f>VLOOKUP($A142,'OI(Value)'!$A$7:$O$306,8,0)</f>
        <v>1945</v>
      </c>
      <c r="M142" s="103">
        <f>VLOOKUP($A142,'OI(Value)'!$A$7:$O$306,9,0)</f>
        <v>-34</v>
      </c>
      <c r="N142" s="103">
        <f>VLOOKUP($A142,'OI(Value)'!$A$7:$O$306,11,0)</f>
        <v>1170</v>
      </c>
      <c r="O142" s="103">
        <f>VLOOKUP($A142,'OI(Value)'!$A$7:$O$306,12,0)</f>
        <v>-15</v>
      </c>
      <c r="P142" s="179">
        <f>VLOOKUP(A142,'OI(Value)'!A142:O343,8,0)</f>
        <v>1945</v>
      </c>
      <c r="Q142" s="179">
        <f>VLOOKUP(A142,'OI(Value)'!A142:O343,9,0)</f>
        <v>-34</v>
      </c>
      <c r="R142" s="179">
        <f>VLOOKUP(A142,'OI(Value)'!A142:O343,11,0)</f>
        <v>1170</v>
      </c>
      <c r="S142" s="179">
        <f>VLOOKUP(A142,'OI(Value)'!A142:O343,11,0)</f>
        <v>1170</v>
      </c>
    </row>
    <row r="143" spans="1:19" x14ac:dyDescent="0.25">
      <c r="A143" s="105" t="str">
        <f>'Data shares'!C138</f>
        <v>M&amp;MFIN</v>
      </c>
      <c r="B143" s="143">
        <f>VLOOKUP($A143,'Data shares'!$C:$FA,118)</f>
        <v>0.55000000000000004</v>
      </c>
      <c r="C143" s="143">
        <f>VLOOKUP($A143,'Data shares'!$C:$FA,119)</f>
        <v>0.67</v>
      </c>
      <c r="D143" s="143">
        <f>VLOOKUP($A143,'Data shares'!$C:$FA,121)*100</f>
        <v>-17.91</v>
      </c>
      <c r="E143" s="143">
        <f>VLOOKUP($A143,'Data shares'!$C:$FA,124)</f>
        <v>0.4</v>
      </c>
      <c r="F143" s="143">
        <f>VLOOKUP($A143,'Data shares'!$C:$FA,125)</f>
        <v>0.48</v>
      </c>
      <c r="G143" s="143">
        <f>VLOOKUP($A143,'Data shares'!$C:$FA,127)*100</f>
        <v>-16.669999999999998</v>
      </c>
      <c r="H143" s="103">
        <f>VLOOKUP($A143,'OI(Volume)'!$A$7:$O$427,8)</f>
        <v>11893960</v>
      </c>
      <c r="I143" s="103">
        <f>VLOOKUP($A143,'OI(Volume)'!$A$7:$O$427,9)</f>
        <v>2843448</v>
      </c>
      <c r="J143" s="103">
        <f>VLOOKUP($A143,'OI(Volume)'!$A$7:$O$427,11)</f>
        <v>6558640</v>
      </c>
      <c r="K143" s="103">
        <f>VLOOKUP($A143,'OI(Volume)'!$A$7:$O$427,12)</f>
        <v>520168</v>
      </c>
      <c r="L143" s="103">
        <f>VLOOKUP($A143,'OI(Value)'!$A$7:$O$306,8,0)</f>
        <v>316</v>
      </c>
      <c r="M143" s="103">
        <f>VLOOKUP($A143,'OI(Value)'!$A$7:$O$306,9,0)</f>
        <v>76</v>
      </c>
      <c r="N143" s="103">
        <f>VLOOKUP($A143,'OI(Value)'!$A$7:$O$306,11,0)</f>
        <v>174</v>
      </c>
      <c r="O143" s="103">
        <f>VLOOKUP($A143,'OI(Value)'!$A$7:$O$306,12,0)</f>
        <v>14</v>
      </c>
      <c r="P143" s="179">
        <f>VLOOKUP(A143,'OI(Value)'!A143:O344,8,0)</f>
        <v>316</v>
      </c>
      <c r="Q143" s="179">
        <f>VLOOKUP(A143,'OI(Value)'!A143:O344,9,0)</f>
        <v>76</v>
      </c>
      <c r="R143" s="179">
        <f>VLOOKUP(A143,'OI(Value)'!A143:O344,11,0)</f>
        <v>174</v>
      </c>
      <c r="S143" s="179">
        <f>VLOOKUP(A143,'OI(Value)'!A143:O344,11,0)</f>
        <v>174</v>
      </c>
    </row>
    <row r="144" spans="1:19" x14ac:dyDescent="0.25">
      <c r="A144" s="105" t="str">
        <f>'Data shares'!C139</f>
        <v>MANAPPURAM</v>
      </c>
      <c r="B144" s="143">
        <f>VLOOKUP($A144,'Data shares'!$C:$FA,118)</f>
        <v>0.65</v>
      </c>
      <c r="C144" s="143">
        <f>VLOOKUP($A144,'Data shares'!$C:$FA,119)</f>
        <v>0.63</v>
      </c>
      <c r="D144" s="143">
        <f>VLOOKUP($A144,'Data shares'!$C:$FA,121)*100</f>
        <v>3.17</v>
      </c>
      <c r="E144" s="143">
        <f>VLOOKUP($A144,'Data shares'!$C:$FA,124)</f>
        <v>0.39</v>
      </c>
      <c r="F144" s="143">
        <f>VLOOKUP($A144,'Data shares'!$C:$FA,125)</f>
        <v>0.52</v>
      </c>
      <c r="G144" s="143">
        <f>VLOOKUP($A144,'Data shares'!$C:$FA,127)*100</f>
        <v>-25</v>
      </c>
      <c r="H144" s="103">
        <f>VLOOKUP($A144,'OI(Volume)'!$A$7:$O$427,8)</f>
        <v>16050000</v>
      </c>
      <c r="I144" s="103">
        <f>VLOOKUP($A144,'OI(Volume)'!$A$7:$O$427,9)</f>
        <v>-810000</v>
      </c>
      <c r="J144" s="103">
        <f>VLOOKUP($A144,'OI(Volume)'!$A$7:$O$427,11)</f>
        <v>10446000</v>
      </c>
      <c r="K144" s="103">
        <f>VLOOKUP($A144,'OI(Volume)'!$A$7:$O$427,12)</f>
        <v>-213000</v>
      </c>
      <c r="L144" s="103">
        <f>VLOOKUP($A144,'OI(Value)'!$A$7:$O$306,8,0)</f>
        <v>437</v>
      </c>
      <c r="M144" s="103">
        <f>VLOOKUP($A144,'OI(Value)'!$A$7:$O$306,9,0)</f>
        <v>-22</v>
      </c>
      <c r="N144" s="103">
        <f>VLOOKUP($A144,'OI(Value)'!$A$7:$O$306,11,0)</f>
        <v>284</v>
      </c>
      <c r="O144" s="103">
        <f>VLOOKUP($A144,'OI(Value)'!$A$7:$O$306,12,0)</f>
        <v>-6</v>
      </c>
      <c r="P144" s="179">
        <f>VLOOKUP(A144,'OI(Value)'!A144:O345,8,0)</f>
        <v>437</v>
      </c>
      <c r="Q144" s="179">
        <f>VLOOKUP(A144,'OI(Value)'!A144:O345,9,0)</f>
        <v>-22</v>
      </c>
      <c r="R144" s="179">
        <f>VLOOKUP(A144,'OI(Value)'!A144:O345,11,0)</f>
        <v>284</v>
      </c>
      <c r="S144" s="179">
        <f>VLOOKUP(A144,'OI(Value)'!A144:O345,11,0)</f>
        <v>284</v>
      </c>
    </row>
    <row r="145" spans="1:19" x14ac:dyDescent="0.25">
      <c r="A145" s="105" t="str">
        <f>'Data shares'!C140</f>
        <v>MANKIND</v>
      </c>
      <c r="B145" s="143">
        <f>VLOOKUP($A145,'Data shares'!$C:$FA,118)</f>
        <v>0.55000000000000004</v>
      </c>
      <c r="C145" s="143">
        <f>VLOOKUP($A145,'Data shares'!$C:$FA,119)</f>
        <v>0.54</v>
      </c>
      <c r="D145" s="143">
        <f>VLOOKUP($A145,'Data shares'!$C:$FA,121)*100</f>
        <v>1.8499999999999999</v>
      </c>
      <c r="E145" s="143">
        <f>VLOOKUP($A145,'Data shares'!$C:$FA,124)</f>
        <v>0.22</v>
      </c>
      <c r="F145" s="143">
        <f>VLOOKUP($A145,'Data shares'!$C:$FA,125)</f>
        <v>0.28000000000000003</v>
      </c>
      <c r="G145" s="143">
        <f>VLOOKUP($A145,'Data shares'!$C:$FA,127)*100</f>
        <v>-21.43</v>
      </c>
      <c r="H145" s="103">
        <f>VLOOKUP($A145,'OI(Volume)'!$A$7:$O$427,8)</f>
        <v>991800</v>
      </c>
      <c r="I145" s="103">
        <f>VLOOKUP($A145,'OI(Volume)'!$A$7:$O$427,9)</f>
        <v>-110475</v>
      </c>
      <c r="J145" s="103">
        <f>VLOOKUP($A145,'OI(Volume)'!$A$7:$O$427,11)</f>
        <v>544500</v>
      </c>
      <c r="K145" s="103">
        <f>VLOOKUP($A145,'OI(Volume)'!$A$7:$O$427,12)</f>
        <v>-49725</v>
      </c>
      <c r="L145" s="103">
        <f>VLOOKUP($A145,'OI(Value)'!$A$7:$O$306,8,0)</f>
        <v>265</v>
      </c>
      <c r="M145" s="103">
        <f>VLOOKUP($A145,'OI(Value)'!$A$7:$O$306,9,0)</f>
        <v>-30</v>
      </c>
      <c r="N145" s="103">
        <f>VLOOKUP($A145,'OI(Value)'!$A$7:$O$306,11,0)</f>
        <v>145</v>
      </c>
      <c r="O145" s="103">
        <f>VLOOKUP($A145,'OI(Value)'!$A$7:$O$306,12,0)</f>
        <v>-13</v>
      </c>
      <c r="P145" s="179">
        <f>VLOOKUP(A145,'OI(Value)'!A145:O346,8,0)</f>
        <v>265</v>
      </c>
      <c r="Q145" s="179">
        <f>VLOOKUP(A145,'OI(Value)'!A145:O346,9,0)</f>
        <v>-30</v>
      </c>
      <c r="R145" s="179">
        <f>VLOOKUP(A145,'OI(Value)'!A145:O346,11,0)</f>
        <v>145</v>
      </c>
      <c r="S145" s="179">
        <f>VLOOKUP(A145,'OI(Value)'!A145:O346,11,0)</f>
        <v>145</v>
      </c>
    </row>
    <row r="146" spans="1:19" x14ac:dyDescent="0.25">
      <c r="A146" s="105" t="str">
        <f>'Data shares'!C141</f>
        <v>MARICO</v>
      </c>
      <c r="B146" s="143">
        <f>VLOOKUP($A146,'Data shares'!$C:$FA,118)</f>
        <v>0.55000000000000004</v>
      </c>
      <c r="C146" s="143">
        <f>VLOOKUP($A146,'Data shares'!$C:$FA,119)</f>
        <v>0.55000000000000004</v>
      </c>
      <c r="D146" s="143">
        <f>VLOOKUP($A146,'Data shares'!$C:$FA,121)*100</f>
        <v>0</v>
      </c>
      <c r="E146" s="143">
        <f>VLOOKUP($A146,'Data shares'!$C:$FA,124)</f>
        <v>0.43</v>
      </c>
      <c r="F146" s="143">
        <f>VLOOKUP($A146,'Data shares'!$C:$FA,125)</f>
        <v>0.41</v>
      </c>
      <c r="G146" s="143">
        <f>VLOOKUP($A146,'Data shares'!$C:$FA,127)*100</f>
        <v>4.88</v>
      </c>
      <c r="H146" s="103">
        <f>VLOOKUP($A146,'OI(Volume)'!$A$7:$O$427,8)</f>
        <v>7623600</v>
      </c>
      <c r="I146" s="103">
        <f>VLOOKUP($A146,'OI(Volume)'!$A$7:$O$427,9)</f>
        <v>-88800</v>
      </c>
      <c r="J146" s="103">
        <f>VLOOKUP($A146,'OI(Volume)'!$A$7:$O$427,11)</f>
        <v>4180800</v>
      </c>
      <c r="K146" s="103">
        <f>VLOOKUP($A146,'OI(Volume)'!$A$7:$O$427,12)</f>
        <v>-50400</v>
      </c>
      <c r="L146" s="103">
        <f>VLOOKUP($A146,'OI(Value)'!$A$7:$O$306,8,0)</f>
        <v>547</v>
      </c>
      <c r="M146" s="103">
        <f>VLOOKUP($A146,'OI(Value)'!$A$7:$O$306,9,0)</f>
        <v>-6</v>
      </c>
      <c r="N146" s="103">
        <f>VLOOKUP($A146,'OI(Value)'!$A$7:$O$306,11,0)</f>
        <v>300</v>
      </c>
      <c r="O146" s="103">
        <f>VLOOKUP($A146,'OI(Value)'!$A$7:$O$306,12,0)</f>
        <v>-4</v>
      </c>
      <c r="P146" s="179">
        <f>VLOOKUP(A146,'OI(Value)'!A146:O347,8,0)</f>
        <v>547</v>
      </c>
      <c r="Q146" s="179">
        <f>VLOOKUP(A146,'OI(Value)'!A146:O347,9,0)</f>
        <v>-6</v>
      </c>
      <c r="R146" s="179">
        <f>VLOOKUP(A146,'OI(Value)'!A146:O347,11,0)</f>
        <v>300</v>
      </c>
      <c r="S146" s="179">
        <f>VLOOKUP(A146,'OI(Value)'!A146:O347,11,0)</f>
        <v>300</v>
      </c>
    </row>
    <row r="147" spans="1:19" x14ac:dyDescent="0.25">
      <c r="A147" s="105" t="str">
        <f>'Data shares'!C142</f>
        <v>MARUTI</v>
      </c>
      <c r="B147" s="143">
        <f>VLOOKUP($A147,'Data shares'!$C:$FA,118)</f>
        <v>0.31</v>
      </c>
      <c r="C147" s="143">
        <f>VLOOKUP($A147,'Data shares'!$C:$FA,119)</f>
        <v>0.3</v>
      </c>
      <c r="D147" s="143">
        <f>VLOOKUP($A147,'Data shares'!$C:$FA,121)*100</f>
        <v>3.3300000000000005</v>
      </c>
      <c r="E147" s="143">
        <f>VLOOKUP($A147,'Data shares'!$C:$FA,124)</f>
        <v>0.5</v>
      </c>
      <c r="F147" s="143">
        <f>VLOOKUP($A147,'Data shares'!$C:$FA,125)</f>
        <v>0.44</v>
      </c>
      <c r="G147" s="143">
        <f>VLOOKUP($A147,'Data shares'!$C:$FA,127)*100</f>
        <v>13.639999999999999</v>
      </c>
      <c r="H147" s="103">
        <f>VLOOKUP($A147,'OI(Volume)'!$A$7:$O$427,8)</f>
        <v>3197300</v>
      </c>
      <c r="I147" s="103">
        <f>VLOOKUP($A147,'OI(Volume)'!$A$7:$O$427,9)</f>
        <v>-35750</v>
      </c>
      <c r="J147" s="103">
        <f>VLOOKUP($A147,'OI(Volume)'!$A$7:$O$427,11)</f>
        <v>998350</v>
      </c>
      <c r="K147" s="103">
        <f>VLOOKUP($A147,'OI(Volume)'!$A$7:$O$427,12)</f>
        <v>34600</v>
      </c>
      <c r="L147" s="103">
        <f>VLOOKUP($A147,'OI(Value)'!$A$7:$O$306,8,0)</f>
        <v>4001</v>
      </c>
      <c r="M147" s="103">
        <f>VLOOKUP($A147,'OI(Value)'!$A$7:$O$306,9,0)</f>
        <v>-45</v>
      </c>
      <c r="N147" s="103">
        <f>VLOOKUP($A147,'OI(Value)'!$A$7:$O$306,11,0)</f>
        <v>1249</v>
      </c>
      <c r="O147" s="103">
        <f>VLOOKUP($A147,'OI(Value)'!$A$7:$O$306,12,0)</f>
        <v>43</v>
      </c>
      <c r="P147" s="179">
        <f>VLOOKUP(A147,'OI(Value)'!A147:O348,8,0)</f>
        <v>4001</v>
      </c>
      <c r="Q147" s="179">
        <f>VLOOKUP(A147,'OI(Value)'!A147:O348,9,0)</f>
        <v>-45</v>
      </c>
      <c r="R147" s="179">
        <f>VLOOKUP(A147,'OI(Value)'!A147:O348,11,0)</f>
        <v>1249</v>
      </c>
      <c r="S147" s="179">
        <f>VLOOKUP(A147,'OI(Value)'!A147:O348,11,0)</f>
        <v>1249</v>
      </c>
    </row>
    <row r="148" spans="1:19" x14ac:dyDescent="0.25">
      <c r="A148" s="105" t="str">
        <f>'Data shares'!C143</f>
        <v>MAXHEALTH</v>
      </c>
      <c r="B148" s="143">
        <f>VLOOKUP($A148,'Data shares'!$C:$FA,118)</f>
        <v>0.37</v>
      </c>
      <c r="C148" s="143">
        <f>VLOOKUP($A148,'Data shares'!$C:$FA,119)</f>
        <v>0.36</v>
      </c>
      <c r="D148" s="143">
        <f>VLOOKUP($A148,'Data shares'!$C:$FA,121)*100</f>
        <v>2.78</v>
      </c>
      <c r="E148" s="143">
        <f>VLOOKUP($A148,'Data shares'!$C:$FA,124)</f>
        <v>0.28999999999999998</v>
      </c>
      <c r="F148" s="143">
        <f>VLOOKUP($A148,'Data shares'!$C:$FA,125)</f>
        <v>0.43</v>
      </c>
      <c r="G148" s="143">
        <f>VLOOKUP($A148,'Data shares'!$C:$FA,127)*100</f>
        <v>-32.56</v>
      </c>
      <c r="H148" s="103">
        <f>VLOOKUP($A148,'OI(Volume)'!$A$7:$O$427,8)</f>
        <v>3353700</v>
      </c>
      <c r="I148" s="103">
        <f>VLOOKUP($A148,'OI(Volume)'!$A$7:$O$427,9)</f>
        <v>-170625</v>
      </c>
      <c r="J148" s="103">
        <f>VLOOKUP($A148,'OI(Volume)'!$A$7:$O$427,11)</f>
        <v>1246350</v>
      </c>
      <c r="K148" s="103">
        <f>VLOOKUP($A148,'OI(Volume)'!$A$7:$O$427,12)</f>
        <v>-22575</v>
      </c>
      <c r="L148" s="103">
        <f>VLOOKUP($A148,'OI(Value)'!$A$7:$O$306,8,0)</f>
        <v>409</v>
      </c>
      <c r="M148" s="103">
        <f>VLOOKUP($A148,'OI(Value)'!$A$7:$O$306,9,0)</f>
        <v>-21</v>
      </c>
      <c r="N148" s="103">
        <f>VLOOKUP($A148,'OI(Value)'!$A$7:$O$306,11,0)</f>
        <v>152</v>
      </c>
      <c r="O148" s="103">
        <f>VLOOKUP($A148,'OI(Value)'!$A$7:$O$306,12,0)</f>
        <v>-3</v>
      </c>
      <c r="P148" s="179">
        <f>VLOOKUP(A148,'OI(Value)'!A148:O349,8,0)</f>
        <v>409</v>
      </c>
      <c r="Q148" s="179">
        <f>VLOOKUP(A148,'OI(Value)'!A148:O349,9,0)</f>
        <v>-21</v>
      </c>
      <c r="R148" s="179">
        <f>VLOOKUP(A148,'OI(Value)'!A148:O349,11,0)</f>
        <v>152</v>
      </c>
      <c r="S148" s="179">
        <f>VLOOKUP(A148,'OI(Value)'!A148:O349,11,0)</f>
        <v>152</v>
      </c>
    </row>
    <row r="149" spans="1:19" x14ac:dyDescent="0.25">
      <c r="A149" s="105" t="str">
        <f>'Data shares'!C144</f>
        <v>MAZDOCK</v>
      </c>
      <c r="B149" s="143">
        <f>VLOOKUP($A149,'Data shares'!$C:$FA,118)</f>
        <v>0.42</v>
      </c>
      <c r="C149" s="143">
        <f>VLOOKUP($A149,'Data shares'!$C:$FA,119)</f>
        <v>0.45</v>
      </c>
      <c r="D149" s="143">
        <f>VLOOKUP($A149,'Data shares'!$C:$FA,121)*100</f>
        <v>-6.67</v>
      </c>
      <c r="E149" s="143">
        <f>VLOOKUP($A149,'Data shares'!$C:$FA,124)</f>
        <v>0.22</v>
      </c>
      <c r="F149" s="143">
        <f>VLOOKUP($A149,'Data shares'!$C:$FA,125)</f>
        <v>0.25</v>
      </c>
      <c r="G149" s="143">
        <f>VLOOKUP($A149,'Data shares'!$C:$FA,127)*100</f>
        <v>-12</v>
      </c>
      <c r="H149" s="103">
        <f>VLOOKUP($A149,'OI(Volume)'!$A$7:$O$427,8)</f>
        <v>2989175</v>
      </c>
      <c r="I149" s="103">
        <f>VLOOKUP($A149,'OI(Volume)'!$A$7:$O$427,9)</f>
        <v>274050</v>
      </c>
      <c r="J149" s="103">
        <f>VLOOKUP($A149,'OI(Volume)'!$A$7:$O$427,11)</f>
        <v>1249325</v>
      </c>
      <c r="K149" s="103">
        <f>VLOOKUP($A149,'OI(Volume)'!$A$7:$O$427,12)</f>
        <v>30625</v>
      </c>
      <c r="L149" s="103">
        <f>VLOOKUP($A149,'OI(Value)'!$A$7:$O$306,8,0)</f>
        <v>876</v>
      </c>
      <c r="M149" s="103">
        <f>VLOOKUP($A149,'OI(Value)'!$A$7:$O$306,9,0)</f>
        <v>80</v>
      </c>
      <c r="N149" s="103">
        <f>VLOOKUP($A149,'OI(Value)'!$A$7:$O$306,11,0)</f>
        <v>366</v>
      </c>
      <c r="O149" s="103">
        <f>VLOOKUP($A149,'OI(Value)'!$A$7:$O$306,12,0)</f>
        <v>9</v>
      </c>
      <c r="P149" s="179">
        <f>VLOOKUP(A149,'OI(Value)'!A149:O350,8,0)</f>
        <v>876</v>
      </c>
      <c r="Q149" s="179">
        <f>VLOOKUP(A149,'OI(Value)'!A149:O350,9,0)</f>
        <v>80</v>
      </c>
      <c r="R149" s="179">
        <f>VLOOKUP(A149,'OI(Value)'!A149:O350,11,0)</f>
        <v>366</v>
      </c>
      <c r="S149" s="179">
        <f>VLOOKUP(A149,'OI(Value)'!A149:O350,11,0)</f>
        <v>366</v>
      </c>
    </row>
    <row r="150" spans="1:19" x14ac:dyDescent="0.25">
      <c r="A150" s="105" t="str">
        <f>'Data shares'!C145</f>
        <v>MCX</v>
      </c>
      <c r="B150" s="143">
        <f>VLOOKUP($A150,'Data shares'!$C:$FA,118)</f>
        <v>0.54</v>
      </c>
      <c r="C150" s="143">
        <f>VLOOKUP($A150,'Data shares'!$C:$FA,119)</f>
        <v>0.57999999999999996</v>
      </c>
      <c r="D150" s="143">
        <f>VLOOKUP($A150,'Data shares'!$C:$FA,121)*100</f>
        <v>-6.9</v>
      </c>
      <c r="E150" s="143">
        <f>VLOOKUP($A150,'Data shares'!$C:$FA,124)</f>
        <v>0.39</v>
      </c>
      <c r="F150" s="143">
        <f>VLOOKUP($A150,'Data shares'!$C:$FA,125)</f>
        <v>0.45</v>
      </c>
      <c r="G150" s="143">
        <f>VLOOKUP($A150,'Data shares'!$C:$FA,127)*100</f>
        <v>-13.33</v>
      </c>
      <c r="H150" s="103">
        <f>VLOOKUP($A150,'OI(Volume)'!$A$7:$O$427,8)</f>
        <v>3495750</v>
      </c>
      <c r="I150" s="103">
        <f>VLOOKUP($A150,'OI(Volume)'!$A$7:$O$427,9)</f>
        <v>284875</v>
      </c>
      <c r="J150" s="103">
        <f>VLOOKUP($A150,'OI(Volume)'!$A$7:$O$427,11)</f>
        <v>1886125</v>
      </c>
      <c r="K150" s="103">
        <f>VLOOKUP($A150,'OI(Volume)'!$A$7:$O$427,12)</f>
        <v>29750</v>
      </c>
      <c r="L150" s="103">
        <f>VLOOKUP($A150,'OI(Value)'!$A$7:$O$306,8,0)</f>
        <v>2860</v>
      </c>
      <c r="M150" s="103">
        <f>VLOOKUP($A150,'OI(Value)'!$A$7:$O$306,9,0)</f>
        <v>233</v>
      </c>
      <c r="N150" s="103">
        <f>VLOOKUP($A150,'OI(Value)'!$A$7:$O$306,11,0)</f>
        <v>1543</v>
      </c>
      <c r="O150" s="103">
        <f>VLOOKUP($A150,'OI(Value)'!$A$7:$O$306,12,0)</f>
        <v>24</v>
      </c>
      <c r="P150" s="179">
        <f>VLOOKUP(A150,'OI(Value)'!A150:O351,8,0)</f>
        <v>2860</v>
      </c>
      <c r="Q150" s="179">
        <f>VLOOKUP(A150,'OI(Value)'!A150:O351,9,0)</f>
        <v>233</v>
      </c>
      <c r="R150" s="179">
        <f>VLOOKUP(A150,'OI(Value)'!A150:O351,11,0)</f>
        <v>1543</v>
      </c>
      <c r="S150" s="179">
        <f>VLOOKUP(A150,'OI(Value)'!A150:O351,11,0)</f>
        <v>1543</v>
      </c>
    </row>
    <row r="151" spans="1:19" x14ac:dyDescent="0.25">
      <c r="A151" s="105" t="str">
        <f>'Data shares'!C146</f>
        <v>MFSL</v>
      </c>
      <c r="B151" s="143">
        <f>VLOOKUP($A151,'Data shares'!$C:$FA,118)</f>
        <v>0.82</v>
      </c>
      <c r="C151" s="143">
        <f>VLOOKUP($A151,'Data shares'!$C:$FA,119)</f>
        <v>0.81</v>
      </c>
      <c r="D151" s="143">
        <f>VLOOKUP($A151,'Data shares'!$C:$FA,121)*100</f>
        <v>1.23</v>
      </c>
      <c r="E151" s="143">
        <f>VLOOKUP($A151,'Data shares'!$C:$FA,124)</f>
        <v>0.39</v>
      </c>
      <c r="F151" s="143">
        <f>VLOOKUP($A151,'Data shares'!$C:$FA,125)</f>
        <v>0.42</v>
      </c>
      <c r="G151" s="143">
        <f>VLOOKUP($A151,'Data shares'!$C:$FA,127)*100</f>
        <v>-7.1400000000000006</v>
      </c>
      <c r="H151" s="103">
        <f>VLOOKUP($A151,'OI(Volume)'!$A$7:$O$427,8)</f>
        <v>1706400</v>
      </c>
      <c r="I151" s="103">
        <f>VLOOKUP($A151,'OI(Volume)'!$A$7:$O$427,9)</f>
        <v>-49600</v>
      </c>
      <c r="J151" s="103">
        <f>VLOOKUP($A151,'OI(Volume)'!$A$7:$O$427,11)</f>
        <v>1405600</v>
      </c>
      <c r="K151" s="103">
        <f>VLOOKUP($A151,'OI(Volume)'!$A$7:$O$427,12)</f>
        <v>-19200</v>
      </c>
      <c r="L151" s="103">
        <f>VLOOKUP($A151,'OI(Value)'!$A$7:$O$306,8,0)</f>
        <v>267</v>
      </c>
      <c r="M151" s="103">
        <f>VLOOKUP($A151,'OI(Value)'!$A$7:$O$306,9,0)</f>
        <v>-8</v>
      </c>
      <c r="N151" s="103">
        <f>VLOOKUP($A151,'OI(Value)'!$A$7:$O$306,11,0)</f>
        <v>220</v>
      </c>
      <c r="O151" s="103">
        <f>VLOOKUP($A151,'OI(Value)'!$A$7:$O$306,12,0)</f>
        <v>-3</v>
      </c>
      <c r="P151" s="179">
        <f>VLOOKUP(A151,'OI(Value)'!A151:O352,8,0)</f>
        <v>267</v>
      </c>
      <c r="Q151" s="179">
        <f>VLOOKUP(A151,'OI(Value)'!A151:O352,9,0)</f>
        <v>-8</v>
      </c>
      <c r="R151" s="179">
        <f>VLOOKUP(A151,'OI(Value)'!A151:O352,11,0)</f>
        <v>220</v>
      </c>
      <c r="S151" s="179">
        <f>VLOOKUP(A151,'OI(Value)'!A151:O352,11,0)</f>
        <v>220</v>
      </c>
    </row>
    <row r="152" spans="1:19" x14ac:dyDescent="0.25">
      <c r="A152" s="105" t="str">
        <f>'Data shares'!C147</f>
        <v>MGL</v>
      </c>
      <c r="B152" s="143">
        <f>VLOOKUP($A152,'Data shares'!$C:$FA,118)</f>
        <v>0.47</v>
      </c>
      <c r="C152" s="143">
        <f>VLOOKUP($A152,'Data shares'!$C:$FA,119)</f>
        <v>0.76</v>
      </c>
      <c r="D152" s="143">
        <f>VLOOKUP($A152,'Data shares'!$C:$FA,121)*100</f>
        <v>-38.159999999999997</v>
      </c>
      <c r="E152" s="143">
        <f>VLOOKUP($A152,'Data shares'!$C:$FA,124)</f>
        <v>0.43</v>
      </c>
      <c r="F152" s="143">
        <f>VLOOKUP($A152,'Data shares'!$C:$FA,125)</f>
        <v>0.65</v>
      </c>
      <c r="G152" s="143">
        <f>VLOOKUP($A152,'Data shares'!$C:$FA,127)*100</f>
        <v>-33.85</v>
      </c>
      <c r="H152" s="103">
        <f>VLOOKUP($A152,'OI(Volume)'!$A$7:$O$427,8)</f>
        <v>3577600</v>
      </c>
      <c r="I152" s="103">
        <f>VLOOKUP($A152,'OI(Volume)'!$A$7:$O$427,9)</f>
        <v>1773200</v>
      </c>
      <c r="J152" s="103">
        <f>VLOOKUP($A152,'OI(Volume)'!$A$7:$O$427,11)</f>
        <v>1686400</v>
      </c>
      <c r="K152" s="103">
        <f>VLOOKUP($A152,'OI(Volume)'!$A$7:$O$427,12)</f>
        <v>319600</v>
      </c>
      <c r="L152" s="103">
        <f>VLOOKUP($A152,'OI(Value)'!$A$7:$O$306,8,0)</f>
        <v>532</v>
      </c>
      <c r="M152" s="103">
        <f>VLOOKUP($A152,'OI(Value)'!$A$7:$O$306,9,0)</f>
        <v>264</v>
      </c>
      <c r="N152" s="103">
        <f>VLOOKUP($A152,'OI(Value)'!$A$7:$O$306,11,0)</f>
        <v>251</v>
      </c>
      <c r="O152" s="103">
        <f>VLOOKUP($A152,'OI(Value)'!$A$7:$O$306,12,0)</f>
        <v>48</v>
      </c>
      <c r="P152" s="179">
        <f>VLOOKUP(A152,'OI(Value)'!A152:O353,8,0)</f>
        <v>532</v>
      </c>
      <c r="Q152" s="179">
        <f>VLOOKUP(A152,'OI(Value)'!A152:O353,9,0)</f>
        <v>264</v>
      </c>
      <c r="R152" s="179">
        <f>VLOOKUP(A152,'OI(Value)'!A152:O353,11,0)</f>
        <v>251</v>
      </c>
      <c r="S152" s="179">
        <f>VLOOKUP(A152,'OI(Value)'!A152:O353,11,0)</f>
        <v>251</v>
      </c>
    </row>
    <row r="153" spans="1:19" x14ac:dyDescent="0.25">
      <c r="A153" s="105" t="str">
        <f>'Data shares'!C148</f>
        <v>MIDCPNIFTY</v>
      </c>
      <c r="B153" s="143">
        <f>VLOOKUP($A153,'Data shares'!$C:$FA,118)</f>
        <v>0.79</v>
      </c>
      <c r="C153" s="143">
        <f>VLOOKUP($A153,'Data shares'!$C:$FA,119)</f>
        <v>0.89</v>
      </c>
      <c r="D153" s="143">
        <f>VLOOKUP($A153,'Data shares'!$C:$FA,121)*100</f>
        <v>-11.24</v>
      </c>
      <c r="E153" s="143">
        <f>VLOOKUP($A153,'Data shares'!$C:$FA,124)</f>
        <v>0.85</v>
      </c>
      <c r="F153" s="143">
        <f>VLOOKUP($A153,'Data shares'!$C:$FA,125)</f>
        <v>0.9</v>
      </c>
      <c r="G153" s="143">
        <f>VLOOKUP($A153,'Data shares'!$C:$FA,127)*100</f>
        <v>-5.56</v>
      </c>
      <c r="H153" s="103">
        <f>VLOOKUP($A153,'OI(Volume)'!$A$7:$O$427,8)</f>
        <v>11876900</v>
      </c>
      <c r="I153" s="103">
        <f>VLOOKUP($A153,'OI(Volume)'!$A$7:$O$427,9)</f>
        <v>1719200</v>
      </c>
      <c r="J153" s="103">
        <f>VLOOKUP($A153,'OI(Volume)'!$A$7:$O$427,11)</f>
        <v>9441880</v>
      </c>
      <c r="K153" s="103">
        <f>VLOOKUP($A153,'OI(Volume)'!$A$7:$O$427,12)</f>
        <v>425460</v>
      </c>
      <c r="L153" s="103">
        <f>VLOOKUP($A153,'OI(Value)'!$A$7:$O$306,8,0)</f>
        <v>15701</v>
      </c>
      <c r="M153" s="103">
        <f>VLOOKUP($A153,'OI(Value)'!$A$7:$O$306,9,0)</f>
        <v>2273</v>
      </c>
      <c r="N153" s="103">
        <f>VLOOKUP($A153,'OI(Value)'!$A$7:$O$306,11,0)</f>
        <v>12482</v>
      </c>
      <c r="O153" s="103">
        <f>VLOOKUP($A153,'OI(Value)'!$A$7:$O$306,12,0)</f>
        <v>562</v>
      </c>
      <c r="P153" s="179">
        <f>VLOOKUP(A153,'OI(Value)'!A153:O354,8,0)</f>
        <v>15701</v>
      </c>
      <c r="Q153" s="179">
        <f>VLOOKUP(A153,'OI(Value)'!A153:O354,9,0)</f>
        <v>2273</v>
      </c>
      <c r="R153" s="179">
        <f>VLOOKUP(A153,'OI(Value)'!A153:O354,11,0)</f>
        <v>12482</v>
      </c>
      <c r="S153" s="179">
        <f>VLOOKUP(A153,'OI(Value)'!A153:O354,11,0)</f>
        <v>12482</v>
      </c>
    </row>
    <row r="154" spans="1:19" x14ac:dyDescent="0.25">
      <c r="A154" s="105" t="str">
        <f>'Data shares'!C149</f>
        <v>MOTHERSON</v>
      </c>
      <c r="B154" s="143">
        <f>VLOOKUP($A154,'Data shares'!$C:$FA,118)</f>
        <v>0.53</v>
      </c>
      <c r="C154" s="143">
        <f>VLOOKUP($A154,'Data shares'!$C:$FA,119)</f>
        <v>0.56000000000000005</v>
      </c>
      <c r="D154" s="143">
        <f>VLOOKUP($A154,'Data shares'!$C:$FA,121)*100</f>
        <v>-5.36</v>
      </c>
      <c r="E154" s="143">
        <f>VLOOKUP($A154,'Data shares'!$C:$FA,124)</f>
        <v>0.53</v>
      </c>
      <c r="F154" s="143">
        <f>VLOOKUP($A154,'Data shares'!$C:$FA,125)</f>
        <v>0.39</v>
      </c>
      <c r="G154" s="143">
        <f>VLOOKUP($A154,'Data shares'!$C:$FA,127)*100</f>
        <v>35.9</v>
      </c>
      <c r="H154" s="103">
        <f>VLOOKUP($A154,'OI(Volume)'!$A$7:$O$427,8)</f>
        <v>46819950</v>
      </c>
      <c r="I154" s="103">
        <f>VLOOKUP($A154,'OI(Volume)'!$A$7:$O$427,9)</f>
        <v>3942150</v>
      </c>
      <c r="J154" s="103">
        <f>VLOOKUP($A154,'OI(Volume)'!$A$7:$O$427,11)</f>
        <v>24655350</v>
      </c>
      <c r="K154" s="103">
        <f>VLOOKUP($A154,'OI(Volume)'!$A$7:$O$427,12)</f>
        <v>848700</v>
      </c>
      <c r="L154" s="103">
        <f>VLOOKUP($A154,'OI(Value)'!$A$7:$O$306,8,0)</f>
        <v>456</v>
      </c>
      <c r="M154" s="103">
        <f>VLOOKUP($A154,'OI(Value)'!$A$7:$O$306,9,0)</f>
        <v>38</v>
      </c>
      <c r="N154" s="103">
        <f>VLOOKUP($A154,'OI(Value)'!$A$7:$O$306,11,0)</f>
        <v>240</v>
      </c>
      <c r="O154" s="103">
        <f>VLOOKUP($A154,'OI(Value)'!$A$7:$O$306,12,0)</f>
        <v>8</v>
      </c>
      <c r="P154" s="179">
        <f>VLOOKUP(A154,'OI(Value)'!A154:O355,8,0)</f>
        <v>456</v>
      </c>
      <c r="Q154" s="179">
        <f>VLOOKUP(A154,'OI(Value)'!A154:O355,9,0)</f>
        <v>38</v>
      </c>
      <c r="R154" s="179">
        <f>VLOOKUP(A154,'OI(Value)'!A154:O355,11,0)</f>
        <v>240</v>
      </c>
      <c r="S154" s="179">
        <f>VLOOKUP(A154,'OI(Value)'!A154:O355,11,0)</f>
        <v>240</v>
      </c>
    </row>
    <row r="155" spans="1:19" x14ac:dyDescent="0.25">
      <c r="A155" s="105" t="str">
        <f>'Data shares'!C150</f>
        <v>MPHASIS</v>
      </c>
      <c r="B155" s="143">
        <f>VLOOKUP($A155,'Data shares'!$C:$FA,118)</f>
        <v>0.96</v>
      </c>
      <c r="C155" s="143">
        <f>VLOOKUP($A155,'Data shares'!$C:$FA,119)</f>
        <v>0.95</v>
      </c>
      <c r="D155" s="143">
        <f>VLOOKUP($A155,'Data shares'!$C:$FA,121)*100</f>
        <v>1.05</v>
      </c>
      <c r="E155" s="143">
        <f>VLOOKUP($A155,'Data shares'!$C:$FA,124)</f>
        <v>0.66</v>
      </c>
      <c r="F155" s="143">
        <f>VLOOKUP($A155,'Data shares'!$C:$FA,125)</f>
        <v>0.56000000000000005</v>
      </c>
      <c r="G155" s="143">
        <f>VLOOKUP($A155,'Data shares'!$C:$FA,127)*100</f>
        <v>17.86</v>
      </c>
      <c r="H155" s="103">
        <f>VLOOKUP($A155,'OI(Volume)'!$A$7:$O$427,8)</f>
        <v>986700</v>
      </c>
      <c r="I155" s="103">
        <f>VLOOKUP($A155,'OI(Volume)'!$A$7:$O$427,9)</f>
        <v>-27775</v>
      </c>
      <c r="J155" s="103">
        <f>VLOOKUP($A155,'OI(Volume)'!$A$7:$O$427,11)</f>
        <v>952050</v>
      </c>
      <c r="K155" s="103">
        <f>VLOOKUP($A155,'OI(Volume)'!$A$7:$O$427,12)</f>
        <v>-13200</v>
      </c>
      <c r="L155" s="103">
        <f>VLOOKUP($A155,'OI(Value)'!$A$7:$O$306,8,0)</f>
        <v>275</v>
      </c>
      <c r="M155" s="103">
        <f>VLOOKUP($A155,'OI(Value)'!$A$7:$O$306,9,0)</f>
        <v>-8</v>
      </c>
      <c r="N155" s="103">
        <f>VLOOKUP($A155,'OI(Value)'!$A$7:$O$306,11,0)</f>
        <v>265</v>
      </c>
      <c r="O155" s="103">
        <f>VLOOKUP($A155,'OI(Value)'!$A$7:$O$306,12,0)</f>
        <v>-4</v>
      </c>
      <c r="P155" s="179">
        <f>VLOOKUP(A155,'OI(Value)'!A155:O356,8,0)</f>
        <v>275</v>
      </c>
      <c r="Q155" s="179">
        <f>VLOOKUP(A155,'OI(Value)'!A155:O356,9,0)</f>
        <v>-8</v>
      </c>
      <c r="R155" s="179">
        <f>VLOOKUP(A155,'OI(Value)'!A155:O356,11,0)</f>
        <v>265</v>
      </c>
      <c r="S155" s="179">
        <f>VLOOKUP(A155,'OI(Value)'!A155:O356,11,0)</f>
        <v>265</v>
      </c>
    </row>
    <row r="156" spans="1:19" x14ac:dyDescent="0.25">
      <c r="A156" s="105" t="str">
        <f>'Data shares'!C151</f>
        <v>MUTHOOTFIN</v>
      </c>
      <c r="B156" s="143">
        <f>VLOOKUP($A156,'Data shares'!$C:$FA,118)</f>
        <v>0.4</v>
      </c>
      <c r="C156" s="143">
        <f>VLOOKUP($A156,'Data shares'!$C:$FA,119)</f>
        <v>0.4</v>
      </c>
      <c r="D156" s="143">
        <f>VLOOKUP($A156,'Data shares'!$C:$FA,121)*100</f>
        <v>0</v>
      </c>
      <c r="E156" s="143">
        <f>VLOOKUP($A156,'Data shares'!$C:$FA,124)</f>
        <v>0.42</v>
      </c>
      <c r="F156" s="143">
        <f>VLOOKUP($A156,'Data shares'!$C:$FA,125)</f>
        <v>0.25</v>
      </c>
      <c r="G156" s="143">
        <f>VLOOKUP($A156,'Data shares'!$C:$FA,127)*100</f>
        <v>68</v>
      </c>
      <c r="H156" s="103">
        <f>VLOOKUP($A156,'OI(Volume)'!$A$7:$O$427,8)</f>
        <v>2820400</v>
      </c>
      <c r="I156" s="103">
        <f>VLOOKUP($A156,'OI(Volume)'!$A$7:$O$427,9)</f>
        <v>-87725</v>
      </c>
      <c r="J156" s="103">
        <f>VLOOKUP($A156,'OI(Volume)'!$A$7:$O$427,11)</f>
        <v>1125025</v>
      </c>
      <c r="K156" s="103">
        <f>VLOOKUP($A156,'OI(Volume)'!$A$7:$O$427,12)</f>
        <v>-27775</v>
      </c>
      <c r="L156" s="103">
        <f>VLOOKUP($A156,'OI(Value)'!$A$7:$O$306,8,0)</f>
        <v>753</v>
      </c>
      <c r="M156" s="103">
        <f>VLOOKUP($A156,'OI(Value)'!$A$7:$O$306,9,0)</f>
        <v>-23</v>
      </c>
      <c r="N156" s="103">
        <f>VLOOKUP($A156,'OI(Value)'!$A$7:$O$306,11,0)</f>
        <v>300</v>
      </c>
      <c r="O156" s="103">
        <f>VLOOKUP($A156,'OI(Value)'!$A$7:$O$306,12,0)</f>
        <v>-7</v>
      </c>
      <c r="P156" s="179">
        <f>VLOOKUP(A156,'OI(Value)'!A156:O357,8,0)</f>
        <v>753</v>
      </c>
      <c r="Q156" s="179">
        <f>VLOOKUP(A156,'OI(Value)'!A156:O357,9,0)</f>
        <v>-23</v>
      </c>
      <c r="R156" s="179">
        <f>VLOOKUP(A156,'OI(Value)'!A156:O357,11,0)</f>
        <v>300</v>
      </c>
      <c r="S156" s="179">
        <f>VLOOKUP(A156,'OI(Value)'!A156:O357,11,0)</f>
        <v>300</v>
      </c>
    </row>
    <row r="157" spans="1:19" x14ac:dyDescent="0.25">
      <c r="A157" s="105" t="str">
        <f>'Data shares'!C152</f>
        <v>NATIONALUM</v>
      </c>
      <c r="B157" s="143">
        <f>VLOOKUP($A157,'Data shares'!$C:$FA,118)</f>
        <v>0.71</v>
      </c>
      <c r="C157" s="143">
        <f>VLOOKUP($A157,'Data shares'!$C:$FA,119)</f>
        <v>0.67</v>
      </c>
      <c r="D157" s="143">
        <f>VLOOKUP($A157,'Data shares'!$C:$FA,121)*100</f>
        <v>5.9700000000000006</v>
      </c>
      <c r="E157" s="143">
        <f>VLOOKUP($A157,'Data shares'!$C:$FA,124)</f>
        <v>0.48</v>
      </c>
      <c r="F157" s="143">
        <f>VLOOKUP($A157,'Data shares'!$C:$FA,125)</f>
        <v>0.46</v>
      </c>
      <c r="G157" s="143">
        <f>VLOOKUP($A157,'Data shares'!$C:$FA,127)*100</f>
        <v>4.3499999999999996</v>
      </c>
      <c r="H157" s="103">
        <f>VLOOKUP($A157,'OI(Volume)'!$A$7:$O$427,8)</f>
        <v>26336250</v>
      </c>
      <c r="I157" s="103">
        <f>VLOOKUP($A157,'OI(Volume)'!$A$7:$O$427,9)</f>
        <v>-1222500</v>
      </c>
      <c r="J157" s="103">
        <f>VLOOKUP($A157,'OI(Volume)'!$A$7:$O$427,11)</f>
        <v>18645000</v>
      </c>
      <c r="K157" s="103">
        <f>VLOOKUP($A157,'OI(Volume)'!$A$7:$O$427,12)</f>
        <v>281250</v>
      </c>
      <c r="L157" s="103">
        <f>VLOOKUP($A157,'OI(Value)'!$A$7:$O$306,8,0)</f>
        <v>519</v>
      </c>
      <c r="M157" s="103">
        <f>VLOOKUP($A157,'OI(Value)'!$A$7:$O$306,9,0)</f>
        <v>-24</v>
      </c>
      <c r="N157" s="103">
        <f>VLOOKUP($A157,'OI(Value)'!$A$7:$O$306,11,0)</f>
        <v>367</v>
      </c>
      <c r="O157" s="103">
        <f>VLOOKUP($A157,'OI(Value)'!$A$7:$O$306,12,0)</f>
        <v>6</v>
      </c>
      <c r="P157" s="179">
        <f>VLOOKUP(A157,'OI(Value)'!A157:O358,8,0)</f>
        <v>519</v>
      </c>
      <c r="Q157" s="179">
        <f>VLOOKUP(A157,'OI(Value)'!A157:O358,9,0)</f>
        <v>-24</v>
      </c>
      <c r="R157" s="179">
        <f>VLOOKUP(A157,'OI(Value)'!A157:O358,11,0)</f>
        <v>367</v>
      </c>
      <c r="S157" s="179">
        <f>VLOOKUP(A157,'OI(Value)'!A157:O358,11,0)</f>
        <v>367</v>
      </c>
    </row>
    <row r="158" spans="1:19" x14ac:dyDescent="0.25">
      <c r="A158" s="105" t="str">
        <f>'Data shares'!C153</f>
        <v>NAUKRI</v>
      </c>
      <c r="B158" s="143">
        <f>VLOOKUP($A158,'Data shares'!$C:$FA,118)</f>
        <v>0.51</v>
      </c>
      <c r="C158" s="143">
        <f>VLOOKUP($A158,'Data shares'!$C:$FA,119)</f>
        <v>0.46</v>
      </c>
      <c r="D158" s="143">
        <f>VLOOKUP($A158,'Data shares'!$C:$FA,121)*100</f>
        <v>10.870000000000001</v>
      </c>
      <c r="E158" s="143">
        <f>VLOOKUP($A158,'Data shares'!$C:$FA,124)</f>
        <v>0.3</v>
      </c>
      <c r="F158" s="143">
        <f>VLOOKUP($A158,'Data shares'!$C:$FA,125)</f>
        <v>0.28000000000000003</v>
      </c>
      <c r="G158" s="143">
        <f>VLOOKUP($A158,'Data shares'!$C:$FA,127)*100</f>
        <v>7.1400000000000006</v>
      </c>
      <c r="H158" s="103">
        <f>VLOOKUP($A158,'OI(Volume)'!$A$7:$O$427,8)</f>
        <v>2940750</v>
      </c>
      <c r="I158" s="103">
        <f>VLOOKUP($A158,'OI(Volume)'!$A$7:$O$427,9)</f>
        <v>-253875</v>
      </c>
      <c r="J158" s="103">
        <f>VLOOKUP($A158,'OI(Volume)'!$A$7:$O$427,11)</f>
        <v>1489125</v>
      </c>
      <c r="K158" s="103">
        <f>VLOOKUP($A158,'OI(Volume)'!$A$7:$O$427,12)</f>
        <v>31875</v>
      </c>
      <c r="L158" s="103">
        <f>VLOOKUP($A158,'OI(Value)'!$A$7:$O$306,8,0)</f>
        <v>428</v>
      </c>
      <c r="M158" s="103">
        <f>VLOOKUP($A158,'OI(Value)'!$A$7:$O$306,9,0)</f>
        <v>-37</v>
      </c>
      <c r="N158" s="103">
        <f>VLOOKUP($A158,'OI(Value)'!$A$7:$O$306,11,0)</f>
        <v>217</v>
      </c>
      <c r="O158" s="103">
        <f>VLOOKUP($A158,'OI(Value)'!$A$7:$O$306,12,0)</f>
        <v>5</v>
      </c>
      <c r="P158" s="179">
        <f>VLOOKUP(A158,'OI(Value)'!A158:O359,8,0)</f>
        <v>428</v>
      </c>
      <c r="Q158" s="179">
        <f>VLOOKUP(A158,'OI(Value)'!A158:O359,9,0)</f>
        <v>-37</v>
      </c>
      <c r="R158" s="179">
        <f>VLOOKUP(A158,'OI(Value)'!A158:O359,11,0)</f>
        <v>217</v>
      </c>
      <c r="S158" s="179">
        <f>VLOOKUP(A158,'OI(Value)'!A158:O359,11,0)</f>
        <v>217</v>
      </c>
    </row>
    <row r="159" spans="1:19" x14ac:dyDescent="0.25">
      <c r="A159" s="105" t="str">
        <f>'Data shares'!C154</f>
        <v>NBCC</v>
      </c>
      <c r="B159" s="143">
        <f>VLOOKUP($A159,'Data shares'!$C:$FA,118)</f>
        <v>0.49</v>
      </c>
      <c r="C159" s="143">
        <f>VLOOKUP($A159,'Data shares'!$C:$FA,119)</f>
        <v>0.5</v>
      </c>
      <c r="D159" s="143">
        <f>VLOOKUP($A159,'Data shares'!$C:$FA,121)*100</f>
        <v>-2</v>
      </c>
      <c r="E159" s="143">
        <f>VLOOKUP($A159,'Data shares'!$C:$FA,124)</f>
        <v>0.38</v>
      </c>
      <c r="F159" s="143">
        <f>VLOOKUP($A159,'Data shares'!$C:$FA,125)</f>
        <v>0.31</v>
      </c>
      <c r="G159" s="143">
        <f>VLOOKUP($A159,'Data shares'!$C:$FA,127)*100</f>
        <v>22.58</v>
      </c>
      <c r="H159" s="103">
        <f>VLOOKUP($A159,'OI(Volume)'!$A$7:$O$427,8)</f>
        <v>30199000</v>
      </c>
      <c r="I159" s="103">
        <f>VLOOKUP($A159,'OI(Volume)'!$A$7:$O$427,9)</f>
        <v>208000</v>
      </c>
      <c r="J159" s="103">
        <f>VLOOKUP($A159,'OI(Volume)'!$A$7:$O$427,11)</f>
        <v>14839500</v>
      </c>
      <c r="K159" s="103">
        <f>VLOOKUP($A159,'OI(Volume)'!$A$7:$O$427,12)</f>
        <v>-221000</v>
      </c>
      <c r="L159" s="103">
        <f>VLOOKUP($A159,'OI(Value)'!$A$7:$O$306,8,0)</f>
        <v>347</v>
      </c>
      <c r="M159" s="103">
        <f>VLOOKUP($A159,'OI(Value)'!$A$7:$O$306,9,0)</f>
        <v>2</v>
      </c>
      <c r="N159" s="103">
        <f>VLOOKUP($A159,'OI(Value)'!$A$7:$O$306,11,0)</f>
        <v>170</v>
      </c>
      <c r="O159" s="103">
        <f>VLOOKUP($A159,'OI(Value)'!$A$7:$O$306,12,0)</f>
        <v>-3</v>
      </c>
      <c r="P159" s="179">
        <f>VLOOKUP(A159,'OI(Value)'!A159:O360,8,0)</f>
        <v>347</v>
      </c>
      <c r="Q159" s="179">
        <f>VLOOKUP(A159,'OI(Value)'!A159:O360,9,0)</f>
        <v>2</v>
      </c>
      <c r="R159" s="179">
        <f>VLOOKUP(A159,'OI(Value)'!A159:O360,11,0)</f>
        <v>170</v>
      </c>
      <c r="S159" s="179">
        <f>VLOOKUP(A159,'OI(Value)'!A159:O360,11,0)</f>
        <v>170</v>
      </c>
    </row>
    <row r="160" spans="1:19" x14ac:dyDescent="0.25">
      <c r="A160" s="105" t="str">
        <f>'Data shares'!C155</f>
        <v>NCC</v>
      </c>
      <c r="B160" s="143">
        <f>VLOOKUP($A160,'Data shares'!$C:$FA,118)</f>
        <v>0.42</v>
      </c>
      <c r="C160" s="143">
        <f>VLOOKUP($A160,'Data shares'!$C:$FA,119)</f>
        <v>0.43</v>
      </c>
      <c r="D160" s="143">
        <f>VLOOKUP($A160,'Data shares'!$C:$FA,121)*100</f>
        <v>-2.33</v>
      </c>
      <c r="E160" s="143">
        <f>VLOOKUP($A160,'Data shares'!$C:$FA,124)</f>
        <v>0.28000000000000003</v>
      </c>
      <c r="F160" s="143">
        <f>VLOOKUP($A160,'Data shares'!$C:$FA,125)</f>
        <v>0.19</v>
      </c>
      <c r="G160" s="143">
        <f>VLOOKUP($A160,'Data shares'!$C:$FA,127)*100</f>
        <v>47.370000000000005</v>
      </c>
      <c r="H160" s="103">
        <f>VLOOKUP($A160,'OI(Volume)'!$A$7:$O$427,8)</f>
        <v>11286000</v>
      </c>
      <c r="I160" s="103">
        <f>VLOOKUP($A160,'OI(Volume)'!$A$7:$O$427,9)</f>
        <v>753300</v>
      </c>
      <c r="J160" s="103">
        <f>VLOOKUP($A160,'OI(Volume)'!$A$7:$O$427,11)</f>
        <v>4733100</v>
      </c>
      <c r="K160" s="103">
        <f>VLOOKUP($A160,'OI(Volume)'!$A$7:$O$427,12)</f>
        <v>172800</v>
      </c>
      <c r="L160" s="103">
        <f>VLOOKUP($A160,'OI(Value)'!$A$7:$O$306,8,0)</f>
        <v>257</v>
      </c>
      <c r="M160" s="103">
        <f>VLOOKUP($A160,'OI(Value)'!$A$7:$O$306,9,0)</f>
        <v>17</v>
      </c>
      <c r="N160" s="103">
        <f>VLOOKUP($A160,'OI(Value)'!$A$7:$O$306,11,0)</f>
        <v>108</v>
      </c>
      <c r="O160" s="103">
        <f>VLOOKUP($A160,'OI(Value)'!$A$7:$O$306,12,0)</f>
        <v>4</v>
      </c>
      <c r="P160" s="179">
        <f>VLOOKUP(A160,'OI(Value)'!A160:O361,8,0)</f>
        <v>257</v>
      </c>
      <c r="Q160" s="179">
        <f>VLOOKUP(A160,'OI(Value)'!A160:O361,9,0)</f>
        <v>17</v>
      </c>
      <c r="R160" s="179">
        <f>VLOOKUP(A160,'OI(Value)'!A160:O361,11,0)</f>
        <v>108</v>
      </c>
      <c r="S160" s="179">
        <f>VLOOKUP(A160,'OI(Value)'!A160:O361,11,0)</f>
        <v>108</v>
      </c>
    </row>
    <row r="161" spans="1:19" x14ac:dyDescent="0.25">
      <c r="A161" s="105" t="str">
        <f>'Data shares'!C156</f>
        <v>NESTLEIND</v>
      </c>
      <c r="B161" s="143">
        <f>VLOOKUP($A161,'Data shares'!$C:$FA,118)</f>
        <v>1</v>
      </c>
      <c r="C161" s="143">
        <f>VLOOKUP($A161,'Data shares'!$C:$FA,119)</f>
        <v>0.97</v>
      </c>
      <c r="D161" s="143">
        <f>VLOOKUP($A161,'Data shares'!$C:$FA,121)*100</f>
        <v>3.09</v>
      </c>
      <c r="E161" s="143">
        <f>VLOOKUP($A161,'Data shares'!$C:$FA,124)</f>
        <v>0.79</v>
      </c>
      <c r="F161" s="143">
        <f>VLOOKUP($A161,'Data shares'!$C:$FA,125)</f>
        <v>0.8</v>
      </c>
      <c r="G161" s="143">
        <f>VLOOKUP($A161,'Data shares'!$C:$FA,127)*100</f>
        <v>-1.25</v>
      </c>
      <c r="H161" s="103">
        <f>VLOOKUP($A161,'OI(Volume)'!$A$7:$O$427,8)</f>
        <v>2265250</v>
      </c>
      <c r="I161" s="103">
        <f>VLOOKUP($A161,'OI(Volume)'!$A$7:$O$427,9)</f>
        <v>70500</v>
      </c>
      <c r="J161" s="103">
        <f>VLOOKUP($A161,'OI(Volume)'!$A$7:$O$427,11)</f>
        <v>2265250</v>
      </c>
      <c r="K161" s="103">
        <f>VLOOKUP($A161,'OI(Volume)'!$A$7:$O$427,12)</f>
        <v>127250</v>
      </c>
      <c r="L161" s="103">
        <f>VLOOKUP($A161,'OI(Value)'!$A$7:$O$306,8,0)</f>
        <v>554</v>
      </c>
      <c r="M161" s="103">
        <f>VLOOKUP($A161,'OI(Value)'!$A$7:$O$306,9,0)</f>
        <v>17</v>
      </c>
      <c r="N161" s="103">
        <f>VLOOKUP($A161,'OI(Value)'!$A$7:$O$306,11,0)</f>
        <v>554</v>
      </c>
      <c r="O161" s="103">
        <f>VLOOKUP($A161,'OI(Value)'!$A$7:$O$306,12,0)</f>
        <v>31</v>
      </c>
      <c r="P161" s="179">
        <f>VLOOKUP(A161,'OI(Value)'!A161:O362,8,0)</f>
        <v>554</v>
      </c>
      <c r="Q161" s="179">
        <f>VLOOKUP(A161,'OI(Value)'!A161:O362,9,0)</f>
        <v>17</v>
      </c>
      <c r="R161" s="179">
        <f>VLOOKUP(A161,'OI(Value)'!A161:O362,11,0)</f>
        <v>554</v>
      </c>
      <c r="S161" s="179">
        <f>VLOOKUP(A161,'OI(Value)'!A161:O362,11,0)</f>
        <v>554</v>
      </c>
    </row>
    <row r="162" spans="1:19" x14ac:dyDescent="0.25">
      <c r="A162" s="105" t="str">
        <f>'Data shares'!C157</f>
        <v>NHPC</v>
      </c>
      <c r="B162" s="143">
        <f>VLOOKUP($A162,'Data shares'!$C:$FA,118)</f>
        <v>0.5</v>
      </c>
      <c r="C162" s="143">
        <f>VLOOKUP($A162,'Data shares'!$C:$FA,119)</f>
        <v>0.52</v>
      </c>
      <c r="D162" s="143">
        <f>VLOOKUP($A162,'Data shares'!$C:$FA,121)*100</f>
        <v>-3.85</v>
      </c>
      <c r="E162" s="143">
        <f>VLOOKUP($A162,'Data shares'!$C:$FA,124)</f>
        <v>0.27</v>
      </c>
      <c r="F162" s="143">
        <f>VLOOKUP($A162,'Data shares'!$C:$FA,125)</f>
        <v>0.56000000000000005</v>
      </c>
      <c r="G162" s="143">
        <f>VLOOKUP($A162,'Data shares'!$C:$FA,127)*100</f>
        <v>-51.790000000000006</v>
      </c>
      <c r="H162" s="103">
        <f>VLOOKUP($A162,'OI(Volume)'!$A$7:$O$427,8)</f>
        <v>23545600</v>
      </c>
      <c r="I162" s="103">
        <f>VLOOKUP($A162,'OI(Volume)'!$A$7:$O$427,9)</f>
        <v>320000</v>
      </c>
      <c r="J162" s="103">
        <f>VLOOKUP($A162,'OI(Volume)'!$A$7:$O$427,11)</f>
        <v>11827200</v>
      </c>
      <c r="K162" s="103">
        <f>VLOOKUP($A162,'OI(Volume)'!$A$7:$O$427,12)</f>
        <v>-236800</v>
      </c>
      <c r="L162" s="103">
        <f>VLOOKUP($A162,'OI(Value)'!$A$7:$O$306,8,0)</f>
        <v>204</v>
      </c>
      <c r="M162" s="103">
        <f>VLOOKUP($A162,'OI(Value)'!$A$7:$O$306,9,0)</f>
        <v>3</v>
      </c>
      <c r="N162" s="103">
        <f>VLOOKUP($A162,'OI(Value)'!$A$7:$O$306,11,0)</f>
        <v>102</v>
      </c>
      <c r="O162" s="103">
        <f>VLOOKUP($A162,'OI(Value)'!$A$7:$O$306,12,0)</f>
        <v>-2</v>
      </c>
      <c r="P162" s="179">
        <f>VLOOKUP(A162,'OI(Value)'!A162:O363,8,0)</f>
        <v>204</v>
      </c>
      <c r="Q162" s="179">
        <f>VLOOKUP(A162,'OI(Value)'!A162:O363,9,0)</f>
        <v>3</v>
      </c>
      <c r="R162" s="179">
        <f>VLOOKUP(A162,'OI(Value)'!A162:O363,11,0)</f>
        <v>102</v>
      </c>
      <c r="S162" s="179">
        <f>VLOOKUP(A162,'OI(Value)'!A162:O363,11,0)</f>
        <v>102</v>
      </c>
    </row>
    <row r="163" spans="1:19" x14ac:dyDescent="0.25">
      <c r="A163" s="105" t="str">
        <f>'Data shares'!C158</f>
        <v>NIFTY</v>
      </c>
      <c r="B163" s="143">
        <f>VLOOKUP($A163,'Data shares'!$C:$FA,118)</f>
        <v>0.84</v>
      </c>
      <c r="C163" s="143">
        <f>VLOOKUP($A163,'Data shares'!$C:$FA,119)</f>
        <v>0.96</v>
      </c>
      <c r="D163" s="143">
        <f>VLOOKUP($A163,'Data shares'!$C:$FA,121)*100</f>
        <v>-12.5</v>
      </c>
      <c r="E163" s="143">
        <f>VLOOKUP($A163,'Data shares'!$C:$FA,124)</f>
        <v>0.98</v>
      </c>
      <c r="F163" s="143">
        <f>VLOOKUP($A163,'Data shares'!$C:$FA,125)</f>
        <v>0.85</v>
      </c>
      <c r="G163" s="143">
        <f>VLOOKUP($A163,'Data shares'!$C:$FA,127)*100</f>
        <v>15.290000000000001</v>
      </c>
      <c r="H163" s="103">
        <f>VLOOKUP($A163,'OI(Volume)'!$A$7:$O$427,8)</f>
        <v>264543025</v>
      </c>
      <c r="I163" s="103">
        <f>VLOOKUP($A163,'OI(Volume)'!$A$7:$O$427,9)</f>
        <v>43152800</v>
      </c>
      <c r="J163" s="103">
        <f>VLOOKUP($A163,'OI(Volume)'!$A$7:$O$427,11)</f>
        <v>221494850</v>
      </c>
      <c r="K163" s="103">
        <f>VLOOKUP($A163,'OI(Volume)'!$A$7:$O$427,12)</f>
        <v>10055650</v>
      </c>
      <c r="L163" s="103">
        <f>VLOOKUP($A163,'OI(Value)'!$A$7:$O$306,8,0)</f>
        <v>663842</v>
      </c>
      <c r="M163" s="103">
        <f>VLOOKUP($A163,'OI(Value)'!$A$7:$O$306,9,0)</f>
        <v>108287</v>
      </c>
      <c r="N163" s="103">
        <f>VLOOKUP($A163,'OI(Value)'!$A$7:$O$306,11,0)</f>
        <v>555817</v>
      </c>
      <c r="O163" s="103">
        <f>VLOOKUP($A163,'OI(Value)'!$A$7:$O$306,12,0)</f>
        <v>25234</v>
      </c>
      <c r="P163" s="179">
        <f>VLOOKUP(A163,'OI(Value)'!A163:O364,8,0)</f>
        <v>663842</v>
      </c>
      <c r="Q163" s="179">
        <f>VLOOKUP(A163,'OI(Value)'!A163:O364,9,0)</f>
        <v>108287</v>
      </c>
      <c r="R163" s="179">
        <f>VLOOKUP(A163,'OI(Value)'!A163:O364,11,0)</f>
        <v>555817</v>
      </c>
      <c r="S163" s="179">
        <f>VLOOKUP(A163,'OI(Value)'!A163:O364,11,0)</f>
        <v>555817</v>
      </c>
    </row>
    <row r="164" spans="1:19" x14ac:dyDescent="0.25">
      <c r="A164" s="105" t="str">
        <f>'Data shares'!C159</f>
        <v>NIFTYNXT50</v>
      </c>
      <c r="B164" s="143">
        <f>VLOOKUP($A164,'Data shares'!$C:$FA,118)</f>
        <v>0.35</v>
      </c>
      <c r="C164" s="143">
        <f>VLOOKUP($A164,'Data shares'!$C:$FA,119)</f>
        <v>0.33</v>
      </c>
      <c r="D164" s="143">
        <f>VLOOKUP($A164,'Data shares'!$C:$FA,121)*100</f>
        <v>6.0600000000000005</v>
      </c>
      <c r="E164" s="143">
        <f>VLOOKUP($A164,'Data shares'!$C:$FA,124)</f>
        <v>0.37</v>
      </c>
      <c r="F164" s="143">
        <f>VLOOKUP($A164,'Data shares'!$C:$FA,125)</f>
        <v>0.45</v>
      </c>
      <c r="G164" s="143">
        <f>VLOOKUP($A164,'Data shares'!$C:$FA,127)*100</f>
        <v>-17.78</v>
      </c>
      <c r="H164" s="103">
        <f>VLOOKUP($A164,'OI(Volume)'!$A$7:$O$427,8)</f>
        <v>9950</v>
      </c>
      <c r="I164" s="103">
        <f>VLOOKUP($A164,'OI(Volume)'!$A$7:$O$427,9)</f>
        <v>-800</v>
      </c>
      <c r="J164" s="103">
        <f>VLOOKUP($A164,'OI(Volume)'!$A$7:$O$427,11)</f>
        <v>3500</v>
      </c>
      <c r="K164" s="103">
        <f>VLOOKUP($A164,'OI(Volume)'!$A$7:$O$427,12)</f>
        <v>-50</v>
      </c>
      <c r="L164" s="103">
        <f>VLOOKUP($A164,'OI(Value)'!$A$7:$O$306,8,0)</f>
        <v>68</v>
      </c>
      <c r="M164" s="103">
        <f>VLOOKUP($A164,'OI(Value)'!$A$7:$O$306,9,0)</f>
        <v>-5</v>
      </c>
      <c r="N164" s="103">
        <f>VLOOKUP($A164,'OI(Value)'!$A$7:$O$306,11,0)</f>
        <v>24</v>
      </c>
      <c r="O164" s="103">
        <f>VLOOKUP($A164,'OI(Value)'!$A$7:$O$306,12,0)</f>
        <v>0</v>
      </c>
      <c r="P164" s="179">
        <f>VLOOKUP(A164,'OI(Value)'!A164:O365,8,0)</f>
        <v>68</v>
      </c>
      <c r="Q164" s="179">
        <f>VLOOKUP(A164,'OI(Value)'!A164:O365,9,0)</f>
        <v>-5</v>
      </c>
      <c r="R164" s="179">
        <f>VLOOKUP(A164,'OI(Value)'!A164:O365,11,0)</f>
        <v>24</v>
      </c>
      <c r="S164" s="179">
        <f>VLOOKUP(A164,'OI(Value)'!A164:O365,11,0)</f>
        <v>24</v>
      </c>
    </row>
    <row r="165" spans="1:19" x14ac:dyDescent="0.25">
      <c r="A165" s="105" t="str">
        <f>'Data shares'!C160</f>
        <v>NMDC</v>
      </c>
      <c r="B165" s="143">
        <f>VLOOKUP($A165,'Data shares'!$C:$FA,118)</f>
        <v>0.74</v>
      </c>
      <c r="C165" s="143">
        <f>VLOOKUP($A165,'Data shares'!$C:$FA,119)</f>
        <v>0.74</v>
      </c>
      <c r="D165" s="143">
        <f>VLOOKUP($A165,'Data shares'!$C:$FA,121)*100</f>
        <v>0</v>
      </c>
      <c r="E165" s="143">
        <f>VLOOKUP($A165,'Data shares'!$C:$FA,124)</f>
        <v>0.5</v>
      </c>
      <c r="F165" s="143">
        <f>VLOOKUP($A165,'Data shares'!$C:$FA,125)</f>
        <v>0.51</v>
      </c>
      <c r="G165" s="143">
        <f>VLOOKUP($A165,'Data shares'!$C:$FA,127)*100</f>
        <v>-1.96</v>
      </c>
      <c r="H165" s="103">
        <f>VLOOKUP($A165,'OI(Volume)'!$A$7:$O$427,8)</f>
        <v>136863000</v>
      </c>
      <c r="I165" s="103">
        <f>VLOOKUP($A165,'OI(Volume)'!$A$7:$O$427,9)</f>
        <v>-256500</v>
      </c>
      <c r="J165" s="103">
        <f>VLOOKUP($A165,'OI(Volume)'!$A$7:$O$427,11)</f>
        <v>101641500</v>
      </c>
      <c r="K165" s="103">
        <f>VLOOKUP($A165,'OI(Volume)'!$A$7:$O$427,12)</f>
        <v>-486000</v>
      </c>
      <c r="L165" s="103">
        <f>VLOOKUP($A165,'OI(Value)'!$A$7:$O$306,8,0)</f>
        <v>991</v>
      </c>
      <c r="M165" s="103">
        <f>VLOOKUP($A165,'OI(Value)'!$A$7:$O$306,9,0)</f>
        <v>-2</v>
      </c>
      <c r="N165" s="103">
        <f>VLOOKUP($A165,'OI(Value)'!$A$7:$O$306,11,0)</f>
        <v>736</v>
      </c>
      <c r="O165" s="103">
        <f>VLOOKUP($A165,'OI(Value)'!$A$7:$O$306,12,0)</f>
        <v>-4</v>
      </c>
      <c r="P165" s="179">
        <f>VLOOKUP(A165,'OI(Value)'!A165:O366,8,0)</f>
        <v>991</v>
      </c>
      <c r="Q165" s="179">
        <f>VLOOKUP(A165,'OI(Value)'!A165:O366,9,0)</f>
        <v>-2</v>
      </c>
      <c r="R165" s="179">
        <f>VLOOKUP(A165,'OI(Value)'!A165:O366,11,0)</f>
        <v>736</v>
      </c>
      <c r="S165" s="179">
        <f>VLOOKUP(A165,'OI(Value)'!A165:O366,11,0)</f>
        <v>736</v>
      </c>
    </row>
    <row r="166" spans="1:19" x14ac:dyDescent="0.25">
      <c r="A166" s="105" t="str">
        <f>'Data shares'!C161</f>
        <v>NTPC</v>
      </c>
      <c r="B166" s="143">
        <f>VLOOKUP($A166,'Data shares'!$C:$FA,118)</f>
        <v>0.33</v>
      </c>
      <c r="C166" s="143">
        <f>VLOOKUP($A166,'Data shares'!$C:$FA,119)</f>
        <v>0.32</v>
      </c>
      <c r="D166" s="143">
        <f>VLOOKUP($A166,'Data shares'!$C:$FA,121)*100</f>
        <v>3.1300000000000003</v>
      </c>
      <c r="E166" s="143">
        <f>VLOOKUP($A166,'Data shares'!$C:$FA,124)</f>
        <v>0.44</v>
      </c>
      <c r="F166" s="143">
        <f>VLOOKUP($A166,'Data shares'!$C:$FA,125)</f>
        <v>0.42</v>
      </c>
      <c r="G166" s="143">
        <f>VLOOKUP($A166,'Data shares'!$C:$FA,127)*100</f>
        <v>4.7600000000000007</v>
      </c>
      <c r="H166" s="103">
        <f>VLOOKUP($A166,'OI(Volume)'!$A$7:$O$427,8)</f>
        <v>80997000</v>
      </c>
      <c r="I166" s="103">
        <f>VLOOKUP($A166,'OI(Volume)'!$A$7:$O$427,9)</f>
        <v>946500</v>
      </c>
      <c r="J166" s="103">
        <f>VLOOKUP($A166,'OI(Volume)'!$A$7:$O$427,11)</f>
        <v>26377500</v>
      </c>
      <c r="K166" s="103">
        <f>VLOOKUP($A166,'OI(Volume)'!$A$7:$O$427,12)</f>
        <v>912000</v>
      </c>
      <c r="L166" s="103">
        <f>VLOOKUP($A166,'OI(Value)'!$A$7:$O$306,8,0)</f>
        <v>2764</v>
      </c>
      <c r="M166" s="103">
        <f>VLOOKUP($A166,'OI(Value)'!$A$7:$O$306,9,0)</f>
        <v>32</v>
      </c>
      <c r="N166" s="103">
        <f>VLOOKUP($A166,'OI(Value)'!$A$7:$O$306,11,0)</f>
        <v>900</v>
      </c>
      <c r="O166" s="103">
        <f>VLOOKUP($A166,'OI(Value)'!$A$7:$O$306,12,0)</f>
        <v>31</v>
      </c>
      <c r="P166" s="179">
        <f>VLOOKUP(A166,'OI(Value)'!A166:O367,8,0)</f>
        <v>2764</v>
      </c>
      <c r="Q166" s="179">
        <f>VLOOKUP(A166,'OI(Value)'!A166:O367,9,0)</f>
        <v>32</v>
      </c>
      <c r="R166" s="179">
        <f>VLOOKUP(A166,'OI(Value)'!A166:O367,11,0)</f>
        <v>900</v>
      </c>
      <c r="S166" s="179">
        <f>VLOOKUP(A166,'OI(Value)'!A166:O367,11,0)</f>
        <v>900</v>
      </c>
    </row>
    <row r="167" spans="1:19" x14ac:dyDescent="0.25">
      <c r="A167" s="105" t="str">
        <f>'Data shares'!C162</f>
        <v>NYKAA</v>
      </c>
      <c r="B167" s="143">
        <f>VLOOKUP($A167,'Data shares'!$C:$FA,118)</f>
        <v>0.54</v>
      </c>
      <c r="C167" s="143">
        <f>VLOOKUP($A167,'Data shares'!$C:$FA,119)</f>
        <v>0.77</v>
      </c>
      <c r="D167" s="143">
        <f>VLOOKUP($A167,'Data shares'!$C:$FA,121)*100</f>
        <v>-29.87</v>
      </c>
      <c r="E167" s="143">
        <f>VLOOKUP($A167,'Data shares'!$C:$FA,124)</f>
        <v>0.2</v>
      </c>
      <c r="F167" s="143">
        <f>VLOOKUP($A167,'Data shares'!$C:$FA,125)</f>
        <v>0.63</v>
      </c>
      <c r="G167" s="143">
        <f>VLOOKUP($A167,'Data shares'!$C:$FA,127)*100</f>
        <v>-68.25</v>
      </c>
      <c r="H167" s="103">
        <f>VLOOKUP($A167,'OI(Volume)'!$A$7:$O$427,8)</f>
        <v>21359375</v>
      </c>
      <c r="I167" s="103">
        <f>VLOOKUP($A167,'OI(Volume)'!$A$7:$O$427,9)</f>
        <v>8237500</v>
      </c>
      <c r="J167" s="103">
        <f>VLOOKUP($A167,'OI(Volume)'!$A$7:$O$427,11)</f>
        <v>11465625</v>
      </c>
      <c r="K167" s="103">
        <f>VLOOKUP($A167,'OI(Volume)'!$A$7:$O$427,12)</f>
        <v>1309375</v>
      </c>
      <c r="L167" s="103">
        <f>VLOOKUP($A167,'OI(Value)'!$A$7:$O$306,8,0)</f>
        <v>470</v>
      </c>
      <c r="M167" s="103">
        <f>VLOOKUP($A167,'OI(Value)'!$A$7:$O$306,9,0)</f>
        <v>181</v>
      </c>
      <c r="N167" s="103">
        <f>VLOOKUP($A167,'OI(Value)'!$A$7:$O$306,11,0)</f>
        <v>252</v>
      </c>
      <c r="O167" s="103">
        <f>VLOOKUP($A167,'OI(Value)'!$A$7:$O$306,12,0)</f>
        <v>29</v>
      </c>
      <c r="P167" s="179">
        <f>VLOOKUP(A167,'OI(Value)'!A167:O368,8,0)</f>
        <v>470</v>
      </c>
      <c r="Q167" s="179">
        <f>VLOOKUP(A167,'OI(Value)'!A167:O368,9,0)</f>
        <v>181</v>
      </c>
      <c r="R167" s="179">
        <f>VLOOKUP(A167,'OI(Value)'!A167:O368,11,0)</f>
        <v>252</v>
      </c>
      <c r="S167" s="179">
        <f>VLOOKUP(A167,'OI(Value)'!A167:O368,11,0)</f>
        <v>252</v>
      </c>
    </row>
    <row r="168" spans="1:19" x14ac:dyDescent="0.25">
      <c r="A168" s="105" t="str">
        <f>'Data shares'!C163</f>
        <v>OBEROIRLTY</v>
      </c>
      <c r="B168" s="143">
        <f>VLOOKUP($A168,'Data shares'!$C:$FA,118)</f>
        <v>0.61</v>
      </c>
      <c r="C168" s="143">
        <f>VLOOKUP($A168,'Data shares'!$C:$FA,119)</f>
        <v>0.63</v>
      </c>
      <c r="D168" s="143">
        <f>VLOOKUP($A168,'Data shares'!$C:$FA,121)*100</f>
        <v>-3.17</v>
      </c>
      <c r="E168" s="143">
        <f>VLOOKUP($A168,'Data shares'!$C:$FA,124)</f>
        <v>0.78</v>
      </c>
      <c r="F168" s="143">
        <f>VLOOKUP($A168,'Data shares'!$C:$FA,125)</f>
        <v>0.75</v>
      </c>
      <c r="G168" s="143">
        <f>VLOOKUP($A168,'Data shares'!$C:$FA,127)*100</f>
        <v>4</v>
      </c>
      <c r="H168" s="103">
        <f>VLOOKUP($A168,'OI(Volume)'!$A$7:$O$427,8)</f>
        <v>2571100</v>
      </c>
      <c r="I168" s="103">
        <f>VLOOKUP($A168,'OI(Volume)'!$A$7:$O$427,9)</f>
        <v>37450</v>
      </c>
      <c r="J168" s="103">
        <f>VLOOKUP($A168,'OI(Volume)'!$A$7:$O$427,11)</f>
        <v>1556450</v>
      </c>
      <c r="K168" s="103">
        <f>VLOOKUP($A168,'OI(Volume)'!$A$7:$O$427,12)</f>
        <v>-36750</v>
      </c>
      <c r="L168" s="103">
        <f>VLOOKUP($A168,'OI(Value)'!$A$7:$O$306,8,0)</f>
        <v>469</v>
      </c>
      <c r="M168" s="103">
        <f>VLOOKUP($A168,'OI(Value)'!$A$7:$O$306,9,0)</f>
        <v>7</v>
      </c>
      <c r="N168" s="103">
        <f>VLOOKUP($A168,'OI(Value)'!$A$7:$O$306,11,0)</f>
        <v>284</v>
      </c>
      <c r="O168" s="103">
        <f>VLOOKUP($A168,'OI(Value)'!$A$7:$O$306,12,0)</f>
        <v>-7</v>
      </c>
      <c r="P168" s="179">
        <f>VLOOKUP(A168,'OI(Value)'!A168:O369,8,0)</f>
        <v>469</v>
      </c>
      <c r="Q168" s="179">
        <f>VLOOKUP(A168,'OI(Value)'!A168:O369,9,0)</f>
        <v>7</v>
      </c>
      <c r="R168" s="179">
        <f>VLOOKUP(A168,'OI(Value)'!A168:O369,11,0)</f>
        <v>284</v>
      </c>
      <c r="S168" s="179">
        <f>VLOOKUP(A168,'OI(Value)'!A168:O369,11,0)</f>
        <v>284</v>
      </c>
    </row>
    <row r="169" spans="1:19" x14ac:dyDescent="0.25">
      <c r="A169" s="105" t="str">
        <f>'Data shares'!C164</f>
        <v>OFSS</v>
      </c>
      <c r="B169" s="143">
        <f>VLOOKUP($A169,'Data shares'!$C:$FA,118)</f>
        <v>0.52</v>
      </c>
      <c r="C169" s="143">
        <f>VLOOKUP($A169,'Data shares'!$C:$FA,119)</f>
        <v>0.55000000000000004</v>
      </c>
      <c r="D169" s="143">
        <f>VLOOKUP($A169,'Data shares'!$C:$FA,121)*100</f>
        <v>-5.45</v>
      </c>
      <c r="E169" s="143">
        <f>VLOOKUP($A169,'Data shares'!$C:$FA,124)</f>
        <v>0.51</v>
      </c>
      <c r="F169" s="143">
        <f>VLOOKUP($A169,'Data shares'!$C:$FA,125)</f>
        <v>0.41</v>
      </c>
      <c r="G169" s="143">
        <f>VLOOKUP($A169,'Data shares'!$C:$FA,127)*100</f>
        <v>24.39</v>
      </c>
      <c r="H169" s="103">
        <f>VLOOKUP($A169,'OI(Volume)'!$A$7:$O$427,8)</f>
        <v>691950</v>
      </c>
      <c r="I169" s="103">
        <f>VLOOKUP($A169,'OI(Volume)'!$A$7:$O$427,9)</f>
        <v>38850</v>
      </c>
      <c r="J169" s="103">
        <f>VLOOKUP($A169,'OI(Volume)'!$A$7:$O$427,11)</f>
        <v>358200</v>
      </c>
      <c r="K169" s="103">
        <f>VLOOKUP($A169,'OI(Volume)'!$A$7:$O$427,12)</f>
        <v>-2925</v>
      </c>
      <c r="L169" s="103">
        <f>VLOOKUP($A169,'OI(Value)'!$A$7:$O$306,8,0)</f>
        <v>604</v>
      </c>
      <c r="M169" s="103">
        <f>VLOOKUP($A169,'OI(Value)'!$A$7:$O$306,9,0)</f>
        <v>34</v>
      </c>
      <c r="N169" s="103">
        <f>VLOOKUP($A169,'OI(Value)'!$A$7:$O$306,11,0)</f>
        <v>313</v>
      </c>
      <c r="O169" s="103">
        <f>VLOOKUP($A169,'OI(Value)'!$A$7:$O$306,12,0)</f>
        <v>-3</v>
      </c>
      <c r="P169" s="179">
        <f>VLOOKUP(A169,'OI(Value)'!A169:O370,8,0)</f>
        <v>604</v>
      </c>
      <c r="Q169" s="179">
        <f>VLOOKUP(A169,'OI(Value)'!A169:O370,9,0)</f>
        <v>34</v>
      </c>
      <c r="R169" s="179">
        <f>VLOOKUP(A169,'OI(Value)'!A169:O370,11,0)</f>
        <v>313</v>
      </c>
      <c r="S169" s="179">
        <f>VLOOKUP(A169,'OI(Value)'!A169:O370,11,0)</f>
        <v>313</v>
      </c>
    </row>
    <row r="170" spans="1:19" x14ac:dyDescent="0.25">
      <c r="A170" s="105" t="str">
        <f>'Data shares'!C165</f>
        <v>OIL</v>
      </c>
      <c r="B170" s="143">
        <f>VLOOKUP($A170,'Data shares'!$C:$FA,118)</f>
        <v>0.57999999999999996</v>
      </c>
      <c r="C170" s="143">
        <f>VLOOKUP($A170,'Data shares'!$C:$FA,119)</f>
        <v>0.61</v>
      </c>
      <c r="D170" s="143">
        <f>VLOOKUP($A170,'Data shares'!$C:$FA,121)*100</f>
        <v>-4.92</v>
      </c>
      <c r="E170" s="143">
        <f>VLOOKUP($A170,'Data shares'!$C:$FA,124)</f>
        <v>0.32</v>
      </c>
      <c r="F170" s="143">
        <f>VLOOKUP($A170,'Data shares'!$C:$FA,125)</f>
        <v>0.4</v>
      </c>
      <c r="G170" s="143">
        <f>VLOOKUP($A170,'Data shares'!$C:$FA,127)*100</f>
        <v>-20</v>
      </c>
      <c r="H170" s="103">
        <f>VLOOKUP($A170,'OI(Volume)'!$A$7:$O$427,8)</f>
        <v>7908600</v>
      </c>
      <c r="I170" s="103">
        <f>VLOOKUP($A170,'OI(Volume)'!$A$7:$O$427,9)</f>
        <v>176400</v>
      </c>
      <c r="J170" s="103">
        <f>VLOOKUP($A170,'OI(Volume)'!$A$7:$O$427,11)</f>
        <v>4583600</v>
      </c>
      <c r="K170" s="103">
        <f>VLOOKUP($A170,'OI(Volume)'!$A$7:$O$427,12)</f>
        <v>-147000</v>
      </c>
      <c r="L170" s="103">
        <f>VLOOKUP($A170,'OI(Value)'!$A$7:$O$306,8,0)</f>
        <v>358</v>
      </c>
      <c r="M170" s="103">
        <f>VLOOKUP($A170,'OI(Value)'!$A$7:$O$306,9,0)</f>
        <v>8</v>
      </c>
      <c r="N170" s="103">
        <f>VLOOKUP($A170,'OI(Value)'!$A$7:$O$306,11,0)</f>
        <v>207</v>
      </c>
      <c r="O170" s="103">
        <f>VLOOKUP($A170,'OI(Value)'!$A$7:$O$306,12,0)</f>
        <v>-7</v>
      </c>
      <c r="P170" s="179">
        <f>VLOOKUP(A170,'OI(Value)'!A170:O371,8,0)</f>
        <v>358</v>
      </c>
      <c r="Q170" s="179">
        <f>VLOOKUP(A170,'OI(Value)'!A170:O371,9,0)</f>
        <v>8</v>
      </c>
      <c r="R170" s="179">
        <f>VLOOKUP(A170,'OI(Value)'!A170:O371,11,0)</f>
        <v>207</v>
      </c>
      <c r="S170" s="179">
        <f>VLOOKUP(A170,'OI(Value)'!A170:O371,11,0)</f>
        <v>207</v>
      </c>
    </row>
    <row r="171" spans="1:19" x14ac:dyDescent="0.25">
      <c r="A171" s="105" t="str">
        <f>'Data shares'!C166</f>
        <v>ONGC</v>
      </c>
      <c r="B171" s="143">
        <f>VLOOKUP($A171,'Data shares'!$C:$FA,118)</f>
        <v>0.28000000000000003</v>
      </c>
      <c r="C171" s="143">
        <f>VLOOKUP($A171,'Data shares'!$C:$FA,119)</f>
        <v>0.27</v>
      </c>
      <c r="D171" s="143">
        <f>VLOOKUP($A171,'Data shares'!$C:$FA,121)*100</f>
        <v>3.6999999999999997</v>
      </c>
      <c r="E171" s="143">
        <f>VLOOKUP($A171,'Data shares'!$C:$FA,124)</f>
        <v>0.43</v>
      </c>
      <c r="F171" s="143">
        <f>VLOOKUP($A171,'Data shares'!$C:$FA,125)</f>
        <v>0.3</v>
      </c>
      <c r="G171" s="143">
        <f>VLOOKUP($A171,'Data shares'!$C:$FA,127)*100</f>
        <v>43.33</v>
      </c>
      <c r="H171" s="103">
        <f>VLOOKUP($A171,'OI(Volume)'!$A$7:$O$427,8)</f>
        <v>79186500</v>
      </c>
      <c r="I171" s="103">
        <f>VLOOKUP($A171,'OI(Volume)'!$A$7:$O$427,9)</f>
        <v>-1761750</v>
      </c>
      <c r="J171" s="103">
        <f>VLOOKUP($A171,'OI(Volume)'!$A$7:$O$427,11)</f>
        <v>22554000</v>
      </c>
      <c r="K171" s="103">
        <f>VLOOKUP($A171,'OI(Volume)'!$A$7:$O$427,12)</f>
        <v>825750</v>
      </c>
      <c r="L171" s="103">
        <f>VLOOKUP($A171,'OI(Value)'!$A$7:$O$306,8,0)</f>
        <v>1951</v>
      </c>
      <c r="M171" s="103">
        <f>VLOOKUP($A171,'OI(Value)'!$A$7:$O$306,9,0)</f>
        <v>-43</v>
      </c>
      <c r="N171" s="103">
        <f>VLOOKUP($A171,'OI(Value)'!$A$7:$O$306,11,0)</f>
        <v>556</v>
      </c>
      <c r="O171" s="103">
        <f>VLOOKUP($A171,'OI(Value)'!$A$7:$O$306,12,0)</f>
        <v>20</v>
      </c>
      <c r="P171" s="179">
        <f>VLOOKUP(A171,'OI(Value)'!A171:O372,8,0)</f>
        <v>1951</v>
      </c>
      <c r="Q171" s="179">
        <f>VLOOKUP(A171,'OI(Value)'!A171:O372,9,0)</f>
        <v>-43</v>
      </c>
      <c r="R171" s="179">
        <f>VLOOKUP(A171,'OI(Value)'!A171:O372,11,0)</f>
        <v>556</v>
      </c>
      <c r="S171" s="179">
        <f>VLOOKUP(A171,'OI(Value)'!A171:O372,11,0)</f>
        <v>556</v>
      </c>
    </row>
    <row r="172" spans="1:19" x14ac:dyDescent="0.25">
      <c r="A172" s="105" t="str">
        <f>'Data shares'!C167</f>
        <v>PAGEIND</v>
      </c>
      <c r="B172" s="143">
        <f>VLOOKUP($A172,'Data shares'!$C:$FA,118)</f>
        <v>0.26</v>
      </c>
      <c r="C172" s="143">
        <f>VLOOKUP($A172,'Data shares'!$C:$FA,119)</f>
        <v>0.26</v>
      </c>
      <c r="D172" s="143">
        <f>VLOOKUP($A172,'Data shares'!$C:$FA,121)*100</f>
        <v>0</v>
      </c>
      <c r="E172" s="143">
        <f>VLOOKUP($A172,'Data shares'!$C:$FA,124)</f>
        <v>0.06</v>
      </c>
      <c r="F172" s="143">
        <f>VLOOKUP($A172,'Data shares'!$C:$FA,125)</f>
        <v>0.09</v>
      </c>
      <c r="G172" s="143">
        <f>VLOOKUP($A172,'Data shares'!$C:$FA,127)*100</f>
        <v>-33.33</v>
      </c>
      <c r="H172" s="103">
        <f>VLOOKUP($A172,'OI(Volume)'!$A$7:$O$427,8)</f>
        <v>95100</v>
      </c>
      <c r="I172" s="103">
        <f>VLOOKUP($A172,'OI(Volume)'!$A$7:$O$427,9)</f>
        <v>-8505</v>
      </c>
      <c r="J172" s="103">
        <f>VLOOKUP($A172,'OI(Volume)'!$A$7:$O$427,11)</f>
        <v>25005</v>
      </c>
      <c r="K172" s="103">
        <f>VLOOKUP($A172,'OI(Volume)'!$A$7:$O$427,12)</f>
        <v>-1455</v>
      </c>
      <c r="L172" s="103">
        <f>VLOOKUP($A172,'OI(Value)'!$A$7:$O$306,8,0)</f>
        <v>441</v>
      </c>
      <c r="M172" s="103">
        <f>VLOOKUP($A172,'OI(Value)'!$A$7:$O$306,9,0)</f>
        <v>-39</v>
      </c>
      <c r="N172" s="103">
        <f>VLOOKUP($A172,'OI(Value)'!$A$7:$O$306,11,0)</f>
        <v>116</v>
      </c>
      <c r="O172" s="103">
        <f>VLOOKUP($A172,'OI(Value)'!$A$7:$O$306,12,0)</f>
        <v>-7</v>
      </c>
      <c r="P172" s="179">
        <f>VLOOKUP(A172,'OI(Value)'!A172:O373,8,0)</f>
        <v>441</v>
      </c>
      <c r="Q172" s="179">
        <f>VLOOKUP(A172,'OI(Value)'!A172:O373,9,0)</f>
        <v>-39</v>
      </c>
      <c r="R172" s="179">
        <f>VLOOKUP(A172,'OI(Value)'!A172:O373,11,0)</f>
        <v>116</v>
      </c>
      <c r="S172" s="179">
        <f>VLOOKUP(A172,'OI(Value)'!A172:O373,11,0)</f>
        <v>116</v>
      </c>
    </row>
    <row r="173" spans="1:19" x14ac:dyDescent="0.25">
      <c r="A173" s="105" t="str">
        <f>'Data shares'!C168</f>
        <v>PATANJALI</v>
      </c>
      <c r="B173" s="143">
        <f>VLOOKUP($A173,'Data shares'!$C:$FA,118)</f>
        <v>0.52</v>
      </c>
      <c r="C173" s="143">
        <f>VLOOKUP($A173,'Data shares'!$C:$FA,119)</f>
        <v>0.53</v>
      </c>
      <c r="D173" s="143">
        <f>VLOOKUP($A173,'Data shares'!$C:$FA,121)*100</f>
        <v>-1.8900000000000001</v>
      </c>
      <c r="E173" s="143">
        <f>VLOOKUP($A173,'Data shares'!$C:$FA,124)</f>
        <v>0.57999999999999996</v>
      </c>
      <c r="F173" s="143">
        <f>VLOOKUP($A173,'Data shares'!$C:$FA,125)</f>
        <v>0.48</v>
      </c>
      <c r="G173" s="143">
        <f>VLOOKUP($A173,'Data shares'!$C:$FA,127)*100</f>
        <v>20.830000000000002</v>
      </c>
      <c r="H173" s="103">
        <f>VLOOKUP($A173,'OI(Volume)'!$A$7:$O$427,8)</f>
        <v>5046900</v>
      </c>
      <c r="I173" s="103">
        <f>VLOOKUP($A173,'OI(Volume)'!$A$7:$O$427,9)</f>
        <v>-243300</v>
      </c>
      <c r="J173" s="103">
        <f>VLOOKUP($A173,'OI(Volume)'!$A$7:$O$427,11)</f>
        <v>2643600</v>
      </c>
      <c r="K173" s="103">
        <f>VLOOKUP($A173,'OI(Volume)'!$A$7:$O$427,12)</f>
        <v>-138900</v>
      </c>
      <c r="L173" s="103">
        <f>VLOOKUP($A173,'OI(Value)'!$A$7:$O$306,8,0)</f>
        <v>981</v>
      </c>
      <c r="M173" s="103">
        <f>VLOOKUP($A173,'OI(Value)'!$A$7:$O$306,9,0)</f>
        <v>-47</v>
      </c>
      <c r="N173" s="103">
        <f>VLOOKUP($A173,'OI(Value)'!$A$7:$O$306,11,0)</f>
        <v>514</v>
      </c>
      <c r="O173" s="103">
        <f>VLOOKUP($A173,'OI(Value)'!$A$7:$O$306,12,0)</f>
        <v>-27</v>
      </c>
    </row>
    <row r="174" spans="1:19" x14ac:dyDescent="0.25">
      <c r="A174" s="105" t="str">
        <f>'Data shares'!C169</f>
        <v>PAYTM</v>
      </c>
      <c r="B174" s="143">
        <f>VLOOKUP($A174,'Data shares'!$C:$FA,118)</f>
        <v>0.71</v>
      </c>
      <c r="C174" s="143">
        <f>VLOOKUP($A174,'Data shares'!$C:$FA,119)</f>
        <v>0.84</v>
      </c>
      <c r="D174" s="143">
        <f>VLOOKUP($A174,'Data shares'!$C:$FA,121)*100</f>
        <v>-15.479999999999999</v>
      </c>
      <c r="E174" s="143">
        <f>VLOOKUP($A174,'Data shares'!$C:$FA,124)</f>
        <v>0.41</v>
      </c>
      <c r="F174" s="143">
        <f>VLOOKUP($A174,'Data shares'!$C:$FA,125)</f>
        <v>0.55000000000000004</v>
      </c>
      <c r="G174" s="143">
        <f>VLOOKUP($A174,'Data shares'!$C:$FA,127)*100</f>
        <v>-25.45</v>
      </c>
      <c r="H174" s="103">
        <f>VLOOKUP($A174,'OI(Volume)'!$A$7:$O$427,8)</f>
        <v>12513500</v>
      </c>
      <c r="I174" s="103">
        <f>VLOOKUP($A174,'OI(Volume)'!$A$7:$O$427,9)</f>
        <v>4297800</v>
      </c>
      <c r="J174" s="103">
        <f>VLOOKUP($A174,'OI(Volume)'!$A$7:$O$427,11)</f>
        <v>8914600</v>
      </c>
      <c r="K174" s="103">
        <f>VLOOKUP($A174,'OI(Volume)'!$A$7:$O$427,12)</f>
        <v>1972725</v>
      </c>
      <c r="L174" s="103">
        <f>VLOOKUP($A174,'OI(Value)'!$A$7:$O$306,8,0)</f>
        <v>1320</v>
      </c>
      <c r="M174" s="103">
        <f>VLOOKUP($A174,'OI(Value)'!$A$7:$O$306,9,0)</f>
        <v>454</v>
      </c>
      <c r="N174" s="103">
        <f>VLOOKUP($A174,'OI(Value)'!$A$7:$O$306,11,0)</f>
        <v>941</v>
      </c>
      <c r="O174" s="103">
        <f>VLOOKUP($A174,'OI(Value)'!$A$7:$O$306,12,0)</f>
        <v>208</v>
      </c>
    </row>
    <row r="175" spans="1:19" x14ac:dyDescent="0.25">
      <c r="A175" s="105" t="str">
        <f>'Data shares'!C170</f>
        <v>PEL</v>
      </c>
      <c r="B175" s="143">
        <f>VLOOKUP($A175,'Data shares'!$C:$FA,118)</f>
        <v>0.71</v>
      </c>
      <c r="C175" s="143">
        <f>VLOOKUP($A175,'Data shares'!$C:$FA,119)</f>
        <v>0.77</v>
      </c>
      <c r="D175" s="143">
        <f>VLOOKUP($A175,'Data shares'!$C:$FA,121)*100</f>
        <v>-7.79</v>
      </c>
      <c r="E175" s="143">
        <f>VLOOKUP($A175,'Data shares'!$C:$FA,124)</f>
        <v>0.75</v>
      </c>
      <c r="F175" s="143">
        <f>VLOOKUP($A175,'Data shares'!$C:$FA,125)</f>
        <v>0.94</v>
      </c>
      <c r="G175" s="143">
        <f>VLOOKUP($A175,'Data shares'!$C:$FA,127)*100</f>
        <v>-20.21</v>
      </c>
      <c r="H175" s="103">
        <f>VLOOKUP($A175,'OI(Volume)'!$A$7:$O$427,8)</f>
        <v>4173750</v>
      </c>
      <c r="I175" s="103">
        <f>VLOOKUP($A175,'OI(Volume)'!$A$7:$O$427,9)</f>
        <v>-50250</v>
      </c>
      <c r="J175" s="103">
        <f>VLOOKUP($A175,'OI(Volume)'!$A$7:$O$427,11)</f>
        <v>2966250</v>
      </c>
      <c r="K175" s="103">
        <f>VLOOKUP($A175,'OI(Volume)'!$A$7:$O$427,12)</f>
        <v>-294000</v>
      </c>
      <c r="L175" s="103">
        <f>VLOOKUP($A175,'OI(Value)'!$A$7:$O$306,8,0)</f>
        <v>537</v>
      </c>
      <c r="M175" s="103">
        <f>VLOOKUP($A175,'OI(Value)'!$A$7:$O$306,9,0)</f>
        <v>-6</v>
      </c>
      <c r="N175" s="103">
        <f>VLOOKUP($A175,'OI(Value)'!$A$7:$O$306,11,0)</f>
        <v>382</v>
      </c>
      <c r="O175" s="103">
        <f>VLOOKUP($A175,'OI(Value)'!$A$7:$O$306,12,0)</f>
        <v>-38</v>
      </c>
    </row>
    <row r="176" spans="1:19" x14ac:dyDescent="0.25">
      <c r="A176" s="105" t="str">
        <f>'Data shares'!C171</f>
        <v>PERSISTENT</v>
      </c>
      <c r="B176" s="143">
        <f>VLOOKUP($A176,'Data shares'!$C:$FA,118)</f>
        <v>0.59</v>
      </c>
      <c r="C176" s="143">
        <f>VLOOKUP($A176,'Data shares'!$C:$FA,119)</f>
        <v>0.61</v>
      </c>
      <c r="D176" s="143">
        <f>VLOOKUP($A176,'Data shares'!$C:$FA,121)*100</f>
        <v>-3.2800000000000002</v>
      </c>
      <c r="E176" s="143">
        <f>VLOOKUP($A176,'Data shares'!$C:$FA,124)</f>
        <v>0.41</v>
      </c>
      <c r="F176" s="143">
        <f>VLOOKUP($A176,'Data shares'!$C:$FA,125)</f>
        <v>0.4</v>
      </c>
      <c r="G176" s="143">
        <f>VLOOKUP($A176,'Data shares'!$C:$FA,127)*100</f>
        <v>2.5</v>
      </c>
      <c r="H176" s="103">
        <f>VLOOKUP($A176,'OI(Volume)'!$A$7:$O$427,8)</f>
        <v>1282900</v>
      </c>
      <c r="I176" s="103">
        <f>VLOOKUP($A176,'OI(Volume)'!$A$7:$O$427,9)</f>
        <v>26000</v>
      </c>
      <c r="J176" s="103">
        <f>VLOOKUP($A176,'OI(Volume)'!$A$7:$O$427,11)</f>
        <v>761300</v>
      </c>
      <c r="K176" s="103">
        <f>VLOOKUP($A176,'OI(Volume)'!$A$7:$O$427,12)</f>
        <v>-2800</v>
      </c>
      <c r="L176" s="103">
        <f>VLOOKUP($A176,'OI(Value)'!$A$7:$O$306,8,0)</f>
        <v>735</v>
      </c>
      <c r="M176" s="103">
        <f>VLOOKUP($A176,'OI(Value)'!$A$7:$O$306,9,0)</f>
        <v>15</v>
      </c>
      <c r="N176" s="103">
        <f>VLOOKUP($A176,'OI(Value)'!$A$7:$O$306,11,0)</f>
        <v>436</v>
      </c>
      <c r="O176" s="103">
        <f>VLOOKUP($A176,'OI(Value)'!$A$7:$O$306,12,0)</f>
        <v>-2</v>
      </c>
    </row>
    <row r="177" spans="1:15" x14ac:dyDescent="0.25">
      <c r="A177" s="105" t="str">
        <f>'Data shares'!C172</f>
        <v>PETRONET</v>
      </c>
      <c r="B177" s="143">
        <f>VLOOKUP($A177,'Data shares'!$C:$FA,118)</f>
        <v>0.65</v>
      </c>
      <c r="C177" s="143">
        <f>VLOOKUP($A177,'Data shares'!$C:$FA,119)</f>
        <v>0.63</v>
      </c>
      <c r="D177" s="143">
        <f>VLOOKUP($A177,'Data shares'!$C:$FA,121)*100</f>
        <v>3.17</v>
      </c>
      <c r="E177" s="143">
        <f>VLOOKUP($A177,'Data shares'!$C:$FA,124)</f>
        <v>0.39</v>
      </c>
      <c r="F177" s="143">
        <f>VLOOKUP($A177,'Data shares'!$C:$FA,125)</f>
        <v>0.56999999999999995</v>
      </c>
      <c r="G177" s="143">
        <f>VLOOKUP($A177,'Data shares'!$C:$FA,127)*100</f>
        <v>-31.580000000000002</v>
      </c>
      <c r="H177" s="103">
        <f>VLOOKUP($A177,'OI(Volume)'!$A$7:$O$427,8)</f>
        <v>14824800</v>
      </c>
      <c r="I177" s="103">
        <f>VLOOKUP($A177,'OI(Volume)'!$A$7:$O$427,9)</f>
        <v>-451800</v>
      </c>
      <c r="J177" s="103">
        <f>VLOOKUP($A177,'OI(Volume)'!$A$7:$O$427,11)</f>
        <v>9680400</v>
      </c>
      <c r="K177" s="103">
        <f>VLOOKUP($A177,'OI(Volume)'!$A$7:$O$427,12)</f>
        <v>81000</v>
      </c>
      <c r="L177" s="103">
        <f>VLOOKUP($A177,'OI(Value)'!$A$7:$O$306,8,0)</f>
        <v>450</v>
      </c>
      <c r="M177" s="103">
        <f>VLOOKUP($A177,'OI(Value)'!$A$7:$O$306,9,0)</f>
        <v>-14</v>
      </c>
      <c r="N177" s="103">
        <f>VLOOKUP($A177,'OI(Value)'!$A$7:$O$306,11,0)</f>
        <v>294</v>
      </c>
      <c r="O177" s="103">
        <f>VLOOKUP($A177,'OI(Value)'!$A$7:$O$306,12,0)</f>
        <v>2</v>
      </c>
    </row>
    <row r="178" spans="1:15" x14ac:dyDescent="0.25">
      <c r="A178" s="105" t="str">
        <f>'Data shares'!C173</f>
        <v>PFC</v>
      </c>
      <c r="B178" s="143">
        <f>VLOOKUP($A178,'Data shares'!$C:$FA,118)</f>
        <v>0.67</v>
      </c>
      <c r="C178" s="143">
        <f>VLOOKUP($A178,'Data shares'!$C:$FA,119)</f>
        <v>0.68</v>
      </c>
      <c r="D178" s="143">
        <f>VLOOKUP($A178,'Data shares'!$C:$FA,121)*100</f>
        <v>-1.47</v>
      </c>
      <c r="E178" s="143">
        <f>VLOOKUP($A178,'Data shares'!$C:$FA,124)</f>
        <v>0.61</v>
      </c>
      <c r="F178" s="143">
        <f>VLOOKUP($A178,'Data shares'!$C:$FA,125)</f>
        <v>0.5</v>
      </c>
      <c r="G178" s="143">
        <f>VLOOKUP($A178,'Data shares'!$C:$FA,127)*100</f>
        <v>22</v>
      </c>
      <c r="H178" s="103">
        <f>VLOOKUP($A178,'OI(Volume)'!$A$7:$O$427,8)</f>
        <v>24930100</v>
      </c>
      <c r="I178" s="103">
        <f>VLOOKUP($A178,'OI(Volume)'!$A$7:$O$427,9)</f>
        <v>-396500</v>
      </c>
      <c r="J178" s="103">
        <f>VLOOKUP($A178,'OI(Volume)'!$A$7:$O$427,11)</f>
        <v>16614000</v>
      </c>
      <c r="K178" s="103">
        <f>VLOOKUP($A178,'OI(Volume)'!$A$7:$O$427,12)</f>
        <v>-607100</v>
      </c>
      <c r="L178" s="103">
        <f>VLOOKUP($A178,'OI(Value)'!$A$7:$O$306,8,0)</f>
        <v>1034</v>
      </c>
      <c r="M178" s="103">
        <f>VLOOKUP($A178,'OI(Value)'!$A$7:$O$306,9,0)</f>
        <v>-16</v>
      </c>
      <c r="N178" s="103">
        <f>VLOOKUP($A178,'OI(Value)'!$A$7:$O$306,11,0)</f>
        <v>689</v>
      </c>
      <c r="O178" s="103">
        <f>VLOOKUP($A178,'OI(Value)'!$A$7:$O$306,12,0)</f>
        <v>-25</v>
      </c>
    </row>
    <row r="179" spans="1:15" x14ac:dyDescent="0.25">
      <c r="A179" s="105" t="str">
        <f>'Data shares'!C174</f>
        <v>PGEL</v>
      </c>
      <c r="B179" s="143">
        <f>VLOOKUP($A179,'Data shares'!$C:$FA,118)</f>
        <v>0.48</v>
      </c>
      <c r="C179" s="143">
        <f>VLOOKUP($A179,'Data shares'!$C:$FA,119)</f>
        <v>0.55000000000000004</v>
      </c>
      <c r="D179" s="143">
        <f>VLOOKUP($A179,'Data shares'!$C:$FA,121)*100</f>
        <v>-12.73</v>
      </c>
      <c r="E179" s="143">
        <f>VLOOKUP($A179,'Data shares'!$C:$FA,124)</f>
        <v>0.39</v>
      </c>
      <c r="F179" s="143">
        <f>VLOOKUP($A179,'Data shares'!$C:$FA,125)</f>
        <v>0.36</v>
      </c>
      <c r="G179" s="143">
        <f>VLOOKUP($A179,'Data shares'!$C:$FA,127)*100</f>
        <v>8.33</v>
      </c>
      <c r="H179" s="103">
        <f>VLOOKUP($A179,'OI(Volume)'!$A$7:$O$427,8)</f>
        <v>1948800</v>
      </c>
      <c r="I179" s="103">
        <f>VLOOKUP($A179,'OI(Volume)'!$A$7:$O$427,9)</f>
        <v>56000</v>
      </c>
      <c r="J179" s="103">
        <f>VLOOKUP($A179,'OI(Volume)'!$A$7:$O$427,11)</f>
        <v>945000</v>
      </c>
      <c r="K179" s="103">
        <f>VLOOKUP($A179,'OI(Volume)'!$A$7:$O$427,12)</f>
        <v>-103600</v>
      </c>
      <c r="L179" s="103">
        <f>VLOOKUP($A179,'OI(Value)'!$A$7:$O$306,8,0)</f>
        <v>154</v>
      </c>
      <c r="M179" s="103">
        <f>VLOOKUP($A179,'OI(Value)'!$A$7:$O$306,9,0)</f>
        <v>4</v>
      </c>
      <c r="N179" s="103">
        <f>VLOOKUP($A179,'OI(Value)'!$A$7:$O$306,11,0)</f>
        <v>75</v>
      </c>
      <c r="O179" s="103">
        <f>VLOOKUP($A179,'OI(Value)'!$A$7:$O$306,12,0)</f>
        <v>-8</v>
      </c>
    </row>
    <row r="180" spans="1:15" x14ac:dyDescent="0.25">
      <c r="A180" s="105" t="str">
        <f>'Data shares'!C175</f>
        <v>PHOENIXLTD</v>
      </c>
      <c r="B180" s="143">
        <f>VLOOKUP($A180,'Data shares'!$C:$FA,118)</f>
        <v>0.61</v>
      </c>
      <c r="C180" s="143">
        <f>VLOOKUP($A180,'Data shares'!$C:$FA,119)</f>
        <v>0.59</v>
      </c>
      <c r="D180" s="143">
        <f>VLOOKUP($A180,'Data shares'!$C:$FA,121)*100</f>
        <v>3.39</v>
      </c>
      <c r="E180" s="143">
        <f>VLOOKUP($A180,'Data shares'!$C:$FA,124)</f>
        <v>0.48</v>
      </c>
      <c r="F180" s="143">
        <f>VLOOKUP($A180,'Data shares'!$C:$FA,125)</f>
        <v>0.25</v>
      </c>
      <c r="G180" s="143">
        <f>VLOOKUP($A180,'Data shares'!$C:$FA,127)*100</f>
        <v>92</v>
      </c>
      <c r="H180" s="103">
        <f>VLOOKUP($A180,'OI(Volume)'!$A$7:$O$427,8)</f>
        <v>1279950</v>
      </c>
      <c r="I180" s="103">
        <f>VLOOKUP($A180,'OI(Volume)'!$A$7:$O$427,9)</f>
        <v>-52500</v>
      </c>
      <c r="J180" s="103">
        <f>VLOOKUP($A180,'OI(Volume)'!$A$7:$O$427,11)</f>
        <v>777000</v>
      </c>
      <c r="K180" s="103">
        <f>VLOOKUP($A180,'OI(Volume)'!$A$7:$O$427,12)</f>
        <v>-8050</v>
      </c>
      <c r="L180" s="103">
        <f>VLOOKUP($A180,'OI(Value)'!$A$7:$O$306,8,0)</f>
        <v>189</v>
      </c>
      <c r="M180" s="103">
        <f>VLOOKUP($A180,'OI(Value)'!$A$7:$O$306,9,0)</f>
        <v>-8</v>
      </c>
      <c r="N180" s="103">
        <f>VLOOKUP($A180,'OI(Value)'!$A$7:$O$306,11,0)</f>
        <v>115</v>
      </c>
      <c r="O180" s="103">
        <f>VLOOKUP($A180,'OI(Value)'!$A$7:$O$306,12,0)</f>
        <v>-1</v>
      </c>
    </row>
    <row r="181" spans="1:15" x14ac:dyDescent="0.25">
      <c r="A181" s="105" t="str">
        <f>'Data shares'!C176</f>
        <v>PIDILITIND</v>
      </c>
      <c r="B181" s="143">
        <f>VLOOKUP($A181,'Data shares'!$C:$FA,118)</f>
        <v>0.48</v>
      </c>
      <c r="C181" s="143">
        <f>VLOOKUP($A181,'Data shares'!$C:$FA,119)</f>
        <v>0.53</v>
      </c>
      <c r="D181" s="143">
        <f>VLOOKUP($A181,'Data shares'!$C:$FA,121)*100</f>
        <v>-9.43</v>
      </c>
      <c r="E181" s="143">
        <f>VLOOKUP($A181,'Data shares'!$C:$FA,124)</f>
        <v>0.35</v>
      </c>
      <c r="F181" s="143">
        <f>VLOOKUP($A181,'Data shares'!$C:$FA,125)</f>
        <v>0.26</v>
      </c>
      <c r="G181" s="143">
        <f>VLOOKUP($A181,'Data shares'!$C:$FA,127)*100</f>
        <v>34.619999999999997</v>
      </c>
      <c r="H181" s="103">
        <f>VLOOKUP($A181,'OI(Volume)'!$A$7:$O$427,8)</f>
        <v>1153000</v>
      </c>
      <c r="I181" s="103">
        <f>VLOOKUP($A181,'OI(Volume)'!$A$7:$O$427,9)</f>
        <v>139500</v>
      </c>
      <c r="J181" s="103">
        <f>VLOOKUP($A181,'OI(Volume)'!$A$7:$O$427,11)</f>
        <v>555500</v>
      </c>
      <c r="K181" s="103">
        <f>VLOOKUP($A181,'OI(Volume)'!$A$7:$O$427,12)</f>
        <v>19000</v>
      </c>
      <c r="L181" s="103">
        <f>VLOOKUP($A181,'OI(Value)'!$A$7:$O$306,8,0)</f>
        <v>337</v>
      </c>
      <c r="M181" s="103">
        <f>VLOOKUP($A181,'OI(Value)'!$A$7:$O$306,9,0)</f>
        <v>41</v>
      </c>
      <c r="N181" s="103">
        <f>VLOOKUP($A181,'OI(Value)'!$A$7:$O$306,11,0)</f>
        <v>162</v>
      </c>
      <c r="O181" s="103">
        <f>VLOOKUP($A181,'OI(Value)'!$A$7:$O$306,12,0)</f>
        <v>6</v>
      </c>
    </row>
    <row r="182" spans="1:15" x14ac:dyDescent="0.25">
      <c r="A182" s="105" t="str">
        <f>'Data shares'!C177</f>
        <v>PIIND</v>
      </c>
      <c r="B182" s="143">
        <f>VLOOKUP($A182,'Data shares'!$C:$FA,118)</f>
        <v>0.53</v>
      </c>
      <c r="C182" s="143">
        <f>VLOOKUP($A182,'Data shares'!$C:$FA,119)</f>
        <v>0.55000000000000004</v>
      </c>
      <c r="D182" s="143">
        <f>VLOOKUP($A182,'Data shares'!$C:$FA,121)*100</f>
        <v>-3.64</v>
      </c>
      <c r="E182" s="143">
        <f>VLOOKUP($A182,'Data shares'!$C:$FA,124)</f>
        <v>0.33</v>
      </c>
      <c r="F182" s="143">
        <f>VLOOKUP($A182,'Data shares'!$C:$FA,125)</f>
        <v>0.24</v>
      </c>
      <c r="G182" s="143">
        <f>VLOOKUP($A182,'Data shares'!$C:$FA,127)*100</f>
        <v>37.5</v>
      </c>
      <c r="H182" s="103">
        <f>VLOOKUP($A182,'OI(Volume)'!$A$7:$O$427,8)</f>
        <v>550725</v>
      </c>
      <c r="I182" s="103">
        <f>VLOOKUP($A182,'OI(Volume)'!$A$7:$O$427,9)</f>
        <v>23450</v>
      </c>
      <c r="J182" s="103">
        <f>VLOOKUP($A182,'OI(Volume)'!$A$7:$O$427,11)</f>
        <v>291725</v>
      </c>
      <c r="K182" s="103">
        <f>VLOOKUP($A182,'OI(Volume)'!$A$7:$O$427,12)</f>
        <v>-175</v>
      </c>
      <c r="L182" s="103">
        <f>VLOOKUP($A182,'OI(Value)'!$A$7:$O$306,8,0)</f>
        <v>225</v>
      </c>
      <c r="M182" s="103">
        <f>VLOOKUP($A182,'OI(Value)'!$A$7:$O$306,9,0)</f>
        <v>10</v>
      </c>
      <c r="N182" s="103">
        <f>VLOOKUP($A182,'OI(Value)'!$A$7:$O$306,11,0)</f>
        <v>119</v>
      </c>
      <c r="O182" s="103">
        <f>VLOOKUP($A182,'OI(Value)'!$A$7:$O$306,12,0)</f>
        <v>0</v>
      </c>
    </row>
    <row r="183" spans="1:15" x14ac:dyDescent="0.25">
      <c r="A183" s="105" t="str">
        <f>'Data shares'!C178</f>
        <v>PNB</v>
      </c>
      <c r="B183" s="143">
        <f>VLOOKUP($A183,'Data shares'!$C:$FA,118)</f>
        <v>0.74</v>
      </c>
      <c r="C183" s="143">
        <f>VLOOKUP($A183,'Data shares'!$C:$FA,119)</f>
        <v>0.79</v>
      </c>
      <c r="D183" s="143">
        <f>VLOOKUP($A183,'Data shares'!$C:$FA,121)*100</f>
        <v>-6.3299999999999992</v>
      </c>
      <c r="E183" s="143">
        <f>VLOOKUP($A183,'Data shares'!$C:$FA,124)</f>
        <v>0.54</v>
      </c>
      <c r="F183" s="143">
        <f>VLOOKUP($A183,'Data shares'!$C:$FA,125)</f>
        <v>0.52</v>
      </c>
      <c r="G183" s="143">
        <f>VLOOKUP($A183,'Data shares'!$C:$FA,127)*100</f>
        <v>3.85</v>
      </c>
      <c r="H183" s="103">
        <f>VLOOKUP($A183,'OI(Volume)'!$A$7:$O$427,8)</f>
        <v>133936000</v>
      </c>
      <c r="I183" s="103">
        <f>VLOOKUP($A183,'OI(Volume)'!$A$7:$O$427,9)</f>
        <v>15632000</v>
      </c>
      <c r="J183" s="103">
        <f>VLOOKUP($A183,'OI(Volume)'!$A$7:$O$427,11)</f>
        <v>98456000</v>
      </c>
      <c r="K183" s="103">
        <f>VLOOKUP($A183,'OI(Volume)'!$A$7:$O$427,12)</f>
        <v>4552000</v>
      </c>
      <c r="L183" s="103">
        <f>VLOOKUP($A183,'OI(Value)'!$A$7:$O$306,8,0)</f>
        <v>1466</v>
      </c>
      <c r="M183" s="103">
        <f>VLOOKUP($A183,'OI(Value)'!$A$7:$O$306,9,0)</f>
        <v>171</v>
      </c>
      <c r="N183" s="103">
        <f>VLOOKUP($A183,'OI(Value)'!$A$7:$O$306,11,0)</f>
        <v>1078</v>
      </c>
      <c r="O183" s="103">
        <f>VLOOKUP($A183,'OI(Value)'!$A$7:$O$306,12,0)</f>
        <v>50</v>
      </c>
    </row>
    <row r="184" spans="1:15" x14ac:dyDescent="0.25">
      <c r="A184" s="105" t="str">
        <f>'Data shares'!C179</f>
        <v>PNBHOUSING</v>
      </c>
      <c r="B184" s="143">
        <f>VLOOKUP($A184,'Data shares'!$C:$FA,118)</f>
        <v>0.54</v>
      </c>
      <c r="C184" s="143">
        <f>VLOOKUP($A184,'Data shares'!$C:$FA,119)</f>
        <v>0.7</v>
      </c>
      <c r="D184" s="143">
        <f>VLOOKUP($A184,'Data shares'!$C:$FA,121)*100</f>
        <v>-22.86</v>
      </c>
      <c r="E184" s="143">
        <f>VLOOKUP($A184,'Data shares'!$C:$FA,124)</f>
        <v>0.36</v>
      </c>
      <c r="F184" s="143">
        <f>VLOOKUP($A184,'Data shares'!$C:$FA,125)</f>
        <v>0.67</v>
      </c>
      <c r="G184" s="143">
        <f>VLOOKUP($A184,'Data shares'!$C:$FA,127)*100</f>
        <v>-46.27</v>
      </c>
      <c r="H184" s="103">
        <f>VLOOKUP($A184,'OI(Volume)'!$A$7:$O$427,8)</f>
        <v>3379350</v>
      </c>
      <c r="I184" s="103">
        <f>VLOOKUP($A184,'OI(Volume)'!$A$7:$O$427,9)</f>
        <v>780000</v>
      </c>
      <c r="J184" s="103">
        <f>VLOOKUP($A184,'OI(Volume)'!$A$7:$O$427,11)</f>
        <v>1834300</v>
      </c>
      <c r="K184" s="103">
        <f>VLOOKUP($A184,'OI(Volume)'!$A$7:$O$427,12)</f>
        <v>16250</v>
      </c>
      <c r="L184" s="103">
        <f>VLOOKUP($A184,'OI(Value)'!$A$7:$O$306,8,0)</f>
        <v>368</v>
      </c>
      <c r="M184" s="103">
        <f>VLOOKUP($A184,'OI(Value)'!$A$7:$O$306,9,0)</f>
        <v>85</v>
      </c>
      <c r="N184" s="103">
        <f>VLOOKUP($A184,'OI(Value)'!$A$7:$O$306,11,0)</f>
        <v>200</v>
      </c>
      <c r="O184" s="103">
        <f>VLOOKUP($A184,'OI(Value)'!$A$7:$O$306,12,0)</f>
        <v>2</v>
      </c>
    </row>
    <row r="185" spans="1:15" x14ac:dyDescent="0.25">
      <c r="A185" s="105" t="str">
        <f>'Data shares'!C180</f>
        <v>POLICYBZR</v>
      </c>
      <c r="B185" s="143">
        <f>VLOOKUP($A185,'Data shares'!$C:$FA,118)</f>
        <v>0.66</v>
      </c>
      <c r="C185" s="143">
        <f>VLOOKUP($A185,'Data shares'!$C:$FA,119)</f>
        <v>0.66</v>
      </c>
      <c r="D185" s="143">
        <f>VLOOKUP($A185,'Data shares'!$C:$FA,121)*100</f>
        <v>0</v>
      </c>
      <c r="E185" s="143">
        <f>VLOOKUP($A185,'Data shares'!$C:$FA,124)</f>
        <v>0.38</v>
      </c>
      <c r="F185" s="143">
        <f>VLOOKUP($A185,'Data shares'!$C:$FA,125)</f>
        <v>0.44</v>
      </c>
      <c r="G185" s="143">
        <f>VLOOKUP($A185,'Data shares'!$C:$FA,127)*100</f>
        <v>-13.639999999999999</v>
      </c>
      <c r="H185" s="103">
        <f>VLOOKUP($A185,'OI(Volume)'!$A$7:$O$427,8)</f>
        <v>1712900</v>
      </c>
      <c r="I185" s="103">
        <f>VLOOKUP($A185,'OI(Volume)'!$A$7:$O$427,9)</f>
        <v>-65450</v>
      </c>
      <c r="J185" s="103">
        <f>VLOOKUP($A185,'OI(Volume)'!$A$7:$O$427,11)</f>
        <v>1130850</v>
      </c>
      <c r="K185" s="103">
        <f>VLOOKUP($A185,'OI(Volume)'!$A$7:$O$427,12)</f>
        <v>-36400</v>
      </c>
      <c r="L185" s="103">
        <f>VLOOKUP($A185,'OI(Value)'!$A$7:$O$306,8,0)</f>
        <v>313</v>
      </c>
      <c r="M185" s="103">
        <f>VLOOKUP($A185,'OI(Value)'!$A$7:$O$306,9,0)</f>
        <v>-12</v>
      </c>
      <c r="N185" s="103">
        <f>VLOOKUP($A185,'OI(Value)'!$A$7:$O$306,11,0)</f>
        <v>207</v>
      </c>
      <c r="O185" s="103">
        <f>VLOOKUP($A185,'OI(Value)'!$A$7:$O$306,12,0)</f>
        <v>-7</v>
      </c>
    </row>
    <row r="186" spans="1:15" x14ac:dyDescent="0.25">
      <c r="A186" s="105" t="str">
        <f>'Data shares'!C181</f>
        <v>POLYCAB</v>
      </c>
      <c r="B186" s="143">
        <f>VLOOKUP($A186,'Data shares'!$C:$FA,118)</f>
        <v>0.59</v>
      </c>
      <c r="C186" s="143">
        <f>VLOOKUP($A186,'Data shares'!$C:$FA,119)</f>
        <v>0.61</v>
      </c>
      <c r="D186" s="143">
        <f>VLOOKUP($A186,'Data shares'!$C:$FA,121)*100</f>
        <v>-3.2800000000000002</v>
      </c>
      <c r="E186" s="143">
        <f>VLOOKUP($A186,'Data shares'!$C:$FA,124)</f>
        <v>0.57999999999999996</v>
      </c>
      <c r="F186" s="143">
        <f>VLOOKUP($A186,'Data shares'!$C:$FA,125)</f>
        <v>0.54</v>
      </c>
      <c r="G186" s="143">
        <f>VLOOKUP($A186,'Data shares'!$C:$FA,127)*100</f>
        <v>7.41</v>
      </c>
      <c r="H186" s="103">
        <f>VLOOKUP($A186,'OI(Volume)'!$A$7:$O$427,8)</f>
        <v>1942000</v>
      </c>
      <c r="I186" s="103">
        <f>VLOOKUP($A186,'OI(Volume)'!$A$7:$O$427,9)</f>
        <v>-111000</v>
      </c>
      <c r="J186" s="103">
        <f>VLOOKUP($A186,'OI(Volume)'!$A$7:$O$427,11)</f>
        <v>1138375</v>
      </c>
      <c r="K186" s="103">
        <f>VLOOKUP($A186,'OI(Volume)'!$A$7:$O$427,12)</f>
        <v>-123375</v>
      </c>
      <c r="L186" s="103">
        <f>VLOOKUP($A186,'OI(Value)'!$A$7:$O$306,8,0)</f>
        <v>1353</v>
      </c>
      <c r="M186" s="103">
        <f>VLOOKUP($A186,'OI(Value)'!$A$7:$O$306,9,0)</f>
        <v>-77</v>
      </c>
      <c r="N186" s="103">
        <f>VLOOKUP($A186,'OI(Value)'!$A$7:$O$306,11,0)</f>
        <v>793</v>
      </c>
      <c r="O186" s="103">
        <f>VLOOKUP($A186,'OI(Value)'!$A$7:$O$306,12,0)</f>
        <v>-86</v>
      </c>
    </row>
    <row r="187" spans="1:15" x14ac:dyDescent="0.25">
      <c r="A187" s="105" t="str">
        <f>'Data shares'!C182</f>
        <v>POONAWALLA</v>
      </c>
      <c r="B187" s="143">
        <f>VLOOKUP($A187,'Data shares'!$C:$FA,118)</f>
        <v>0.59</v>
      </c>
      <c r="C187" s="143">
        <f>VLOOKUP($A187,'Data shares'!$C:$FA,119)</f>
        <v>0.56999999999999995</v>
      </c>
      <c r="D187" s="143">
        <f>VLOOKUP($A187,'Data shares'!$C:$FA,121)*100</f>
        <v>3.51</v>
      </c>
      <c r="E187" s="143">
        <f>VLOOKUP($A187,'Data shares'!$C:$FA,124)</f>
        <v>0.33</v>
      </c>
      <c r="F187" s="143">
        <f>VLOOKUP($A187,'Data shares'!$C:$FA,125)</f>
        <v>0.23</v>
      </c>
      <c r="G187" s="143">
        <f>VLOOKUP($A187,'Data shares'!$C:$FA,127)*100</f>
        <v>43.480000000000004</v>
      </c>
      <c r="H187" s="103">
        <f>VLOOKUP($A187,'OI(Volume)'!$A$7:$O$427,8)</f>
        <v>5861600</v>
      </c>
      <c r="I187" s="103">
        <f>VLOOKUP($A187,'OI(Volume)'!$A$7:$O$427,9)</f>
        <v>-147900</v>
      </c>
      <c r="J187" s="103">
        <f>VLOOKUP($A187,'OI(Volume)'!$A$7:$O$427,11)</f>
        <v>3461200</v>
      </c>
      <c r="K187" s="103">
        <f>VLOOKUP($A187,'OI(Volume)'!$A$7:$O$427,12)</f>
        <v>51000</v>
      </c>
      <c r="L187" s="103">
        <f>VLOOKUP($A187,'OI(Value)'!$A$7:$O$306,8,0)</f>
        <v>266</v>
      </c>
      <c r="M187" s="103">
        <f>VLOOKUP($A187,'OI(Value)'!$A$7:$O$306,9,0)</f>
        <v>-7</v>
      </c>
      <c r="N187" s="103">
        <f>VLOOKUP($A187,'OI(Value)'!$A$7:$O$306,11,0)</f>
        <v>157</v>
      </c>
      <c r="O187" s="103">
        <f>VLOOKUP($A187,'OI(Value)'!$A$7:$O$306,12,0)</f>
        <v>2</v>
      </c>
    </row>
    <row r="188" spans="1:15" x14ac:dyDescent="0.25">
      <c r="A188" s="105" t="str">
        <f>'Data shares'!C183</f>
        <v>POWERGRID</v>
      </c>
      <c r="B188" s="143">
        <f>VLOOKUP($A188,'Data shares'!$C:$FA,118)</f>
        <v>0.56999999999999995</v>
      </c>
      <c r="C188" s="143">
        <f>VLOOKUP($A188,'Data shares'!$C:$FA,119)</f>
        <v>0.53</v>
      </c>
      <c r="D188" s="143">
        <f>VLOOKUP($A188,'Data shares'!$C:$FA,121)*100</f>
        <v>7.55</v>
      </c>
      <c r="E188" s="143">
        <f>VLOOKUP($A188,'Data shares'!$C:$FA,124)</f>
        <v>0.68</v>
      </c>
      <c r="F188" s="143">
        <f>VLOOKUP($A188,'Data shares'!$C:$FA,125)</f>
        <v>0.44</v>
      </c>
      <c r="G188" s="143">
        <f>VLOOKUP($A188,'Data shares'!$C:$FA,127)*100</f>
        <v>54.55</v>
      </c>
      <c r="H188" s="103">
        <f>VLOOKUP($A188,'OI(Volume)'!$A$7:$O$427,8)</f>
        <v>26776700</v>
      </c>
      <c r="I188" s="103">
        <f>VLOOKUP($A188,'OI(Volume)'!$A$7:$O$427,9)</f>
        <v>-1472500</v>
      </c>
      <c r="J188" s="103">
        <f>VLOOKUP($A188,'OI(Volume)'!$A$7:$O$427,11)</f>
        <v>15207600</v>
      </c>
      <c r="K188" s="103">
        <f>VLOOKUP($A188,'OI(Volume)'!$A$7:$O$427,12)</f>
        <v>129200</v>
      </c>
      <c r="L188" s="103">
        <f>VLOOKUP($A188,'OI(Value)'!$A$7:$O$306,8,0)</f>
        <v>797</v>
      </c>
      <c r="M188" s="103">
        <f>VLOOKUP($A188,'OI(Value)'!$A$7:$O$306,9,0)</f>
        <v>-44</v>
      </c>
      <c r="N188" s="103">
        <f>VLOOKUP($A188,'OI(Value)'!$A$7:$O$306,11,0)</f>
        <v>453</v>
      </c>
      <c r="O188" s="103">
        <f>VLOOKUP($A188,'OI(Value)'!$A$7:$O$306,12,0)</f>
        <v>4</v>
      </c>
    </row>
    <row r="189" spans="1:15" x14ac:dyDescent="0.25">
      <c r="A189" s="105" t="str">
        <f>'Data shares'!C184</f>
        <v>PPLPHARMA</v>
      </c>
      <c r="B189" s="143">
        <f>VLOOKUP($A189,'Data shares'!$C:$FA,118)</f>
        <v>0.56000000000000005</v>
      </c>
      <c r="C189" s="143">
        <f>VLOOKUP($A189,'Data shares'!$C:$FA,119)</f>
        <v>0.49</v>
      </c>
      <c r="D189" s="143">
        <f>VLOOKUP($A189,'Data shares'!$C:$FA,121)*100</f>
        <v>14.29</v>
      </c>
      <c r="E189" s="143">
        <f>VLOOKUP($A189,'Data shares'!$C:$FA,124)</f>
        <v>0.66</v>
      </c>
      <c r="F189" s="143">
        <f>VLOOKUP($A189,'Data shares'!$C:$FA,125)</f>
        <v>0.39</v>
      </c>
      <c r="G189" s="143">
        <f>VLOOKUP($A189,'Data shares'!$C:$FA,127)*100</f>
        <v>69.23</v>
      </c>
      <c r="H189" s="103">
        <f>VLOOKUP($A189,'OI(Volume)'!$A$7:$O$427,8)</f>
        <v>26776700</v>
      </c>
      <c r="I189" s="103">
        <f>VLOOKUP($A189,'OI(Volume)'!$A$7:$O$427,9)</f>
        <v>-1472500</v>
      </c>
      <c r="J189" s="103">
        <f>VLOOKUP($A189,'OI(Volume)'!$A$7:$O$427,11)</f>
        <v>15207600</v>
      </c>
      <c r="K189" s="103">
        <f>VLOOKUP($A189,'OI(Volume)'!$A$7:$O$427,12)</f>
        <v>129200</v>
      </c>
      <c r="L189" s="103"/>
      <c r="M189" s="103"/>
      <c r="N189" s="103"/>
      <c r="O189" s="103"/>
    </row>
    <row r="190" spans="1:15" x14ac:dyDescent="0.25">
      <c r="A190" s="105" t="str">
        <f>'Data shares'!C231</f>
        <v>ZYDUSLIFE</v>
      </c>
      <c r="B190" s="143">
        <f>VLOOKUP($A190,'Data shares'!$C:$FA,118)</f>
        <v>0.74</v>
      </c>
      <c r="C190" s="143">
        <f>VLOOKUP($A190,'Data shares'!$C:$FA,119)</f>
        <v>0.73</v>
      </c>
      <c r="D190" s="143">
        <f>VLOOKUP($A190,'Data shares'!$C:$FA,121)*100</f>
        <v>1.37</v>
      </c>
      <c r="E190" s="143">
        <f>VLOOKUP($A190,'Data shares'!$C:$FA,124)</f>
        <v>0.49</v>
      </c>
      <c r="F190" s="143">
        <f>VLOOKUP($A190,'Data shares'!$C:$FA,125)</f>
        <v>0.28999999999999998</v>
      </c>
      <c r="G190" s="143">
        <f>VLOOKUP($A190,'Data shares'!$C:$FA,127)*100</f>
        <v>68.97</v>
      </c>
      <c r="H190" s="103">
        <f>VLOOKUP($A190,'OI(Volume)'!$A$7:$O$427,8)</f>
        <v>0</v>
      </c>
      <c r="I190" s="103">
        <f>VLOOKUP($A190,'OI(Volume)'!$A$7:$O$427,9)</f>
        <v>0</v>
      </c>
      <c r="J190" s="103">
        <f>VLOOKUP($A190,'OI(Volume)'!$A$7:$O$427,11)</f>
        <v>0</v>
      </c>
      <c r="K190" s="103">
        <f>VLOOKUP($A190,'OI(Volume)'!$A$7:$O$427,12)</f>
        <v>0</v>
      </c>
      <c r="L190" s="103">
        <f>VLOOKUP($A190,'OI(Value)'!$A$7:$O$306,8,0)</f>
        <v>335</v>
      </c>
      <c r="M190" s="103">
        <f>VLOOKUP($A190,'OI(Value)'!$A$7:$O$306,9,0)</f>
        <v>-5</v>
      </c>
      <c r="N190" s="103">
        <f>VLOOKUP($A190,'OI(Value)'!$A$7:$O$306,11,0)</f>
        <v>249</v>
      </c>
      <c r="O190" s="103">
        <f>VLOOKUP($A190,'OI(Value)'!$A$7:$O$306,12,0)</f>
        <v>1</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4884042689</v>
      </c>
      <c r="I192" s="135">
        <f t="shared" si="0"/>
        <v>232170743</v>
      </c>
      <c r="J192" s="135">
        <f t="shared" si="0"/>
        <v>2988539249</v>
      </c>
      <c r="K192" s="135">
        <f t="shared" si="0"/>
        <v>147978357</v>
      </c>
      <c r="L192" s="135">
        <f t="shared" si="0"/>
        <v>1006149</v>
      </c>
      <c r="M192" s="135">
        <f t="shared" si="0"/>
        <v>130800</v>
      </c>
      <c r="N192" s="135">
        <f t="shared" si="0"/>
        <v>794784</v>
      </c>
      <c r="O192" s="135">
        <f t="shared" si="0"/>
        <v>33352</v>
      </c>
    </row>
    <row r="193" spans="1:15" x14ac:dyDescent="0.25">
      <c r="A193" s="126" t="s">
        <v>415</v>
      </c>
      <c r="B193" s="136"/>
      <c r="C193" s="136"/>
      <c r="D193" s="136"/>
      <c r="E193" s="136"/>
      <c r="F193" s="136"/>
      <c r="G193" s="136"/>
      <c r="H193" s="137">
        <f>H192/10000000</f>
        <v>488.40426889999998</v>
      </c>
      <c r="I193" s="137">
        <f>I192/10000000</f>
        <v>23.2170743</v>
      </c>
      <c r="J193" s="137">
        <f>J192/10000000</f>
        <v>298.85392489999998</v>
      </c>
      <c r="K193" s="137">
        <f>K192/10000000</f>
        <v>14.7978357</v>
      </c>
      <c r="L193" s="138">
        <f>L192</f>
        <v>1006149</v>
      </c>
      <c r="M193" s="138">
        <f>M192</f>
        <v>130800</v>
      </c>
      <c r="N193" s="138">
        <f>N192</f>
        <v>794784</v>
      </c>
      <c r="O193" s="138">
        <f>O192</f>
        <v>33352</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2025-07-23T03:43:27Z</dcterms:modified>
</cp:coreProperties>
</file>